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2.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5F63FFC0-9E41-4B8B-84B5-BE3F0CDAA6E1}" xr6:coauthVersionLast="45" xr6:coauthVersionMax="47" xr10:uidLastSave="{00000000-0000-0000-0000-000000000000}"/>
  <bookViews>
    <workbookView xWindow="5865" yWindow="3330" windowWidth="21600" windowHeight="11385" activeTab="2" xr2:uid="{40A12827-3065-45EE-B6D2-16E3F8960EC7}"/>
  </bookViews>
  <sheets>
    <sheet name="Cover" sheetId="7" r:id="rId1"/>
    <sheet name="Fuel Techs" sheetId="8" r:id="rId2"/>
    <sheet name="DH_ Supply" sheetId="9" r:id="rId3"/>
    <sheet name="DH_Storage" sheetId="28" r:id="rId4"/>
    <sheet name="Surplus Heat" sheetId="26" r:id="rId5"/>
    <sheet name="DH_Grid_Extension" sheetId="5" r:id="rId6"/>
    <sheet name="Data" sheetId="6" r:id="rId7"/>
    <sheet name="40 Comp. hp, airsource 10 MW" sheetId="18" r:id="rId8"/>
    <sheet name="41 Electric boiler, large" sheetId="21" r:id="rId9"/>
    <sheet name="44 Natural Gas DH Only" sheetId="13" r:id="rId10"/>
    <sheet name="45.2.a Geothermal DH, 1200m, A" sheetId="11" r:id="rId11"/>
    <sheet name="45.3.a Geoth. DH, 1200m, E (LT)" sheetId="23" r:id="rId12"/>
    <sheet name="46 Solar District Heating" sheetId="10" r:id="rId13"/>
    <sheet name="45.2.b Geothermal DH, 2000m, A" sheetId="12" r:id="rId14"/>
    <sheet name="45.1.b Geothermal DH, 2000m, E" sheetId="24" r:id="rId15"/>
    <sheet name="45.1.a Geothermal DH, 1200m, E" sheetId="22" r:id="rId16"/>
    <sheet name="40 Absorption heat pump, DH" sheetId="20" r:id="rId17"/>
    <sheet name="40 Comp. hp, excess heat 10 MW" sheetId="19" r:id="rId18"/>
    <sheet name="09a Wood Chips HOP, large" sheetId="15" r:id="rId19"/>
    <sheet name="08 WtE CHP, Medium" sheetId="17" r:id="rId20"/>
    <sheet name="09c Straw, Large, 40 degree" sheetId="16" r:id="rId21"/>
    <sheet name="Sheet1" sheetId="27" r:id="rId22"/>
    <sheet name="09a Wood Chips HOP, medium" sheetId="14" r:id="rId23"/>
  </sheets>
  <externalReferences>
    <externalReference r:id="rId24"/>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1" i="9" l="1"/>
  <c r="B21" i="9"/>
  <c r="C20" i="9"/>
  <c r="B20"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P19" i="9"/>
  <c r="P18" i="9"/>
  <c r="R19" i="9"/>
  <c r="R18" i="9"/>
  <c r="Q19" i="9"/>
  <c r="Q18" i="9"/>
  <c r="R17" i="9" l="1"/>
  <c r="P15" i="9"/>
  <c r="F44" i="5" l="1"/>
  <c r="G44" i="5"/>
  <c r="H44" i="5"/>
  <c r="I44" i="5"/>
  <c r="J44" i="5"/>
  <c r="K44" i="5"/>
  <c r="L44" i="5"/>
  <c r="M44" i="5"/>
  <c r="N44" i="5"/>
  <c r="O44" i="5"/>
  <c r="P44" i="5"/>
  <c r="Q44" i="5"/>
  <c r="R44" i="5"/>
  <c r="S44" i="5"/>
  <c r="T44" i="5"/>
  <c r="U44" i="5"/>
  <c r="V44" i="5"/>
  <c r="W44" i="5"/>
  <c r="X44" i="5"/>
  <c r="Y44" i="5"/>
  <c r="Z44" i="5"/>
  <c r="AA44" i="5"/>
  <c r="AB44" i="5"/>
  <c r="AC44" i="5"/>
  <c r="AD44" i="5"/>
  <c r="AE44" i="5"/>
  <c r="F43" i="5"/>
  <c r="G43" i="5"/>
  <c r="H43" i="5"/>
  <c r="I43" i="5"/>
  <c r="J43" i="5"/>
  <c r="K43" i="5"/>
  <c r="L43" i="5"/>
  <c r="M43" i="5"/>
  <c r="N43" i="5"/>
  <c r="O43" i="5"/>
  <c r="P43" i="5"/>
  <c r="Q43" i="5"/>
  <c r="R43" i="5"/>
  <c r="S43" i="5"/>
  <c r="T43" i="5"/>
  <c r="U43" i="5"/>
  <c r="V43" i="5"/>
  <c r="W43" i="5"/>
  <c r="X43" i="5"/>
  <c r="Y43" i="5"/>
  <c r="Z43" i="5"/>
  <c r="AA43" i="5"/>
  <c r="AB43" i="5"/>
  <c r="AC43" i="5"/>
  <c r="AD43" i="5"/>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F42" i="5" s="1"/>
  <c r="G40" i="5"/>
  <c r="G42" i="5" s="1"/>
  <c r="H40" i="5"/>
  <c r="I40" i="5"/>
  <c r="J40" i="5"/>
  <c r="J42" i="5" s="1"/>
  <c r="K40" i="5"/>
  <c r="L40" i="5"/>
  <c r="M40" i="5"/>
  <c r="N40" i="5"/>
  <c r="N42" i="5" s="1"/>
  <c r="O40" i="5"/>
  <c r="O42" i="5" s="1"/>
  <c r="P40" i="5"/>
  <c r="Q40" i="5"/>
  <c r="R40" i="5"/>
  <c r="R42" i="5" s="1"/>
  <c r="S40" i="5"/>
  <c r="T40" i="5"/>
  <c r="U40" i="5"/>
  <c r="V40" i="5"/>
  <c r="V42" i="5" s="1"/>
  <c r="W40" i="5"/>
  <c r="W42" i="5" s="1"/>
  <c r="X40" i="5"/>
  <c r="Y40" i="5"/>
  <c r="Z40" i="5"/>
  <c r="Z42" i="5" s="1"/>
  <c r="AA40" i="5"/>
  <c r="AB40" i="5"/>
  <c r="AC40" i="5"/>
  <c r="AD40" i="5"/>
  <c r="AD42" i="5" s="1"/>
  <c r="AE40" i="5"/>
  <c r="AE42" i="5" s="1"/>
  <c r="F38" i="5"/>
  <c r="G38" i="5"/>
  <c r="H38" i="5"/>
  <c r="I38" i="5"/>
  <c r="J38" i="5"/>
  <c r="K38" i="5"/>
  <c r="L38" i="5"/>
  <c r="M38" i="5"/>
  <c r="N38" i="5"/>
  <c r="O38" i="5"/>
  <c r="P38" i="5"/>
  <c r="Q38" i="5"/>
  <c r="R38" i="5"/>
  <c r="S38" i="5"/>
  <c r="T38" i="5"/>
  <c r="U38" i="5"/>
  <c r="V38" i="5"/>
  <c r="W38" i="5"/>
  <c r="X38" i="5"/>
  <c r="Y38" i="5"/>
  <c r="Z38" i="5"/>
  <c r="AA38" i="5"/>
  <c r="AB38" i="5"/>
  <c r="AC38" i="5"/>
  <c r="AD38" i="5"/>
  <c r="AE38" i="5"/>
  <c r="F37" i="5"/>
  <c r="G37" i="5"/>
  <c r="H37" i="5"/>
  <c r="I37" i="5"/>
  <c r="J37" i="5"/>
  <c r="K37" i="5"/>
  <c r="L37" i="5"/>
  <c r="M37" i="5"/>
  <c r="N37" i="5"/>
  <c r="O37" i="5"/>
  <c r="P37" i="5"/>
  <c r="Q37" i="5"/>
  <c r="R37" i="5"/>
  <c r="S37" i="5"/>
  <c r="T37" i="5"/>
  <c r="U37" i="5"/>
  <c r="V37" i="5"/>
  <c r="W37" i="5"/>
  <c r="X37" i="5"/>
  <c r="Y37" i="5"/>
  <c r="Z37" i="5"/>
  <c r="AA37" i="5"/>
  <c r="AB37" i="5"/>
  <c r="AC37" i="5"/>
  <c r="AD37" i="5"/>
  <c r="AE37" i="5"/>
  <c r="F35" i="5"/>
  <c r="G35" i="5"/>
  <c r="H35" i="5"/>
  <c r="I35" i="5"/>
  <c r="J35" i="5"/>
  <c r="K35" i="5"/>
  <c r="L35" i="5"/>
  <c r="M35" i="5"/>
  <c r="N35" i="5"/>
  <c r="O35" i="5"/>
  <c r="P35" i="5"/>
  <c r="Q35" i="5"/>
  <c r="R35" i="5"/>
  <c r="S35" i="5"/>
  <c r="T35" i="5"/>
  <c r="U35" i="5"/>
  <c r="V35" i="5"/>
  <c r="W35" i="5"/>
  <c r="X35" i="5"/>
  <c r="Y35" i="5"/>
  <c r="Z35" i="5"/>
  <c r="AA35" i="5"/>
  <c r="AB35" i="5"/>
  <c r="AC35" i="5"/>
  <c r="AD35" i="5"/>
  <c r="AE35" i="5"/>
  <c r="K34" i="5"/>
  <c r="K36" i="5" s="1"/>
  <c r="L34" i="5"/>
  <c r="L36" i="5" s="1"/>
  <c r="M34" i="5"/>
  <c r="N34" i="5"/>
  <c r="O34" i="5"/>
  <c r="O36" i="5" s="1"/>
  <c r="P34" i="5"/>
  <c r="Q34" i="5"/>
  <c r="R34" i="5"/>
  <c r="R36" i="5" s="1"/>
  <c r="S34" i="5"/>
  <c r="S36" i="5" s="1"/>
  <c r="T34" i="5"/>
  <c r="T36" i="5" s="1"/>
  <c r="U34" i="5"/>
  <c r="V34" i="5"/>
  <c r="W34" i="5"/>
  <c r="W36" i="5" s="1"/>
  <c r="X34" i="5"/>
  <c r="Y34" i="5"/>
  <c r="Z34" i="5"/>
  <c r="Z36" i="5" s="1"/>
  <c r="AA34" i="5"/>
  <c r="AA36" i="5" s="1"/>
  <c r="AB34" i="5"/>
  <c r="AB36" i="5" s="1"/>
  <c r="AC34" i="5"/>
  <c r="AD34" i="5"/>
  <c r="AE34" i="5"/>
  <c r="AE36" i="5" s="1"/>
  <c r="I34" i="5"/>
  <c r="J34" i="5"/>
  <c r="J36" i="5" s="1"/>
  <c r="F34" i="5"/>
  <c r="G34" i="5"/>
  <c r="G36" i="5" s="1"/>
  <c r="H34" i="5"/>
  <c r="H36" i="5" s="1"/>
  <c r="E24" i="5"/>
  <c r="E25" i="5"/>
  <c r="E29" i="5"/>
  <c r="E27" i="5"/>
  <c r="E28" i="5"/>
  <c r="E26" i="5"/>
  <c r="AC42" i="5" l="1"/>
  <c r="U42" i="5"/>
  <c r="M42" i="5"/>
  <c r="E44" i="5"/>
  <c r="AB42" i="5"/>
  <c r="T42" i="5"/>
  <c r="L42" i="5"/>
  <c r="AC36" i="5"/>
  <c r="U36" i="5"/>
  <c r="M36" i="5"/>
  <c r="Y36" i="5"/>
  <c r="Q36" i="5"/>
  <c r="I36" i="5"/>
  <c r="X36" i="5"/>
  <c r="P36" i="5"/>
  <c r="Y42" i="5"/>
  <c r="Q42" i="5"/>
  <c r="I42" i="5"/>
  <c r="F36" i="5"/>
  <c r="E43" i="5"/>
  <c r="AD36" i="5"/>
  <c r="V36" i="5"/>
  <c r="N36" i="5"/>
  <c r="AA42" i="5"/>
  <c r="S42" i="5"/>
  <c r="K42" i="5"/>
  <c r="X42" i="5"/>
  <c r="P42" i="5"/>
  <c r="H42" i="5"/>
  <c r="E40" i="5"/>
  <c r="E34" i="5"/>
  <c r="E35" i="5"/>
  <c r="E37" i="5"/>
  <c r="E41" i="5"/>
  <c r="E38" i="5"/>
  <c r="E36" i="5" l="1"/>
  <c r="E42" i="5"/>
  <c r="E39" i="5"/>
  <c r="AF34" i="5"/>
  <c r="AE45" i="5"/>
  <c r="AD45" i="5"/>
  <c r="AC45" i="5"/>
  <c r="AB45" i="5"/>
  <c r="AA45" i="5"/>
  <c r="Z45" i="5"/>
  <c r="Y45" i="5"/>
  <c r="X45" i="5"/>
  <c r="W45" i="5"/>
  <c r="V45" i="5"/>
  <c r="U45" i="5"/>
  <c r="T45" i="5"/>
  <c r="S45" i="5"/>
  <c r="R45" i="5"/>
  <c r="Q45" i="5"/>
  <c r="P45" i="5"/>
  <c r="O45" i="5"/>
  <c r="N45" i="5"/>
  <c r="M45" i="5"/>
  <c r="L45" i="5"/>
  <c r="K45" i="5"/>
  <c r="J45" i="5"/>
  <c r="I45" i="5"/>
  <c r="H45" i="5"/>
  <c r="G45" i="5"/>
  <c r="F45" i="5"/>
  <c r="E45" i="5"/>
  <c r="AF45" i="5" s="1"/>
  <c r="AF44" i="5"/>
  <c r="AF43" i="5"/>
  <c r="AF42" i="5"/>
  <c r="AF41" i="5"/>
  <c r="AF40" i="5"/>
  <c r="AE39" i="5"/>
  <c r="AD39" i="5"/>
  <c r="AC39" i="5"/>
  <c r="AB39" i="5"/>
  <c r="AA39" i="5"/>
  <c r="Z39" i="5"/>
  <c r="Y39" i="5"/>
  <c r="X39" i="5"/>
  <c r="W39" i="5"/>
  <c r="V39" i="5"/>
  <c r="U39" i="5"/>
  <c r="T39" i="5"/>
  <c r="S39" i="5"/>
  <c r="R39" i="5"/>
  <c r="Q39" i="5"/>
  <c r="P39" i="5"/>
  <c r="O39" i="5"/>
  <c r="N39" i="5"/>
  <c r="M39" i="5"/>
  <c r="L39" i="5"/>
  <c r="K39" i="5"/>
  <c r="J39" i="5"/>
  <c r="I39" i="5"/>
  <c r="H39" i="5"/>
  <c r="G39" i="5"/>
  <c r="F39" i="5"/>
  <c r="AF39" i="5"/>
  <c r="AF38" i="5"/>
  <c r="AF37" i="5"/>
  <c r="AF36" i="5"/>
  <c r="AF35" i="5"/>
  <c r="F20" i="5" l="1"/>
  <c r="G20" i="5"/>
  <c r="H20" i="5"/>
  <c r="I20" i="5"/>
  <c r="J20" i="5"/>
  <c r="K20" i="5"/>
  <c r="L20" i="5"/>
  <c r="M20" i="5"/>
  <c r="N20" i="5"/>
  <c r="O20" i="5"/>
  <c r="P20" i="5"/>
  <c r="Q20" i="5"/>
  <c r="R20" i="5"/>
  <c r="S20" i="5"/>
  <c r="T20" i="5"/>
  <c r="U20" i="5"/>
  <c r="V20" i="5"/>
  <c r="W20" i="5"/>
  <c r="X20" i="5"/>
  <c r="Y20" i="5"/>
  <c r="Z20" i="5"/>
  <c r="AA20" i="5"/>
  <c r="AB20" i="5"/>
  <c r="AC20" i="5"/>
  <c r="AD20" i="5"/>
  <c r="AE20" i="5"/>
  <c r="E20" i="5"/>
  <c r="AF20" i="5" s="1"/>
  <c r="E17" i="5"/>
  <c r="AF17" i="5" s="1"/>
  <c r="F17" i="5"/>
  <c r="G17" i="5"/>
  <c r="H17" i="5"/>
  <c r="I17" i="5"/>
  <c r="J17" i="5"/>
  <c r="K17" i="5"/>
  <c r="L17" i="5"/>
  <c r="M17" i="5"/>
  <c r="N17" i="5"/>
  <c r="O17" i="5"/>
  <c r="P17" i="5"/>
  <c r="Q17" i="5"/>
  <c r="R17" i="5"/>
  <c r="S17" i="5"/>
  <c r="T17" i="5"/>
  <c r="U17" i="5"/>
  <c r="V17" i="5"/>
  <c r="W17" i="5"/>
  <c r="X17" i="5"/>
  <c r="Y17" i="5"/>
  <c r="Z17" i="5"/>
  <c r="AA17" i="5"/>
  <c r="AB17" i="5"/>
  <c r="AC17" i="5"/>
  <c r="AD17" i="5"/>
  <c r="AE17" i="5"/>
  <c r="E14" i="5"/>
  <c r="AF14" i="5" s="1"/>
  <c r="F14" i="5"/>
  <c r="G14" i="5"/>
  <c r="H14" i="5"/>
  <c r="I14" i="5"/>
  <c r="J14" i="5"/>
  <c r="K14" i="5"/>
  <c r="L14" i="5"/>
  <c r="M14" i="5"/>
  <c r="N14" i="5"/>
  <c r="O14" i="5"/>
  <c r="P14" i="5"/>
  <c r="Q14" i="5"/>
  <c r="R14" i="5"/>
  <c r="S14" i="5"/>
  <c r="T14" i="5"/>
  <c r="U14" i="5"/>
  <c r="V14" i="5"/>
  <c r="W14" i="5"/>
  <c r="X14" i="5"/>
  <c r="Y14" i="5"/>
  <c r="Z14" i="5"/>
  <c r="AA14" i="5"/>
  <c r="AB14" i="5"/>
  <c r="AC14" i="5"/>
  <c r="AD14" i="5"/>
  <c r="AE14" i="5"/>
  <c r="E11" i="5"/>
  <c r="AF11" i="5" s="1"/>
  <c r="AF15" i="5"/>
  <c r="AF16" i="5"/>
  <c r="AF18" i="5"/>
  <c r="F11" i="5"/>
  <c r="G11" i="5"/>
  <c r="H11" i="5"/>
  <c r="I11" i="5"/>
  <c r="J11" i="5"/>
  <c r="K11" i="5"/>
  <c r="L11" i="5"/>
  <c r="M11" i="5"/>
  <c r="N11" i="5"/>
  <c r="O11" i="5"/>
  <c r="P11" i="5"/>
  <c r="Q11" i="5"/>
  <c r="R11" i="5"/>
  <c r="S11" i="5"/>
  <c r="T11" i="5"/>
  <c r="U11" i="5"/>
  <c r="V11" i="5"/>
  <c r="W11" i="5"/>
  <c r="X11" i="5"/>
  <c r="Y11" i="5"/>
  <c r="Z11" i="5"/>
  <c r="AA11" i="5"/>
  <c r="AB11" i="5"/>
  <c r="AC11" i="5"/>
  <c r="AD11" i="5"/>
  <c r="AE11" i="5"/>
  <c r="AF12" i="5" l="1"/>
  <c r="AF9" i="5"/>
  <c r="AF13" i="5"/>
  <c r="AF10" i="5"/>
  <c r="AF19" i="5" l="1"/>
  <c r="T19" i="9" a="1"/>
  <c r="T19" i="9" s="1"/>
  <c r="T18" i="9" a="1"/>
  <c r="T18" i="9" s="1"/>
  <c r="E5" i="26" l="1"/>
  <c r="Y16" i="9" l="1"/>
  <c r="C18" i="9"/>
  <c r="C19" i="9"/>
  <c r="Y15" i="9"/>
  <c r="Z14" i="9"/>
  <c r="Y14" i="9"/>
  <c r="I17" i="9"/>
  <c r="Q17" i="9"/>
  <c r="P17" i="9"/>
  <c r="O17" i="9"/>
  <c r="N17" i="9"/>
  <c r="U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O15" i="9"/>
  <c r="N15" i="9"/>
  <c r="J15" i="9"/>
  <c r="M16" i="9" s="1"/>
  <c r="I15" i="9"/>
  <c r="Z13" i="9"/>
  <c r="Y13" i="9"/>
  <c r="J12" i="9"/>
  <c r="C6" i="26" l="1"/>
  <c r="K5" i="26"/>
  <c r="D5" i="26"/>
  <c r="Y12" i="9"/>
  <c r="Z12" i="9"/>
  <c r="R13" i="9"/>
  <c r="R10" i="9"/>
  <c r="Q13" i="9"/>
  <c r="O13" i="9"/>
  <c r="N13" i="9"/>
  <c r="J13" i="9"/>
  <c r="M14" i="9" s="1"/>
  <c r="I13" i="9"/>
  <c r="Y9" i="9"/>
  <c r="Z9" i="9"/>
  <c r="R9" i="9"/>
  <c r="Q9" i="9"/>
  <c r="P9" i="9"/>
  <c r="O9" i="9"/>
  <c r="N9" i="9"/>
  <c r="I9" i="9"/>
  <c r="Z11" i="9"/>
  <c r="Y11" i="9"/>
  <c r="R12" i="9"/>
  <c r="P12" i="9"/>
  <c r="N12" i="9"/>
  <c r="I8" i="9"/>
  <c r="AD6" i="26" l="1"/>
  <c r="C5" i="26"/>
  <c r="R8" i="9"/>
  <c r="AD5" i="26" l="1"/>
  <c r="Q10" i="9"/>
  <c r="P8" i="9"/>
  <c r="Q8" i="9"/>
  <c r="J10" i="9" l="1"/>
  <c r="M11" i="9" s="1"/>
  <c r="U10" i="9" l="1"/>
  <c r="O10" i="9"/>
  <c r="N10" i="9"/>
  <c r="I10" i="9"/>
  <c r="U8" i="9"/>
  <c r="O8" i="9"/>
  <c r="N8" i="9"/>
  <c r="J8" i="9"/>
  <c r="Z8" i="9" l="1"/>
  <c r="Y8" i="9"/>
  <c r="Z10" i="9"/>
  <c r="Y10" i="9"/>
  <c r="S50" i="5" l="1"/>
  <c r="T50" i="5"/>
  <c r="AM37" i="6"/>
  <c r="AM38" i="6"/>
  <c r="AM39" i="6"/>
  <c r="AM40" i="6"/>
  <c r="AM41" i="6"/>
  <c r="AM42" i="6"/>
  <c r="AM43" i="6"/>
  <c r="AR7" i="6" s="1"/>
  <c r="AM44" i="6"/>
  <c r="AR6" i="6" s="1"/>
  <c r="AM45" i="6"/>
  <c r="AM46" i="6"/>
  <c r="AM47" i="6"/>
  <c r="AM48" i="6"/>
  <c r="AM49" i="6"/>
  <c r="AM50" i="6"/>
  <c r="AM51" i="6"/>
  <c r="AM52" i="6"/>
  <c r="AM53" i="6"/>
  <c r="AM54" i="6"/>
  <c r="AM55" i="6"/>
  <c r="AM56" i="6"/>
  <c r="AM57" i="6"/>
  <c r="AM58" i="6"/>
  <c r="AM59" i="6"/>
  <c r="AM60" i="6"/>
  <c r="AM61" i="6"/>
  <c r="AM62" i="6"/>
  <c r="AM63" i="6"/>
  <c r="AM64" i="6"/>
  <c r="AM65" i="6"/>
  <c r="AM66" i="6"/>
  <c r="AM67" i="6"/>
  <c r="AM68" i="6"/>
  <c r="AM69" i="6"/>
  <c r="AM70" i="6"/>
  <c r="AM71" i="6"/>
  <c r="AM72" i="6"/>
  <c r="AM73" i="6"/>
  <c r="AM74" i="6"/>
  <c r="AM75" i="6"/>
  <c r="AM76" i="6"/>
  <c r="AM77" i="6"/>
  <c r="AM78" i="6"/>
  <c r="AM79" i="6"/>
  <c r="AM80" i="6"/>
  <c r="AM81" i="6"/>
  <c r="AM82" i="6"/>
  <c r="AM83" i="6"/>
  <c r="AM84" i="6"/>
  <c r="AM85" i="6"/>
  <c r="AM86" i="6"/>
  <c r="AM87" i="6"/>
  <c r="AM88" i="6"/>
  <c r="AM89" i="6"/>
  <c r="AM90" i="6"/>
  <c r="AM91" i="6"/>
  <c r="AM92" i="6"/>
  <c r="AM93" i="6"/>
  <c r="AM94" i="6"/>
  <c r="AM95" i="6"/>
  <c r="AM96" i="6"/>
  <c r="AM97" i="6"/>
  <c r="AM98" i="6"/>
  <c r="AM99" i="6"/>
  <c r="AM100" i="6"/>
  <c r="AM101" i="6"/>
  <c r="AM102" i="6"/>
  <c r="AM103" i="6"/>
  <c r="AM104" i="6"/>
  <c r="AM105" i="6"/>
  <c r="AM106" i="6"/>
  <c r="AM107" i="6"/>
  <c r="AM108" i="6"/>
  <c r="AM109" i="6"/>
  <c r="AM110" i="6"/>
  <c r="AM111" i="6"/>
  <c r="AM112" i="6"/>
  <c r="AM113" i="6"/>
  <c r="AM114" i="6"/>
  <c r="AM115" i="6"/>
  <c r="AM116" i="6"/>
  <c r="AM117" i="6"/>
  <c r="AM118" i="6"/>
  <c r="AM119" i="6"/>
  <c r="AM120" i="6"/>
  <c r="AM121" i="6"/>
  <c r="AM122" i="6"/>
  <c r="AM123" i="6"/>
  <c r="AM124" i="6"/>
  <c r="AM125" i="6"/>
  <c r="AM126" i="6"/>
  <c r="AM127" i="6"/>
  <c r="AM128" i="6"/>
  <c r="AM129" i="6"/>
  <c r="AM130" i="6"/>
  <c r="AM131" i="6"/>
  <c r="AM132" i="6"/>
  <c r="AM133" i="6"/>
  <c r="AM134" i="6"/>
  <c r="AM135" i="6"/>
  <c r="AM136" i="6"/>
  <c r="AM137" i="6"/>
  <c r="AM138" i="6"/>
  <c r="AM139" i="6"/>
  <c r="AM140" i="6"/>
  <c r="AM141" i="6"/>
  <c r="AM142" i="6"/>
  <c r="AM143" i="6"/>
  <c r="AM144" i="6"/>
  <c r="AM145" i="6"/>
  <c r="AM146" i="6"/>
  <c r="AM147" i="6"/>
  <c r="AM148" i="6"/>
  <c r="AM149" i="6"/>
  <c r="AM150" i="6"/>
  <c r="AM151" i="6"/>
  <c r="AM152" i="6"/>
  <c r="AM153" i="6"/>
  <c r="AM154" i="6"/>
  <c r="AM155" i="6"/>
  <c r="AM156" i="6"/>
  <c r="AM157" i="6"/>
  <c r="AM158" i="6"/>
  <c r="AM159" i="6"/>
  <c r="AM160" i="6"/>
  <c r="AM161" i="6"/>
  <c r="AM162" i="6"/>
  <c r="AM163" i="6"/>
  <c r="AM164" i="6"/>
  <c r="AM165" i="6"/>
  <c r="AM166" i="6"/>
  <c r="AM167" i="6"/>
  <c r="AM168" i="6"/>
  <c r="AM169" i="6"/>
  <c r="AM170" i="6"/>
  <c r="AM171" i="6"/>
  <c r="AM172" i="6"/>
  <c r="AM173" i="6"/>
  <c r="AM174" i="6"/>
  <c r="AM175" i="6"/>
  <c r="AM176" i="6"/>
  <c r="AM177" i="6"/>
  <c r="AM178" i="6"/>
  <c r="AM179" i="6"/>
  <c r="AM180" i="6"/>
  <c r="AM181" i="6"/>
  <c r="AM182" i="6"/>
  <c r="AM183" i="6"/>
  <c r="AM184" i="6"/>
  <c r="AM185" i="6"/>
  <c r="AM186" i="6"/>
  <c r="AM187" i="6"/>
  <c r="AM188" i="6"/>
  <c r="AM189" i="6"/>
  <c r="AM190" i="6"/>
  <c r="AM191" i="6"/>
  <c r="AM192" i="6"/>
  <c r="AM193" i="6"/>
  <c r="AM194" i="6"/>
  <c r="AM195" i="6"/>
  <c r="AM196" i="6"/>
  <c r="AM197" i="6"/>
  <c r="AM198" i="6"/>
  <c r="AM199" i="6"/>
  <c r="AM200" i="6"/>
  <c r="AM201" i="6"/>
  <c r="AM202" i="6"/>
  <c r="AM203" i="6"/>
  <c r="AM204" i="6"/>
  <c r="AM205" i="6"/>
  <c r="AM206" i="6"/>
  <c r="AM207" i="6"/>
  <c r="AM208" i="6"/>
  <c r="AM209" i="6"/>
  <c r="AM210" i="6"/>
  <c r="AM211" i="6"/>
  <c r="AM212" i="6"/>
  <c r="AM213" i="6"/>
  <c r="AM214" i="6"/>
  <c r="AM215" i="6"/>
  <c r="AM216" i="6"/>
  <c r="AM217" i="6"/>
  <c r="AM218" i="6"/>
  <c r="AM219" i="6"/>
  <c r="AM220" i="6"/>
  <c r="AM221" i="6"/>
  <c r="AM222" i="6"/>
  <c r="AM223" i="6"/>
  <c r="AM224" i="6"/>
  <c r="AM225" i="6"/>
  <c r="AM226" i="6"/>
  <c r="AM227" i="6"/>
  <c r="AM228" i="6"/>
  <c r="AM229" i="6"/>
  <c r="AM230" i="6"/>
  <c r="AM231" i="6"/>
  <c r="AM232" i="6"/>
  <c r="AM233" i="6"/>
  <c r="AM234" i="6"/>
  <c r="AM235" i="6"/>
  <c r="AM236" i="6"/>
  <c r="AM237" i="6"/>
  <c r="AM238" i="6"/>
  <c r="AM239" i="6"/>
  <c r="AM240" i="6"/>
  <c r="AM241" i="6"/>
  <c r="AM242" i="6"/>
  <c r="AM243" i="6"/>
  <c r="AM244" i="6"/>
  <c r="AM245" i="6"/>
  <c r="AM246" i="6"/>
  <c r="AM247" i="6"/>
  <c r="AM248" i="6"/>
  <c r="AM249" i="6"/>
  <c r="AM250" i="6"/>
  <c r="AM251" i="6"/>
  <c r="AM252" i="6"/>
  <c r="AM253" i="6"/>
  <c r="AM254" i="6"/>
  <c r="AM255" i="6"/>
  <c r="AM256" i="6"/>
  <c r="AM257" i="6"/>
  <c r="AM258" i="6"/>
  <c r="AM259" i="6"/>
  <c r="AM260" i="6"/>
  <c r="AM261" i="6"/>
  <c r="AM262" i="6"/>
  <c r="AM263" i="6"/>
  <c r="AM264" i="6"/>
  <c r="AM265" i="6"/>
  <c r="AM266" i="6"/>
  <c r="AM267" i="6"/>
  <c r="AM268" i="6"/>
  <c r="AM269" i="6"/>
  <c r="AM270" i="6"/>
  <c r="AM271" i="6"/>
  <c r="AM272" i="6"/>
  <c r="AM273" i="6"/>
  <c r="AM274" i="6"/>
  <c r="AM275" i="6"/>
  <c r="AM276" i="6"/>
  <c r="AM277" i="6"/>
  <c r="AM278" i="6"/>
  <c r="AM279" i="6"/>
  <c r="AM280" i="6"/>
  <c r="AM281" i="6"/>
  <c r="AM282" i="6"/>
  <c r="AM283" i="6"/>
  <c r="AM284" i="6"/>
  <c r="AM285" i="6"/>
  <c r="AM286" i="6"/>
  <c r="AM287" i="6"/>
  <c r="AM288" i="6"/>
  <c r="AM289" i="6"/>
  <c r="AM290" i="6"/>
  <c r="AM291" i="6"/>
  <c r="AM292" i="6"/>
  <c r="AM293" i="6"/>
  <c r="AM294" i="6"/>
  <c r="AM295" i="6"/>
  <c r="AM296" i="6"/>
  <c r="AM297" i="6"/>
  <c r="AM298" i="6"/>
  <c r="AM299" i="6"/>
  <c r="AM300" i="6"/>
  <c r="AM301" i="6"/>
  <c r="AM302" i="6"/>
  <c r="AM303" i="6"/>
  <c r="AM304" i="6"/>
  <c r="AM305" i="6"/>
  <c r="AM306" i="6"/>
  <c r="AM307" i="6"/>
  <c r="AM308" i="6"/>
  <c r="AM309" i="6"/>
  <c r="AM310" i="6"/>
  <c r="AM311" i="6"/>
  <c r="AM312" i="6"/>
  <c r="AM313" i="6"/>
  <c r="AM314" i="6"/>
  <c r="AM315" i="6"/>
  <c r="AM316" i="6"/>
  <c r="AM317" i="6"/>
  <c r="AM318" i="6"/>
  <c r="AM319" i="6"/>
  <c r="AM320" i="6"/>
  <c r="AM321" i="6"/>
  <c r="AM322" i="6"/>
  <c r="AM323" i="6"/>
  <c r="AM324" i="6"/>
  <c r="AM325" i="6"/>
  <c r="AM326" i="6"/>
  <c r="AM327" i="6"/>
  <c r="AM328" i="6"/>
  <c r="AM329" i="6"/>
  <c r="AM330" i="6"/>
  <c r="AM331" i="6"/>
  <c r="AM332" i="6"/>
  <c r="AM333" i="6"/>
  <c r="AM334" i="6"/>
  <c r="AM335" i="6"/>
  <c r="AM336" i="6"/>
  <c r="AM337" i="6"/>
  <c r="AM338" i="6"/>
  <c r="AM339" i="6"/>
  <c r="AM340" i="6"/>
  <c r="AM341" i="6"/>
  <c r="AM342" i="6"/>
  <c r="AM343" i="6"/>
  <c r="AM344" i="6"/>
  <c r="AM345" i="6"/>
  <c r="AM346" i="6"/>
  <c r="AM347" i="6"/>
  <c r="AM348" i="6"/>
  <c r="AM349" i="6"/>
  <c r="AM350" i="6"/>
  <c r="AM351" i="6"/>
  <c r="AM352" i="6"/>
  <c r="AM353" i="6"/>
  <c r="AM354" i="6"/>
  <c r="AM355" i="6"/>
  <c r="AM356" i="6"/>
  <c r="AM357" i="6"/>
  <c r="AM358" i="6"/>
  <c r="AM359" i="6"/>
  <c r="AM360" i="6"/>
  <c r="AM361" i="6"/>
  <c r="AM362" i="6"/>
  <c r="AM363" i="6"/>
  <c r="AM364" i="6"/>
  <c r="AM365" i="6"/>
  <c r="AM366" i="6"/>
  <c r="AM367" i="6"/>
  <c r="AM368" i="6"/>
  <c r="AM369" i="6"/>
  <c r="AM7" i="6"/>
  <c r="AM8" i="6"/>
  <c r="AM9" i="6"/>
  <c r="AM10" i="6"/>
  <c r="AM11" i="6"/>
  <c r="AM12" i="6"/>
  <c r="AM13" i="6"/>
  <c r="AM14" i="6"/>
  <c r="AM15" i="6"/>
  <c r="AM16" i="6"/>
  <c r="AM17" i="6"/>
  <c r="AM18" i="6"/>
  <c r="AM19" i="6"/>
  <c r="AM20" i="6"/>
  <c r="AM21" i="6"/>
  <c r="AM22" i="6"/>
  <c r="AM23" i="6"/>
  <c r="AM24" i="6"/>
  <c r="AM25" i="6"/>
  <c r="AM26" i="6"/>
  <c r="AM27" i="6"/>
  <c r="AM28" i="6"/>
  <c r="AM29" i="6"/>
  <c r="AM30" i="6"/>
  <c r="AM31" i="6"/>
  <c r="AM32" i="6"/>
  <c r="AM33" i="6"/>
  <c r="AM34" i="6"/>
  <c r="AM35" i="6"/>
  <c r="AM36" i="6"/>
  <c r="AM6" i="6"/>
  <c r="AR8" i="6"/>
  <c r="E50" i="5" l="1"/>
  <c r="AD59" i="5" l="1"/>
  <c r="AC59" i="5"/>
  <c r="AB59" i="5"/>
  <c r="AA59" i="5"/>
  <c r="Z59" i="5"/>
  <c r="Y59" i="5"/>
  <c r="X59" i="5"/>
  <c r="W59" i="5"/>
  <c r="V59" i="5"/>
  <c r="U59" i="5"/>
  <c r="T59" i="5"/>
  <c r="S59" i="5"/>
  <c r="R59" i="5"/>
  <c r="Q59" i="5"/>
  <c r="P59" i="5"/>
  <c r="O59" i="5"/>
  <c r="N59" i="5"/>
  <c r="M59" i="5"/>
  <c r="L59" i="5"/>
  <c r="K59" i="5"/>
  <c r="J59" i="5"/>
  <c r="I59" i="5"/>
  <c r="H59" i="5"/>
  <c r="G59" i="5"/>
  <c r="F59" i="5"/>
  <c r="E59" i="5"/>
  <c r="D59" i="5"/>
  <c r="AE59" i="5" s="1"/>
  <c r="AD58" i="5"/>
  <c r="AC58" i="5"/>
  <c r="AB58" i="5"/>
  <c r="AA58" i="5"/>
  <c r="Z58" i="5"/>
  <c r="Y58" i="5"/>
  <c r="X58" i="5"/>
  <c r="W58" i="5"/>
  <c r="V58" i="5"/>
  <c r="U58" i="5"/>
  <c r="T58" i="5"/>
  <c r="S58" i="5"/>
  <c r="R58" i="5"/>
  <c r="Q58" i="5"/>
  <c r="P58" i="5"/>
  <c r="O58" i="5"/>
  <c r="N58" i="5"/>
  <c r="M58" i="5"/>
  <c r="L58" i="5"/>
  <c r="K58" i="5"/>
  <c r="J58" i="5"/>
  <c r="I58" i="5"/>
  <c r="H58" i="5"/>
  <c r="G58" i="5"/>
  <c r="F58" i="5"/>
  <c r="E58" i="5"/>
  <c r="D58" i="5"/>
  <c r="AE58" i="5" s="1"/>
  <c r="AD57" i="5"/>
  <c r="AC57" i="5"/>
  <c r="AB57" i="5"/>
  <c r="AA57" i="5"/>
  <c r="Z57" i="5"/>
  <c r="Y57" i="5"/>
  <c r="X57" i="5"/>
  <c r="W57" i="5"/>
  <c r="V57" i="5"/>
  <c r="U57" i="5"/>
  <c r="T57" i="5"/>
  <c r="S57" i="5"/>
  <c r="R57" i="5"/>
  <c r="Q57" i="5"/>
  <c r="P57" i="5"/>
  <c r="O57" i="5"/>
  <c r="N57" i="5"/>
  <c r="M57" i="5"/>
  <c r="L57" i="5"/>
  <c r="K57" i="5"/>
  <c r="J57" i="5"/>
  <c r="I57" i="5"/>
  <c r="H57" i="5"/>
  <c r="G57" i="5"/>
  <c r="F57" i="5"/>
  <c r="E57" i="5"/>
  <c r="D57" i="5"/>
  <c r="AE57" i="5" s="1"/>
  <c r="AD56" i="5"/>
  <c r="AC56" i="5"/>
  <c r="AB56" i="5"/>
  <c r="AA56" i="5"/>
  <c r="Z56" i="5"/>
  <c r="Y56" i="5"/>
  <c r="X56" i="5"/>
  <c r="W56" i="5"/>
  <c r="V56" i="5"/>
  <c r="U56" i="5"/>
  <c r="T56" i="5"/>
  <c r="S56" i="5"/>
  <c r="R56" i="5"/>
  <c r="Q56" i="5"/>
  <c r="P56" i="5"/>
  <c r="O56" i="5"/>
  <c r="N56" i="5"/>
  <c r="M56" i="5"/>
  <c r="L56" i="5"/>
  <c r="K56" i="5"/>
  <c r="J56" i="5"/>
  <c r="I56" i="5"/>
  <c r="H56" i="5"/>
  <c r="G56" i="5"/>
  <c r="F56" i="5"/>
  <c r="E56" i="5"/>
  <c r="D56" i="5"/>
  <c r="AE56" i="5" s="1"/>
  <c r="E49" i="5"/>
  <c r="D49" i="5"/>
  <c r="AE49" i="5" s="1"/>
  <c r="AD52" i="5"/>
  <c r="AD66" i="5" s="1" a="1"/>
  <c r="AD66" i="5" s="1"/>
  <c r="AD73" i="5" s="1"/>
  <c r="AC52" i="5"/>
  <c r="AC66" i="5" s="1" a="1"/>
  <c r="AC66" i="5" s="1"/>
  <c r="AC73" i="5" s="1"/>
  <c r="AC87" i="5" s="1"/>
  <c r="AB52" i="5"/>
  <c r="AA52" i="5"/>
  <c r="Z52" i="5"/>
  <c r="Z66" i="5" s="1" a="1"/>
  <c r="Z66" i="5" s="1"/>
  <c r="Z73" i="5" s="1"/>
  <c r="Z87" i="5" s="1"/>
  <c r="Y52" i="5"/>
  <c r="X52" i="5"/>
  <c r="W52" i="5"/>
  <c r="V52" i="5"/>
  <c r="V66" i="5" s="1" a="1"/>
  <c r="V66" i="5" s="1"/>
  <c r="V73" i="5" s="1"/>
  <c r="U52" i="5"/>
  <c r="U66" i="5" s="1" a="1"/>
  <c r="U66" i="5" s="1"/>
  <c r="U73" i="5" s="1"/>
  <c r="U87" i="5" s="1"/>
  <c r="T52" i="5"/>
  <c r="S52" i="5"/>
  <c r="R52" i="5"/>
  <c r="R66" i="5" s="1" a="1"/>
  <c r="R66" i="5" s="1"/>
  <c r="R73" i="5" s="1"/>
  <c r="R87" i="5" s="1"/>
  <c r="Q52" i="5"/>
  <c r="Q66" i="5" s="1" a="1"/>
  <c r="Q66" i="5" s="1"/>
  <c r="Q73" i="5" s="1"/>
  <c r="P52" i="5"/>
  <c r="O52" i="5"/>
  <c r="N52" i="5"/>
  <c r="N66" i="5" s="1" a="1"/>
  <c r="N66" i="5" s="1"/>
  <c r="N73" i="5" s="1"/>
  <c r="N87" i="5" s="1"/>
  <c r="M52" i="5"/>
  <c r="M66" i="5" s="1" a="1"/>
  <c r="M66" i="5" s="1"/>
  <c r="M73" i="5" s="1"/>
  <c r="M87" i="5" s="1"/>
  <c r="L52" i="5"/>
  <c r="K52" i="5"/>
  <c r="J52" i="5"/>
  <c r="J66" i="5" s="1" a="1"/>
  <c r="J66" i="5" s="1"/>
  <c r="J73" i="5" s="1"/>
  <c r="I52" i="5"/>
  <c r="I66" i="5" s="1" a="1"/>
  <c r="I66" i="5" s="1"/>
  <c r="I73" i="5" s="1"/>
  <c r="H52" i="5"/>
  <c r="G52" i="5"/>
  <c r="F52" i="5"/>
  <c r="F66" i="5" s="1" a="1"/>
  <c r="F66" i="5" s="1"/>
  <c r="F73" i="5" s="1"/>
  <c r="E52" i="5"/>
  <c r="E66" i="5" s="1" a="1"/>
  <c r="E66" i="5" s="1"/>
  <c r="E73" i="5" s="1"/>
  <c r="E87" i="5" s="1"/>
  <c r="D52" i="5"/>
  <c r="AE52" i="5" s="1"/>
  <c r="AD51" i="5"/>
  <c r="AC51" i="5"/>
  <c r="AC65" i="5" s="1" a="1"/>
  <c r="AC65" i="5" s="1"/>
  <c r="AC72" i="5" s="1"/>
  <c r="AB51" i="5"/>
  <c r="AB65" i="5" s="1" a="1"/>
  <c r="AB65" i="5" s="1"/>
  <c r="AB72" i="5" s="1"/>
  <c r="AA51" i="5"/>
  <c r="Z51" i="5"/>
  <c r="Y51" i="5"/>
  <c r="Y65" i="5" s="1" a="1"/>
  <c r="Y65" i="5" s="1"/>
  <c r="Y72" i="5" s="1"/>
  <c r="X51" i="5"/>
  <c r="X65" i="5" s="1" a="1"/>
  <c r="X65" i="5" s="1"/>
  <c r="X72" i="5" s="1"/>
  <c r="W51" i="5"/>
  <c r="V51" i="5"/>
  <c r="U51" i="5"/>
  <c r="U65" i="5" s="1" a="1"/>
  <c r="U65" i="5" s="1"/>
  <c r="U72" i="5" s="1"/>
  <c r="U86" i="5" s="1"/>
  <c r="T51" i="5"/>
  <c r="T65" i="5" s="1" a="1"/>
  <c r="T65" i="5" s="1"/>
  <c r="T72" i="5" s="1"/>
  <c r="S51" i="5"/>
  <c r="R51" i="5"/>
  <c r="Q51" i="5"/>
  <c r="Q65" i="5" s="1" a="1"/>
  <c r="Q65" i="5" s="1"/>
  <c r="Q72" i="5" s="1"/>
  <c r="P51" i="5"/>
  <c r="P65" i="5" s="1" a="1"/>
  <c r="P65" i="5" s="1"/>
  <c r="P72" i="5" s="1"/>
  <c r="O51" i="5"/>
  <c r="N51" i="5"/>
  <c r="M51" i="5"/>
  <c r="M65" i="5" s="1" a="1"/>
  <c r="M65" i="5" s="1"/>
  <c r="M72" i="5" s="1"/>
  <c r="L51" i="5"/>
  <c r="L65" i="5" s="1" a="1"/>
  <c r="L65" i="5" s="1"/>
  <c r="L72" i="5" s="1"/>
  <c r="K51" i="5"/>
  <c r="J51" i="5"/>
  <c r="I51" i="5"/>
  <c r="I65" i="5" s="1" a="1"/>
  <c r="I65" i="5" s="1"/>
  <c r="I72" i="5" s="1"/>
  <c r="H51" i="5"/>
  <c r="H65" i="5" s="1" a="1"/>
  <c r="H65" i="5" s="1"/>
  <c r="H72" i="5" s="1"/>
  <c r="H86" i="5" s="1"/>
  <c r="G51" i="5"/>
  <c r="F51" i="5"/>
  <c r="E51" i="5"/>
  <c r="E65" i="5" s="1" a="1"/>
  <c r="E65" i="5" s="1"/>
  <c r="E72" i="5" s="1"/>
  <c r="D51" i="5"/>
  <c r="AD50" i="5"/>
  <c r="AC50" i="5"/>
  <c r="AB50" i="5"/>
  <c r="AB64" i="5" s="1" a="1"/>
  <c r="AB64" i="5" s="1"/>
  <c r="AB71" i="5" s="1"/>
  <c r="AB85" i="5" s="1"/>
  <c r="AA50" i="5"/>
  <c r="AA64" i="5" s="1" a="1"/>
  <c r="AA64" i="5" s="1"/>
  <c r="AA71" i="5" s="1"/>
  <c r="Z50" i="5"/>
  <c r="Y50" i="5"/>
  <c r="X50" i="5"/>
  <c r="X64" i="5" s="1" a="1"/>
  <c r="X64" i="5" s="1"/>
  <c r="X71" i="5" s="1"/>
  <c r="W50" i="5"/>
  <c r="W64" i="5" s="1" a="1"/>
  <c r="W64" i="5" s="1"/>
  <c r="W71" i="5" s="1"/>
  <c r="V50" i="5"/>
  <c r="U50" i="5"/>
  <c r="T64" i="5" a="1"/>
  <c r="T64" i="5" s="1"/>
  <c r="T71" i="5" s="1"/>
  <c r="S64" i="5" a="1"/>
  <c r="S64" i="5" s="1"/>
  <c r="S71" i="5" s="1"/>
  <c r="R50" i="5"/>
  <c r="Q50" i="5"/>
  <c r="P50" i="5"/>
  <c r="P64" i="5" s="1" a="1"/>
  <c r="P64" i="5" s="1"/>
  <c r="P71" i="5" s="1"/>
  <c r="O50" i="5"/>
  <c r="O64" i="5" s="1" a="1"/>
  <c r="O64" i="5" s="1"/>
  <c r="O71" i="5" s="1"/>
  <c r="N50" i="5"/>
  <c r="M50" i="5"/>
  <c r="L50" i="5"/>
  <c r="L64" i="5" s="1" a="1"/>
  <c r="L64" i="5" s="1"/>
  <c r="L71" i="5" s="1"/>
  <c r="K50" i="5"/>
  <c r="K64" i="5" s="1" a="1"/>
  <c r="K64" i="5" s="1"/>
  <c r="K71" i="5" s="1"/>
  <c r="J50" i="5"/>
  <c r="I50" i="5"/>
  <c r="H50" i="5"/>
  <c r="H64" i="5" s="1" a="1"/>
  <c r="H64" i="5" s="1"/>
  <c r="H71" i="5" s="1"/>
  <c r="H85" i="5" s="1"/>
  <c r="G50" i="5"/>
  <c r="F50" i="5"/>
  <c r="D50" i="5"/>
  <c r="AD49" i="5"/>
  <c r="AD63" i="5" s="1" a="1"/>
  <c r="AD63" i="5" s="1"/>
  <c r="AD70" i="5" s="1"/>
  <c r="AC49" i="5"/>
  <c r="AB49" i="5"/>
  <c r="AA49" i="5"/>
  <c r="AA63" i="5" s="1" a="1"/>
  <c r="AA63" i="5" s="1"/>
  <c r="AA70" i="5" s="1"/>
  <c r="Z49" i="5"/>
  <c r="Z63" i="5" s="1" a="1"/>
  <c r="Z63" i="5" s="1"/>
  <c r="Z70" i="5" s="1"/>
  <c r="Y49" i="5"/>
  <c r="X49" i="5"/>
  <c r="W49" i="5"/>
  <c r="V49" i="5"/>
  <c r="V63" i="5" s="1" a="1"/>
  <c r="V63" i="5" s="1"/>
  <c r="V70" i="5" s="1"/>
  <c r="U49" i="5"/>
  <c r="T49" i="5"/>
  <c r="S49" i="5"/>
  <c r="R49" i="5"/>
  <c r="R63" i="5" s="1" a="1"/>
  <c r="R63" i="5" s="1"/>
  <c r="R70" i="5" s="1"/>
  <c r="Q49" i="5"/>
  <c r="P49" i="5"/>
  <c r="O49" i="5"/>
  <c r="N49" i="5"/>
  <c r="N63" i="5" s="1" a="1"/>
  <c r="N63" i="5" s="1"/>
  <c r="N70" i="5" s="1"/>
  <c r="M49" i="5"/>
  <c r="L49" i="5"/>
  <c r="K49" i="5"/>
  <c r="K63" i="5" s="1" a="1"/>
  <c r="K63" i="5" s="1"/>
  <c r="K70" i="5" s="1"/>
  <c r="J49" i="5"/>
  <c r="J63" i="5" s="1" a="1"/>
  <c r="J63" i="5" s="1"/>
  <c r="J70" i="5" s="1"/>
  <c r="I49" i="5"/>
  <c r="H49" i="5"/>
  <c r="G49" i="5"/>
  <c r="F49" i="5"/>
  <c r="F63" i="5" s="1" a="1"/>
  <c r="F63" i="5" s="1"/>
  <c r="F70" i="5" s="1"/>
  <c r="F84" i="5" s="1"/>
  <c r="Q64" i="5" l="1" a="1"/>
  <c r="Q64" i="5" s="1"/>
  <c r="Q71" i="5" s="1"/>
  <c r="F65" i="5" a="1"/>
  <c r="F65" i="5" s="1"/>
  <c r="F72" i="5" s="1"/>
  <c r="V65" i="5" a="1"/>
  <c r="V65" i="5" s="1"/>
  <c r="V72" i="5" s="1"/>
  <c r="V86" i="5" s="1"/>
  <c r="AD65" i="5" a="1"/>
  <c r="AD65" i="5" s="1"/>
  <c r="AD72" i="5" s="1"/>
  <c r="K66" i="5" a="1"/>
  <c r="K66" i="5" s="1"/>
  <c r="K73" i="5" s="1"/>
  <c r="S66" i="5" a="1"/>
  <c r="S66" i="5" s="1"/>
  <c r="S73" i="5" s="1"/>
  <c r="I64" i="5" a="1"/>
  <c r="I64" i="5" s="1"/>
  <c r="I71" i="5" s="1"/>
  <c r="Y64" i="5" a="1"/>
  <c r="Y64" i="5" s="1"/>
  <c r="Y71" i="5" s="1"/>
  <c r="N65" i="5" a="1"/>
  <c r="N65" i="5" s="1"/>
  <c r="N72" i="5" s="1"/>
  <c r="L63" i="5" a="1"/>
  <c r="L63" i="5" s="1"/>
  <c r="L70" i="5" s="1"/>
  <c r="T63" i="5" a="1"/>
  <c r="T63" i="5" s="1"/>
  <c r="T70" i="5" s="1"/>
  <c r="AA66" i="5" a="1"/>
  <c r="AA66" i="5" s="1"/>
  <c r="AA73" i="5" s="1"/>
  <c r="AA87" i="5" s="1"/>
  <c r="AB63" i="5" a="1"/>
  <c r="AB63" i="5" s="1"/>
  <c r="AB70" i="5" s="1"/>
  <c r="Y66" i="5" a="1"/>
  <c r="Y66" i="5" s="1"/>
  <c r="Y73" i="5" s="1"/>
  <c r="G65" i="5" a="1"/>
  <c r="G65" i="5" s="1"/>
  <c r="G72" i="5" s="1"/>
  <c r="G86" i="5" s="1"/>
  <c r="M63" i="5" a="1"/>
  <c r="M63" i="5" s="1"/>
  <c r="M70" i="5" s="1"/>
  <c r="J64" i="5" a="1"/>
  <c r="J64" i="5" s="1"/>
  <c r="J71" i="5" s="1"/>
  <c r="AC63" i="5" a="1"/>
  <c r="AC63" i="5" s="1"/>
  <c r="AC70" i="5" s="1"/>
  <c r="Z64" i="5" a="1"/>
  <c r="Z64" i="5" s="1"/>
  <c r="Z71" i="5" s="1"/>
  <c r="Z85" i="5" s="1"/>
  <c r="G63" i="5" a="1"/>
  <c r="G63" i="5" s="1"/>
  <c r="G70" i="5" s="1"/>
  <c r="W63" i="5" a="1"/>
  <c r="W63" i="5" s="1"/>
  <c r="W70" i="5" s="1"/>
  <c r="W84" i="5" s="1"/>
  <c r="R64" i="5" a="1"/>
  <c r="R64" i="5" s="1"/>
  <c r="R71" i="5" s="1"/>
  <c r="R85" i="5" s="1"/>
  <c r="U63" i="5" a="1"/>
  <c r="U63" i="5" s="1"/>
  <c r="U70" i="5" s="1"/>
  <c r="O63" i="5" a="1"/>
  <c r="O63" i="5" s="1"/>
  <c r="O70" i="5" s="1"/>
  <c r="S63" i="5" a="1"/>
  <c r="S63" i="5" s="1"/>
  <c r="S70" i="5" s="1"/>
  <c r="Q63" i="5" a="1"/>
  <c r="Q63" i="5" s="1"/>
  <c r="Q70" i="5" s="1"/>
  <c r="M64" i="5" a="1"/>
  <c r="M64" i="5" s="1"/>
  <c r="M71" i="5" s="1"/>
  <c r="M85" i="5" s="1"/>
  <c r="U64" i="5" a="1"/>
  <c r="U64" i="5" s="1"/>
  <c r="U71" i="5" s="1"/>
  <c r="U85" i="5" s="1"/>
  <c r="AC64" i="5" a="1"/>
  <c r="AC64" i="5" s="1"/>
  <c r="AC71" i="5" s="1"/>
  <c r="AC85" i="5" s="1"/>
  <c r="W66" i="5" a="1"/>
  <c r="W66" i="5" s="1"/>
  <c r="W73" i="5" s="1"/>
  <c r="W87" i="5" s="1"/>
  <c r="P63" i="5" a="1"/>
  <c r="P63" i="5" s="1"/>
  <c r="P70" i="5" s="1"/>
  <c r="X63" i="5" a="1"/>
  <c r="X63" i="5" s="1"/>
  <c r="X70" i="5" s="1"/>
  <c r="I63" i="5" a="1"/>
  <c r="I63" i="5" s="1"/>
  <c r="I70" i="5" s="1"/>
  <c r="Y63" i="5" a="1"/>
  <c r="Y63" i="5" s="1"/>
  <c r="Y70" i="5" s="1"/>
  <c r="F64" i="5" a="1"/>
  <c r="F64" i="5" s="1"/>
  <c r="F71" i="5" s="1"/>
  <c r="F85" i="5" s="1"/>
  <c r="N64" i="5" a="1"/>
  <c r="N64" i="5" s="1"/>
  <c r="N71" i="5" s="1"/>
  <c r="N85" i="5" s="1"/>
  <c r="V64" i="5" a="1"/>
  <c r="V64" i="5" s="1"/>
  <c r="V71" i="5" s="1"/>
  <c r="V85" i="5" s="1"/>
  <c r="AD64" i="5" a="1"/>
  <c r="AD64" i="5" s="1"/>
  <c r="AD71" i="5" s="1"/>
  <c r="AD85" i="5" s="1"/>
  <c r="S65" i="5" a="1"/>
  <c r="S65" i="5" s="1"/>
  <c r="S72" i="5" s="1"/>
  <c r="S86" i="5" s="1"/>
  <c r="AA65" i="5" a="1"/>
  <c r="AA65" i="5" s="1"/>
  <c r="AA72" i="5" s="1"/>
  <c r="AA86" i="5" s="1"/>
  <c r="H66" i="5" a="1"/>
  <c r="H66" i="5" s="1"/>
  <c r="H73" i="5" s="1"/>
  <c r="H87" i="5" s="1"/>
  <c r="P66" i="5" a="1"/>
  <c r="P66" i="5" s="1"/>
  <c r="P73" i="5" s="1"/>
  <c r="P87" i="5" s="1"/>
  <c r="X66" i="5" a="1"/>
  <c r="X66" i="5" s="1"/>
  <c r="X73" i="5" s="1"/>
  <c r="X87" i="5" s="1"/>
  <c r="D64" i="5" a="1"/>
  <c r="D64" i="5" s="1"/>
  <c r="D78" i="5" s="1"/>
  <c r="AE78" i="5" s="1"/>
  <c r="AE50" i="5"/>
  <c r="D65" i="5" a="1"/>
  <c r="D65" i="5" s="1"/>
  <c r="D79" i="5" s="1"/>
  <c r="AE79" i="5" s="1"/>
  <c r="AE51" i="5"/>
  <c r="O65" i="5" a="1"/>
  <c r="O65" i="5" s="1"/>
  <c r="O72" i="5" s="1"/>
  <c r="O86" i="5" s="1"/>
  <c r="W65" i="5" a="1"/>
  <c r="W65" i="5" s="1"/>
  <c r="W72" i="5" s="1"/>
  <c r="W86" i="5" s="1"/>
  <c r="D66" i="5" a="1"/>
  <c r="D66" i="5" s="1"/>
  <c r="D80" i="5" s="1"/>
  <c r="AE80" i="5" s="1"/>
  <c r="L66" i="5" a="1"/>
  <c r="L66" i="5" s="1"/>
  <c r="L73" i="5" s="1"/>
  <c r="L87" i="5" s="1"/>
  <c r="T66" i="5" a="1"/>
  <c r="T66" i="5" s="1"/>
  <c r="T73" i="5" s="1"/>
  <c r="T87" i="5" s="1"/>
  <c r="AB66" i="5" a="1"/>
  <c r="AB66" i="5" s="1"/>
  <c r="AB73" i="5" s="1"/>
  <c r="AB87" i="5" s="1"/>
  <c r="E63" i="5" a="1"/>
  <c r="E63" i="5" s="1"/>
  <c r="E70" i="5" s="1"/>
  <c r="L85" i="5"/>
  <c r="T85" i="5"/>
  <c r="I86" i="5"/>
  <c r="Q86" i="5"/>
  <c r="Y86" i="5"/>
  <c r="F87" i="5"/>
  <c r="V87" i="5"/>
  <c r="AD87" i="5"/>
  <c r="K65" i="5" a="1"/>
  <c r="K65" i="5" s="1"/>
  <c r="K72" i="5" s="1"/>
  <c r="K86" i="5" s="1"/>
  <c r="H63" i="5" a="1"/>
  <c r="H63" i="5" s="1"/>
  <c r="H70" i="5" s="1"/>
  <c r="E64" i="5" a="1"/>
  <c r="E64" i="5" s="1"/>
  <c r="E71" i="5" s="1"/>
  <c r="J65" i="5" a="1"/>
  <c r="J65" i="5" s="1"/>
  <c r="J72" i="5" s="1"/>
  <c r="J86" i="5" s="1"/>
  <c r="G66" i="5" a="1"/>
  <c r="G66" i="5" s="1"/>
  <c r="G73" i="5" s="1"/>
  <c r="G87" i="5" s="1"/>
  <c r="O66" i="5" a="1"/>
  <c r="O66" i="5" s="1"/>
  <c r="O73" i="5" s="1"/>
  <c r="O87" i="5" s="1"/>
  <c r="D63" i="5" a="1"/>
  <c r="D63" i="5" s="1"/>
  <c r="AE63" i="5" s="1"/>
  <c r="R84" i="5"/>
  <c r="O85" i="5"/>
  <c r="W85" i="5"/>
  <c r="L86" i="5"/>
  <c r="T86" i="5"/>
  <c r="AB86" i="5"/>
  <c r="I87" i="5"/>
  <c r="Q87" i="5"/>
  <c r="Y87" i="5"/>
  <c r="R65" i="5" a="1"/>
  <c r="R65" i="5" s="1"/>
  <c r="R72" i="5" s="1"/>
  <c r="R86" i="5" s="1"/>
  <c r="P85" i="5"/>
  <c r="X85" i="5"/>
  <c r="E86" i="5"/>
  <c r="M86" i="5"/>
  <c r="AC86" i="5"/>
  <c r="J87" i="5"/>
  <c r="T84" i="5"/>
  <c r="I85" i="5"/>
  <c r="Q85" i="5"/>
  <c r="Y85" i="5"/>
  <c r="F86" i="5"/>
  <c r="AD86" i="5"/>
  <c r="K87" i="5"/>
  <c r="S87" i="5"/>
  <c r="J85" i="5"/>
  <c r="Z65" i="5" a="1"/>
  <c r="Z65" i="5" s="1"/>
  <c r="Z72" i="5" s="1"/>
  <c r="Z86" i="5" s="1"/>
  <c r="V84" i="5"/>
  <c r="K85" i="5"/>
  <c r="AA85" i="5"/>
  <c r="P86" i="5"/>
  <c r="X86" i="5"/>
  <c r="G64" i="5" a="1"/>
  <c r="G64" i="5" s="1"/>
  <c r="N80" i="5"/>
  <c r="AD80" i="5"/>
  <c r="AC80" i="5"/>
  <c r="AA80" i="5"/>
  <c r="Z80" i="5"/>
  <c r="Y80" i="5"/>
  <c r="V80" i="5"/>
  <c r="U80" i="5"/>
  <c r="S80" i="5"/>
  <c r="R80" i="5"/>
  <c r="Q80" i="5"/>
  <c r="M80" i="5"/>
  <c r="K80" i="5"/>
  <c r="J80" i="5"/>
  <c r="I80" i="5"/>
  <c r="F80" i="5"/>
  <c r="E80" i="5"/>
  <c r="AD79" i="5"/>
  <c r="AC79" i="5"/>
  <c r="AB79" i="5"/>
  <c r="Y79" i="5"/>
  <c r="X79" i="5"/>
  <c r="V79" i="5"/>
  <c r="U79" i="5"/>
  <c r="T79" i="5"/>
  <c r="Q79" i="5"/>
  <c r="P79" i="5"/>
  <c r="M79" i="5"/>
  <c r="L79" i="5"/>
  <c r="I79" i="5"/>
  <c r="H79" i="5"/>
  <c r="F79" i="5"/>
  <c r="E79" i="5"/>
  <c r="AB78" i="5"/>
  <c r="AA78" i="5"/>
  <c r="Y78" i="5"/>
  <c r="X78" i="5"/>
  <c r="W78" i="5"/>
  <c r="T78" i="5"/>
  <c r="R78" i="5"/>
  <c r="Q78" i="5"/>
  <c r="P78" i="5"/>
  <c r="O78" i="5"/>
  <c r="L78" i="5"/>
  <c r="K78" i="5"/>
  <c r="J78" i="5"/>
  <c r="H78" i="5"/>
  <c r="V77" i="5"/>
  <c r="T77" i="5"/>
  <c r="R77" i="5"/>
  <c r="F77" i="5"/>
  <c r="I78" i="5" l="1"/>
  <c r="G79" i="5"/>
  <c r="M78" i="5"/>
  <c r="Z78" i="5"/>
  <c r="F78" i="5"/>
  <c r="W80" i="5"/>
  <c r="U78" i="5"/>
  <c r="N78" i="5"/>
  <c r="W77" i="5"/>
  <c r="AC78" i="5"/>
  <c r="V78" i="5"/>
  <c r="AD78" i="5"/>
  <c r="X80" i="5"/>
  <c r="AA79" i="5"/>
  <c r="P80" i="5"/>
  <c r="L80" i="5"/>
  <c r="H80" i="5"/>
  <c r="W79" i="5"/>
  <c r="O79" i="5"/>
  <c r="S79" i="5"/>
  <c r="T80" i="5"/>
  <c r="AB80" i="5"/>
  <c r="D73" i="5"/>
  <c r="AE66" i="5"/>
  <c r="D72" i="5"/>
  <c r="AE65" i="5"/>
  <c r="D71" i="5"/>
  <c r="AE64" i="5"/>
  <c r="G80" i="5"/>
  <c r="R79" i="5"/>
  <c r="Z79" i="5"/>
  <c r="J79" i="5"/>
  <c r="K79" i="5"/>
  <c r="G78" i="5"/>
  <c r="G71" i="5"/>
  <c r="G85" i="5" s="1"/>
  <c r="O80" i="5"/>
  <c r="D77" i="5"/>
  <c r="AE77" i="5" s="1"/>
  <c r="D70" i="5"/>
  <c r="AE71" i="5" l="1"/>
  <c r="D85" i="5"/>
  <c r="AE85" i="5" s="1"/>
  <c r="AE72" i="5"/>
  <c r="D86" i="5"/>
  <c r="AE86" i="5" s="1"/>
  <c r="D84" i="5"/>
  <c r="AE84" i="5" s="1"/>
  <c r="AE70" i="5"/>
  <c r="AE73" i="5"/>
  <c r="D87" i="5"/>
  <c r="AE87" i="5" s="1"/>
  <c r="J374" i="6"/>
  <c r="J373" i="6"/>
  <c r="J372" i="6"/>
  <c r="J371" i="6"/>
  <c r="J370" i="6"/>
  <c r="J369" i="6"/>
  <c r="J368" i="6"/>
  <c r="J367" i="6"/>
  <c r="J366" i="6"/>
  <c r="J365" i="6"/>
  <c r="J364" i="6"/>
  <c r="J363" i="6"/>
  <c r="J362" i="6"/>
  <c r="J361" i="6"/>
  <c r="J360" i="6"/>
  <c r="J359" i="6"/>
  <c r="J358" i="6"/>
  <c r="J357" i="6"/>
  <c r="J356" i="6"/>
  <c r="J355" i="6"/>
  <c r="J354" i="6"/>
  <c r="J353" i="6"/>
  <c r="J352" i="6"/>
  <c r="J351" i="6"/>
  <c r="J350" i="6"/>
  <c r="J349" i="6"/>
  <c r="J348" i="6"/>
  <c r="J347" i="6"/>
  <c r="J346" i="6"/>
  <c r="J345" i="6"/>
  <c r="J344" i="6"/>
  <c r="J343" i="6"/>
  <c r="J342" i="6"/>
  <c r="J341" i="6"/>
  <c r="J340" i="6"/>
  <c r="J339" i="6"/>
  <c r="J338" i="6"/>
  <c r="J337" i="6"/>
  <c r="J336" i="6"/>
  <c r="J335" i="6"/>
  <c r="J334" i="6"/>
  <c r="J333" i="6"/>
  <c r="J332" i="6"/>
  <c r="J331" i="6"/>
  <c r="J330" i="6"/>
  <c r="J329" i="6"/>
  <c r="J328" i="6"/>
  <c r="J327" i="6"/>
  <c r="J326" i="6"/>
  <c r="J325" i="6"/>
  <c r="J324" i="6"/>
  <c r="J323" i="6"/>
  <c r="J322" i="6"/>
  <c r="J321" i="6"/>
  <c r="J320" i="6"/>
  <c r="J319" i="6"/>
  <c r="J318" i="6"/>
  <c r="J317" i="6"/>
  <c r="J316" i="6"/>
  <c r="J315" i="6"/>
  <c r="J314" i="6"/>
  <c r="J313" i="6"/>
  <c r="J312" i="6"/>
  <c r="J311" i="6"/>
  <c r="J310" i="6"/>
  <c r="J309" i="6"/>
  <c r="J308" i="6"/>
  <c r="J307" i="6"/>
  <c r="J306" i="6"/>
  <c r="J305" i="6"/>
  <c r="J304" i="6"/>
  <c r="J303" i="6"/>
  <c r="J302" i="6"/>
  <c r="J301" i="6"/>
  <c r="J300" i="6"/>
  <c r="J299" i="6"/>
  <c r="J298" i="6"/>
  <c r="J297" i="6"/>
  <c r="J296" i="6"/>
  <c r="J295" i="6"/>
  <c r="J294" i="6"/>
  <c r="J293" i="6"/>
  <c r="J292" i="6"/>
  <c r="J291" i="6"/>
  <c r="J290" i="6"/>
  <c r="J289" i="6"/>
  <c r="J288" i="6"/>
  <c r="J287" i="6"/>
  <c r="J286" i="6"/>
  <c r="J285" i="6"/>
  <c r="J284" i="6"/>
  <c r="J283" i="6"/>
  <c r="J282" i="6"/>
  <c r="J281" i="6"/>
  <c r="J280" i="6"/>
  <c r="J279" i="6"/>
  <c r="J278" i="6"/>
  <c r="J277" i="6"/>
  <c r="J276" i="6"/>
  <c r="J275" i="6"/>
  <c r="J274" i="6"/>
  <c r="J273" i="6"/>
  <c r="J272" i="6"/>
  <c r="J271" i="6"/>
  <c r="J270" i="6"/>
  <c r="J269" i="6"/>
  <c r="J268" i="6"/>
  <c r="J267" i="6"/>
  <c r="J266" i="6"/>
  <c r="J265" i="6"/>
  <c r="J264" i="6"/>
  <c r="J263" i="6"/>
  <c r="J262" i="6"/>
  <c r="J261" i="6"/>
  <c r="J260" i="6"/>
  <c r="J259" i="6"/>
  <c r="J258" i="6"/>
  <c r="J257" i="6"/>
  <c r="J256" i="6"/>
  <c r="J255" i="6"/>
  <c r="J254" i="6"/>
  <c r="J253" i="6"/>
  <c r="J252" i="6"/>
  <c r="J251" i="6"/>
  <c r="J250" i="6"/>
  <c r="J249" i="6"/>
  <c r="J248" i="6"/>
  <c r="J247" i="6"/>
  <c r="J246" i="6"/>
  <c r="J245" i="6"/>
  <c r="J244" i="6"/>
  <c r="J243" i="6"/>
  <c r="J242" i="6"/>
  <c r="J241" i="6"/>
  <c r="J240" i="6"/>
  <c r="J239" i="6"/>
  <c r="J238" i="6"/>
  <c r="J237" i="6"/>
  <c r="J236" i="6"/>
  <c r="J235" i="6"/>
  <c r="J234" i="6"/>
  <c r="J233" i="6"/>
  <c r="J232" i="6"/>
  <c r="J231" i="6"/>
  <c r="J230" i="6"/>
  <c r="J229" i="6"/>
  <c r="J228" i="6"/>
  <c r="J227" i="6"/>
  <c r="J226" i="6"/>
  <c r="J225" i="6"/>
  <c r="J224" i="6"/>
  <c r="J223" i="6"/>
  <c r="J222" i="6"/>
  <c r="J221" i="6"/>
  <c r="J220" i="6"/>
  <c r="J219" i="6"/>
  <c r="J218" i="6"/>
  <c r="J217" i="6"/>
  <c r="J216" i="6"/>
  <c r="J215" i="6"/>
  <c r="J214" i="6"/>
  <c r="J213" i="6"/>
  <c r="J212" i="6"/>
  <c r="J211" i="6"/>
  <c r="J210" i="6"/>
  <c r="J209" i="6"/>
  <c r="J208" i="6"/>
  <c r="J207" i="6"/>
  <c r="J206" i="6"/>
  <c r="J205" i="6"/>
  <c r="J204" i="6"/>
  <c r="J203" i="6"/>
  <c r="J202" i="6"/>
  <c r="J201" i="6"/>
  <c r="J200" i="6"/>
  <c r="J199" i="6"/>
  <c r="J198" i="6"/>
  <c r="J197" i="6"/>
  <c r="J196" i="6"/>
  <c r="J195" i="6"/>
  <c r="J194" i="6"/>
  <c r="J193" i="6"/>
  <c r="J192" i="6"/>
  <c r="J191" i="6"/>
  <c r="J190" i="6"/>
  <c r="J189" i="6"/>
  <c r="J188" i="6"/>
  <c r="J187" i="6"/>
  <c r="J186" i="6"/>
  <c r="J185" i="6"/>
  <c r="J184" i="6"/>
  <c r="J183" i="6"/>
  <c r="J182" i="6"/>
  <c r="J181" i="6"/>
  <c r="J180" i="6"/>
  <c r="J179" i="6"/>
  <c r="J178" i="6"/>
  <c r="J177" i="6"/>
  <c r="J176" i="6"/>
  <c r="J175" i="6"/>
  <c r="J174" i="6"/>
  <c r="J173" i="6"/>
  <c r="J172" i="6"/>
  <c r="J171" i="6"/>
  <c r="J170" i="6"/>
  <c r="J169" i="6"/>
  <c r="J168" i="6"/>
  <c r="J167" i="6"/>
  <c r="J166" i="6"/>
  <c r="J165" i="6"/>
  <c r="J164" i="6"/>
  <c r="J163" i="6"/>
  <c r="J162" i="6"/>
  <c r="J161" i="6"/>
  <c r="J160" i="6"/>
  <c r="J159" i="6"/>
  <c r="J158" i="6"/>
  <c r="J157" i="6"/>
  <c r="J156" i="6"/>
  <c r="J155" i="6"/>
  <c r="J154" i="6"/>
  <c r="J153" i="6"/>
  <c r="J152" i="6"/>
  <c r="J151" i="6"/>
  <c r="J150" i="6"/>
  <c r="J149" i="6"/>
  <c r="J148" i="6"/>
  <c r="J147" i="6"/>
  <c r="J146" i="6"/>
  <c r="J145" i="6"/>
  <c r="J144" i="6"/>
  <c r="J143" i="6"/>
  <c r="J142" i="6"/>
  <c r="J141" i="6"/>
  <c r="J140" i="6"/>
  <c r="J139" i="6"/>
  <c r="J138" i="6"/>
  <c r="J137" i="6"/>
  <c r="J136" i="6"/>
  <c r="J135" i="6"/>
  <c r="J134" i="6"/>
  <c r="J133" i="6"/>
  <c r="J132" i="6"/>
  <c r="J131" i="6"/>
  <c r="J130" i="6"/>
  <c r="J129" i="6"/>
  <c r="J128" i="6"/>
  <c r="J127" i="6"/>
  <c r="J126" i="6"/>
  <c r="J125" i="6"/>
  <c r="J124" i="6"/>
  <c r="J123" i="6"/>
  <c r="J122" i="6"/>
  <c r="J121" i="6"/>
  <c r="J120" i="6"/>
  <c r="J119" i="6"/>
  <c r="J118" i="6"/>
  <c r="J117" i="6"/>
  <c r="J116" i="6"/>
  <c r="J115" i="6"/>
  <c r="J114" i="6"/>
  <c r="J113" i="6"/>
  <c r="J112" i="6"/>
  <c r="J111" i="6"/>
  <c r="J110" i="6"/>
  <c r="J109" i="6"/>
  <c r="J108" i="6"/>
  <c r="J107" i="6"/>
  <c r="J106" i="6"/>
  <c r="J105" i="6"/>
  <c r="J104" i="6"/>
  <c r="J103" i="6"/>
  <c r="J102" i="6"/>
  <c r="J101" i="6"/>
  <c r="J100" i="6"/>
  <c r="J99" i="6"/>
  <c r="J98" i="6"/>
  <c r="J97" i="6"/>
  <c r="J96" i="6"/>
  <c r="J95" i="6"/>
  <c r="J94" i="6"/>
  <c r="J93" i="6"/>
  <c r="J92" i="6"/>
  <c r="J91" i="6"/>
  <c r="J90" i="6"/>
  <c r="J89" i="6"/>
  <c r="J88" i="6"/>
  <c r="J87" i="6"/>
  <c r="J86" i="6"/>
  <c r="J85" i="6"/>
  <c r="J84" i="6"/>
  <c r="J83" i="6"/>
  <c r="J82" i="6"/>
  <c r="J81" i="6"/>
  <c r="J80" i="6"/>
  <c r="J79" i="6"/>
  <c r="J78" i="6"/>
  <c r="J77" i="6"/>
  <c r="J76" i="6"/>
  <c r="J75" i="6"/>
  <c r="J74" i="6"/>
  <c r="J73" i="6"/>
  <c r="J72" i="6"/>
  <c r="J71" i="6"/>
  <c r="J70" i="6"/>
  <c r="J69" i="6"/>
  <c r="J68" i="6"/>
  <c r="J67" i="6"/>
  <c r="J66" i="6"/>
  <c r="J65" i="6"/>
  <c r="J64" i="6"/>
  <c r="J63" i="6"/>
  <c r="J62" i="6"/>
  <c r="J61" i="6"/>
  <c r="J60" i="6"/>
  <c r="J59" i="6"/>
  <c r="J58" i="6"/>
  <c r="J57" i="6"/>
  <c r="J56" i="6"/>
  <c r="J55" i="6"/>
  <c r="J54" i="6"/>
  <c r="J53" i="6"/>
  <c r="J52" i="6"/>
  <c r="J51" i="6"/>
  <c r="J50" i="6"/>
  <c r="J49" i="6"/>
  <c r="J48" i="6"/>
  <c r="J47" i="6"/>
  <c r="J46" i="6"/>
  <c r="J45" i="6"/>
  <c r="J44" i="6"/>
  <c r="J43" i="6"/>
  <c r="J42" i="6"/>
  <c r="J41" i="6"/>
  <c r="J40" i="6"/>
  <c r="J39" i="6"/>
  <c r="J38" i="6"/>
  <c r="J37" i="6"/>
  <c r="J36" i="6"/>
  <c r="J35" i="6"/>
  <c r="J34" i="6"/>
  <c r="J33" i="6"/>
  <c r="J32" i="6"/>
  <c r="J31" i="6"/>
  <c r="J30" i="6"/>
  <c r="J29" i="6"/>
  <c r="J28" i="6"/>
  <c r="J27" i="6"/>
  <c r="J26" i="6"/>
  <c r="J25" i="6"/>
  <c r="J24" i="6"/>
  <c r="J23" i="6"/>
  <c r="J22" i="6"/>
  <c r="J21" i="6"/>
  <c r="J20" i="6"/>
  <c r="J19" i="6"/>
  <c r="J18" i="6"/>
  <c r="J17" i="6"/>
  <c r="J16" i="6"/>
  <c r="J15" i="6"/>
  <c r="J14" i="6"/>
  <c r="J13" i="6"/>
  <c r="J12" i="6"/>
  <c r="J11" i="6"/>
  <c r="J10" i="6"/>
  <c r="J9" i="6"/>
  <c r="J8" i="6"/>
  <c r="J7" i="6"/>
  <c r="J6"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X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<sst xmlns="http://schemas.openxmlformats.org/spreadsheetml/2006/main" count="4179" uniqueCount="1152">
  <si>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</si>
  <si>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</si>
  <si>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</si>
  <si>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</si>
  <si>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</si>
  <si>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</si>
  <si>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</si>
  <si>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</si>
  <si>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</si>
  <si>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</si>
  <si>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</si>
  <si>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</si>
  <si>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</si>
  <si>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</si>
  <si>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</si>
  <si>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</si>
  <si>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</si>
  <si>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</si>
  <si>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</si>
  <si>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</si>
  <si>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</si>
  <si>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</si>
  <si>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</si>
  <si>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</si>
  <si>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</si>
  <si>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</si>
  <si>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</si>
  <si>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</si>
  <si>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</si>
  <si>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</si>
  <si>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</si>
  <si>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</si>
  <si>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</si>
  <si>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</si>
  <si>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</si>
  <si>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</si>
  <si>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</si>
  <si>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</si>
  <si>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</si>
  <si>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</si>
  <si>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</si>
  <si>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</si>
  <si>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</si>
  <si>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</si>
  <si>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</si>
  <si>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</si>
  <si>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</si>
  <si>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</si>
  <si>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</si>
  <si>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</si>
  <si>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</si>
  <si>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</si>
  <si>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</si>
  <si>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</si>
  <si>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</si>
  <si>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</si>
  <si>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</si>
  <si>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</si>
  <si>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</si>
  <si>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</si>
  <si>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</si>
  <si>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</si>
  <si>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</si>
  <si>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</si>
  <si>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</si>
  <si>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</si>
  <si>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</si>
  <si>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</si>
  <si>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</si>
  <si>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</si>
  <si>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</si>
  <si>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</si>
  <si>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</si>
  <si>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</si>
  <si>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</si>
  <si>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</si>
  <si>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</si>
  <si>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</si>
  <si>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</si>
  <si>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</si>
  <si>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</si>
  <si>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</si>
  <si>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</si>
  <si>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</si>
  <si>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</si>
  <si>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</si>
  <si>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</si>
  <si>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</si>
  <si>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</si>
  <si>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</si>
  <si>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</si>
  <si>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</si>
  <si>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</si>
  <si>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</si>
  <si>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</si>
  <si>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</si>
  <si>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</si>
  <si>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</si>
  <si>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</si>
  <si>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</si>
  <si>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</si>
  <si>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</si>
  <si>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</si>
  <si>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</si>
  <si>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</si>
  <si>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</si>
  <si>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</si>
  <si>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</si>
  <si>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</si>
  <si>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</si>
  <si>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</si>
  <si>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</si>
  <si>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</si>
  <si>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</si>
  <si>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</si>
  <si>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</si>
  <si>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</si>
  <si>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</si>
  <si>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</si>
  <si>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</si>
  <si>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</si>
  <si>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</si>
  <si>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</si>
  <si>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</si>
  <si>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</si>
  <si>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</si>
  <si>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</si>
  <si>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</si>
  <si>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</si>
  <si>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</si>
  <si>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</si>
  <si>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</si>
  <si>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</si>
  <si>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</si>
  <si>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</si>
  <si>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</si>
  <si>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</si>
  <si>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</si>
  <si>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</si>
  <si>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</si>
  <si>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</si>
  <si>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</si>
  <si>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</si>
  <si>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</si>
  <si>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</si>
  <si>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</si>
  <si>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</si>
  <si>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</si>
  <si>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</si>
  <si>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</si>
  <si>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</si>
  <si>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</si>
  <si>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</si>
  <si>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</si>
  <si>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</si>
  <si>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</si>
  <si>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</si>
  <si>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</si>
  <si>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</si>
  <si>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</si>
  <si>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</si>
  <si>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</si>
  <si>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</si>
  <si>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</si>
  <si>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</si>
  <si>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</si>
  <si>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</si>
  <si>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</si>
  <si>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</si>
  <si>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</si>
  <si>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</si>
  <si>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</si>
  <si>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</si>
  <si>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</si>
  <si>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</si>
  <si>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</si>
  <si>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</si>
  <si>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</si>
  <si>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</si>
  <si>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</si>
  <si>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</si>
  <si>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</si>
  <si>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</si>
  <si>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</si>
  <si>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</si>
  <si>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</si>
  <si>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</si>
  <si>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</si>
  <si>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</si>
  <si>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</si>
  <si>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</si>
  <si>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</si>
  <si>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</si>
  <si>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</si>
  <si>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</si>
  <si>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</si>
  <si>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</si>
  <si>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</si>
  <si>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</si>
  <si>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</si>
  <si>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</si>
  <si>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</si>
  <si>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</si>
  <si>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</si>
  <si>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</si>
  <si>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</si>
  <si>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</si>
  <si>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</si>
  <si>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</si>
  <si>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</si>
  <si>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</si>
  <si>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</si>
  <si>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</si>
  <si>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</si>
  <si>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</si>
  <si>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</si>
  <si>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</si>
  <si>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</si>
  <si>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</si>
  <si>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</si>
  <si>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</si>
  <si>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</si>
  <si>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</si>
  <si>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</si>
  <si>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</si>
  <si>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</si>
  <si>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</si>
  <si>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</si>
  <si>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</si>
  <si>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</si>
  <si>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</si>
  <si>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</si>
  <si>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</si>
  <si>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</si>
  <si>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</si>
  <si>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</si>
  <si>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</si>
  <si>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</si>
  <si>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</si>
  <si>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</si>
  <si>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</si>
  <si>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</si>
  <si>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</si>
  <si>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</si>
  <si>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</si>
  <si>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</si>
  <si>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</si>
  <si>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</si>
  <si>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</si>
  <si>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</si>
  <si>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</si>
  <si>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</si>
  <si>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</si>
  <si>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</si>
  <si>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</si>
  <si>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</si>
  <si>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</si>
  <si>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</si>
  <si>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</si>
  <si>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</si>
  <si>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</si>
  <si>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</si>
  <si>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</si>
  <si>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</si>
  <si>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</si>
  <si>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</si>
  <si>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</si>
  <si>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</si>
  <si>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</si>
  <si>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</si>
  <si>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</si>
  <si>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</si>
  <si>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</si>
  <si>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</si>
  <si>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</si>
  <si>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</si>
  <si>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</si>
  <si>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</si>
  <si>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</si>
  <si>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</si>
  <si>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</si>
  <si>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</si>
  <si>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</si>
  <si>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</si>
  <si>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</si>
  <si>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</si>
  <si>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</si>
  <si>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</si>
  <si>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</si>
  <si>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</si>
  <si>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</si>
  <si>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</si>
  <si>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</si>
  <si>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</si>
  <si>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</si>
  <si>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</si>
  <si>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</si>
  <si>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</si>
  <si>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</si>
  <si>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</si>
  <si>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</si>
  <si>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</si>
  <si>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</si>
  <si>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</si>
  <si>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</si>
  <si>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</si>
  <si>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</si>
  <si>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</si>
  <si>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</si>
  <si>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</si>
  <si>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</si>
  <si>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</si>
  <si>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</si>
  <si>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</si>
  <si>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</si>
  <si>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</si>
  <si>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</si>
  <si>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</si>
  <si>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</si>
  <si>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</si>
  <si>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</si>
  <si>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</si>
  <si>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</si>
  <si>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</si>
  <si>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</si>
  <si>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</si>
  <si>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</si>
  <si>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</si>
  <si>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</si>
  <si>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</si>
  <si>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</si>
  <si>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</si>
  <si>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</si>
  <si>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</si>
  <si>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</si>
  <si>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</si>
  <si>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</si>
  <si>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</si>
  <si>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</si>
  <si>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</si>
  <si>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</si>
  <si>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</si>
  <si>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</si>
  <si>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</si>
  <si>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</si>
  <si>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</si>
  <si>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</si>
  <si>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</si>
  <si>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</si>
  <si>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</si>
  <si>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</si>
  <si>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</si>
  <si>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</si>
  <si>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</si>
  <si>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</si>
  <si>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</si>
  <si>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</si>
  <si>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</si>
  <si>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</si>
  <si>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</si>
  <si>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</si>
  <si>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</si>
  <si>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</si>
  <si>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</si>
  <si>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</si>
  <si>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</si>
  <si>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</si>
  <si>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</si>
  <si>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</si>
  <si>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</si>
  <si>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</si>
  <si>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</si>
  <si>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</si>
  <si>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</si>
  <si>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</si>
  <si>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</si>
  <si>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</si>
  <si>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</si>
  <si>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</si>
  <si>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</si>
  <si>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</si>
  <si>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</si>
  <si>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</si>
  <si>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</si>
  <si>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</si>
  <si>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</si>
  <si>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</si>
  <si>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</si>
  <si>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</si>
  <si>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</si>
  <si>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</si>
  <si>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</si>
  <si>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</si>
  <si>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</si>
  <si>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</si>
  <si>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</si>
  <si>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</si>
  <si>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</si>
  <si>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</si>
  <si>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</si>
  <si>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</si>
  <si>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</si>
  <si>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</si>
  <si>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</si>
  <si>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</si>
  <si>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</si>
  <si>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</si>
  <si>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</si>
  <si>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</si>
  <si>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</si>
  <si>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</si>
  <si>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</si>
  <si>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</si>
  <si>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</si>
  <si>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</si>
  <si>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</si>
  <si>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</si>
  <si>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</si>
  <si>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</si>
  <si>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</si>
  <si>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</si>
  <si>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</si>
  <si>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</si>
  <si>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</si>
  <si>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</si>
  <si>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</si>
  <si>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</si>
  <si>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</si>
  <si>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</si>
  <si>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</si>
  <si>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</si>
  <si>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</si>
  <si>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</si>
  <si>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</si>
  <si>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</si>
  <si>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</si>
  <si>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</si>
  <si>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</si>
  <si>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</si>
  <si>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</si>
  <si>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</si>
  <si>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</si>
  <si>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</si>
  <si>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</si>
  <si>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</si>
  <si>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</si>
  <si>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</si>
  <si>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</si>
  <si>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</si>
  <si>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</si>
  <si>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</si>
  <si>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</si>
  <si>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</si>
  <si>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</si>
  <si>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</si>
  <si>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</si>
  <si>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</si>
  <si>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</si>
  <si>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</si>
  <si>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</si>
  <si>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</si>
  <si>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</si>
  <si>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</si>
  <si>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</si>
  <si>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</si>
  <si>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</si>
  <si>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</si>
  <si>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</si>
  <si>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</si>
  <si>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</si>
  <si>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</si>
  <si>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</si>
  <si>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</si>
  <si>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</si>
  <si>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</si>
  <si>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</si>
  <si>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</si>
  <si>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</si>
  <si>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</si>
  <si>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</si>
  <si>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</si>
  <si>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</si>
  <si>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</si>
  <si>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</si>
  <si>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</si>
  <si>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</si>
  <si>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</si>
  <si>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</si>
  <si>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</si>
  <si>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</si>
  <si>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</si>
  <si>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</si>
  <si>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</si>
  <si>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</si>
  <si>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</si>
  <si>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</si>
  <si>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</si>
  <si>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</si>
  <si>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</si>
  <si>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</si>
  <si>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</si>
  <si>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</si>
  <si>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</si>
  <si>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</si>
  <si>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</si>
  <si>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</si>
  <si>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</si>
  <si>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</si>
  <si>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</si>
  <si>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</si>
  <si>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</si>
  <si>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</si>
  <si>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</si>
  <si>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</si>
  <si>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</si>
  <si>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</si>
  <si>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</si>
  <si>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</si>
  <si>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</si>
  <si>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</si>
  <si>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</si>
  <si>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</si>
  <si>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</si>
  <si>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</si>
  <si>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</si>
  <si>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</si>
  <si>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</si>
  <si>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</si>
  <si>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</si>
  <si>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</si>
  <si>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</si>
  <si>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</si>
  <si>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</si>
  <si>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</si>
  <si>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</si>
  <si>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</si>
  <si>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</si>
  <si>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</si>
  <si>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</si>
  <si>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</si>
  <si>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</si>
  <si>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</si>
  <si>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</si>
  <si>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</si>
  <si>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</si>
  <si>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</si>
  <si>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</si>
  <si>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</si>
  <si>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</si>
  <si>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</si>
  <si>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</si>
  <si>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</si>
  <si>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</si>
  <si>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</si>
  <si>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</si>
  <si>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</si>
  <si>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</si>
  <si>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</si>
  <si>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</si>
  <si>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</si>
  <si>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</si>
  <si>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</si>
  <si>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</si>
  <si>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</si>
  <si>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</si>
  <si>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</si>
  <si>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</si>
  <si>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</si>
  <si>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</si>
  <si>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</si>
  <si>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</si>
  <si>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</si>
  <si>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</si>
  <si>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</si>
  <si>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</si>
  <si>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</si>
  <si>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</si>
  <si>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</si>
  <si>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</si>
  <si>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</si>
  <si>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</si>
  <si>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</si>
  <si>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</si>
  <si>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</si>
  <si>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</si>
  <si>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</si>
  <si>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</si>
  <si>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</si>
  <si>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</si>
  <si>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</si>
  <si>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</si>
  <si>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</si>
  <si>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</si>
  <si>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</si>
  <si>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</si>
  <si>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</si>
  <si>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</si>
  <si>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</si>
  <si>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</si>
  <si>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</si>
  <si>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</si>
  <si>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</si>
  <si>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</si>
  <si>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</si>
  <si>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</si>
  <si>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</si>
  <si>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</si>
  <si>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</si>
  <si>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</si>
  <si>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</si>
  <si>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</si>
  <si>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</si>
  <si>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</si>
  <si>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</si>
  <si>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</si>
  <si>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</si>
  <si>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</si>
  <si>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</si>
  <si>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</si>
  <si>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</si>
  <si>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</si>
  <si>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</si>
  <si>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</si>
  <si>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</si>
  <si>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</si>
  <si>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</si>
  <si>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</si>
  <si>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</si>
  <si>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</si>
  <si>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</si>
  <si>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</si>
  <si>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</si>
  <si>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</si>
  <si>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</si>
  <si>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</si>
  <si>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</si>
  <si>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</si>
  <si>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</si>
  <si>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</si>
  <si>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</si>
  <si>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</si>
  <si>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</si>
  <si>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</si>
  <si>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</si>
  <si>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</si>
  <si>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</si>
  <si>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</si>
  <si>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</si>
  <si>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</si>
  <si>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</si>
  <si>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</si>
  <si>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</si>
  <si>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</si>
  <si>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</si>
  <si>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</si>
  <si>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</si>
  <si>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</si>
  <si>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</si>
  <si>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</si>
  <si>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</si>
  <si>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</si>
  <si>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</si>
  <si>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</si>
  <si>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</si>
  <si>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</si>
  <si>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</si>
  <si>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</si>
  <si>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</si>
  <si>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</si>
  <si>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</si>
  <si>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</si>
  <si>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</si>
  <si>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</si>
  <si>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</si>
  <si>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</si>
  <si>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</si>
  <si>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</si>
  <si>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</si>
  <si>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</si>
  <si>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</si>
  <si>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</si>
  <si>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</si>
  <si>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</si>
  <si>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</si>
  <si>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</si>
  <si>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</si>
  <si>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</si>
  <si>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</si>
  <si>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</si>
  <si>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</si>
  <si>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</si>
  <si>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</si>
  <si>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</si>
  <si>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</si>
  <si>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</si>
  <si>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</si>
  <si>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</si>
  <si>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</si>
  <si>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</si>
  <si>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</si>
  <si>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</si>
  <si>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</si>
  <si>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</si>
  <si>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</si>
  <si>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</si>
  <si>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</si>
  <si>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</si>
  <si>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</si>
  <si>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</si>
  <si>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</si>
  <si>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</si>
  <si>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</si>
  <si>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</si>
  <si>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</si>
  <si>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</si>
  <si>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</si>
  <si>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</si>
  <si>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</si>
  <si>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</si>
  <si>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</si>
  <si>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</si>
  <si>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</si>
  <si>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</si>
  <si>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</si>
  <si>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</si>
  <si>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</si>
  <si>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</si>
  <si>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</si>
  <si>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</si>
  <si>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</si>
  <si>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</si>
  <si>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</si>
  <si>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</si>
  <si>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</si>
  <si>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</si>
  <si>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</si>
  <si>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</si>
  <si>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</si>
  <si>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</si>
  <si>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</si>
  <si>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</si>
  <si>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</si>
  <si>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</si>
  <si>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</si>
  <si>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</si>
  <si>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</si>
  <si>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</si>
  <si>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</si>
  <si>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</si>
  <si>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</si>
  <si>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</si>
  <si>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</si>
  <si>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</si>
  <si>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</si>
  <si>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</si>
  <si>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</si>
  <si>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</si>
  <si>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</si>
  <si>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</si>
  <si>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</si>
  <si>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</si>
  <si>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</si>
  <si>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</si>
  <si>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</si>
  <si>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</si>
  <si>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</si>
  <si>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</si>
  <si>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</si>
  <si>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</si>
  <si>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</si>
  <si>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</si>
  <si>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</si>
  <si>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</si>
  <si>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</si>
  <si>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</si>
  <si>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</si>
  <si>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</si>
  <si>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</si>
  <si>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</si>
  <si>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</si>
  <si>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</si>
  <si>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</si>
  <si>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</si>
  <si>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</si>
  <si>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</si>
  <si>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</si>
  <si>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</si>
  <si>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</si>
  <si>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</si>
  <si>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</si>
  <si>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</si>
  <si>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</si>
  <si>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</si>
  <si>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</si>
  <si>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</si>
  <si>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</si>
  <si>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</si>
  <si>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</si>
  <si>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</si>
  <si>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</si>
  <si>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</si>
  <si>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</si>
  <si>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</si>
  <si>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</si>
  <si>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</si>
  <si>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</si>
  <si>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</si>
  <si>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</si>
  <si>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</si>
  <si>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</si>
  <si>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</si>
  <si>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</si>
  <si>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</si>
  <si>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</si>
  <si>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</si>
  <si>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</si>
  <si>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</si>
  <si>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</si>
  <si>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</si>
  <si>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</si>
  <si>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</si>
  <si>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</si>
  <si>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</si>
  <si>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</si>
  <si>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</si>
  <si>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</si>
  <si>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</si>
  <si>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</si>
  <si>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</si>
  <si>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</si>
  <si>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</si>
  <si>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</si>
  <si>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</si>
  <si>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</si>
  <si>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</si>
  <si>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</si>
  <si>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</si>
  <si>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</si>
  <si>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</si>
  <si>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</si>
  <si>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</si>
  <si>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</si>
  <si>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</si>
  <si>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</si>
  <si>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</si>
  <si>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</si>
  <si>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</si>
  <si>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</si>
  <si>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</si>
  <si>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</si>
  <si>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</si>
  <si>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</si>
  <si>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</si>
  <si>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</si>
  <si>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</si>
  <si>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</si>
  <si>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</si>
  <si>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</si>
  <si>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</si>
  <si>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</si>
  <si>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</si>
  <si>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</si>
  <si>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</si>
  <si>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</si>
  <si>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</si>
  <si>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</si>
  <si>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</si>
  <si>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</si>
  <si>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</si>
  <si>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</si>
  <si>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</si>
  <si>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</si>
  <si>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</si>
  <si>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</si>
  <si>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</si>
  <si>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</si>
  <si>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</si>
  <si>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</si>
  <si>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</si>
  <si>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</si>
  <si>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</si>
  <si>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</si>
  <si>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</si>
  <si>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</si>
  <si>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</si>
  <si>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</si>
  <si>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</si>
  <si>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</si>
  <si>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</si>
  <si>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</si>
  <si>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</si>
  <si>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</si>
  <si>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</si>
  <si>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</si>
  <si>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</si>
  <si>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</si>
  <si>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</si>
  <si>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</si>
  <si>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</si>
  <si>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</si>
  <si>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</si>
  <si>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</si>
  <si>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</si>
  <si>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</si>
  <si>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</si>
  <si>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</si>
  <si>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</si>
  <si>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</si>
  <si>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</si>
  <si>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</si>
  <si>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</si>
  <si>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</si>
  <si>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</si>
  <si>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</si>
  <si>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</si>
  <si>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</si>
  <si>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</si>
  <si>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</si>
  <si>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</si>
  <si>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</si>
  <si>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</si>
  <si>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</si>
  <si>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</si>
  <si>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</si>
  <si>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</si>
  <si>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</si>
  <si>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</si>
  <si>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</si>
  <si>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</si>
  <si>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</si>
  <si>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</si>
  <si>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</si>
  <si>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</si>
  <si>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</si>
  <si>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</si>
  <si>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</si>
  <si>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</si>
  <si>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</si>
  <si>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</si>
  <si>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</si>
  <si>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</si>
  <si>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</si>
  <si>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</si>
  <si>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</si>
  <si>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</si>
  <si>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</si>
  <si>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</si>
  <si>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</si>
  <si>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</si>
  <si>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</si>
  <si>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</si>
  <si>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</si>
  <si>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</si>
  <si>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</si>
  <si>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</si>
  <si>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</si>
  <si>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</si>
  <si>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</si>
  <si>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</si>
  <si>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</si>
  <si>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</si>
  <si>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</si>
  <si>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</si>
  <si>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</si>
  <si>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</si>
  <si>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</si>
  <si>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</si>
  <si>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</si>
  <si>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</si>
  <si>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</si>
  <si>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</si>
  <si>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Waste Heat Recovery Potential [MW]</t>
  </si>
  <si>
    <t>Type</t>
  </si>
  <si>
    <t>Installation Name</t>
  </si>
  <si>
    <t>https://secure.dccae.gov.ie/GSI_DOWNLOAD/Geoenergy/Reports/GSI_Assessment_of_GeoDH_for_Ireland_Nov2020_v2.pdf</t>
  </si>
  <si>
    <t>MEUR/GW</t>
  </si>
  <si>
    <t>~FI_T: CAP_BND</t>
  </si>
  <si>
    <t>MEUR/GW/yr</t>
  </si>
  <si>
    <t>CAPBND</t>
  </si>
  <si>
    <t>Capacity Bound</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</si>
  <si>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</si>
  <si>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</si>
  <si>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</si>
  <si>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</si>
  <si>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</si>
  <si>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</si>
  <si>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</si>
  <si>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</si>
  <si>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</si>
  <si>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</si>
  <si>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</si>
  <si>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</si>
  <si>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</si>
  <si>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</si>
  <si>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</si>
  <si>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</si>
  <si>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</si>
  <si>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</si>
  <si>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</si>
  <si>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</si>
  <si>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</si>
  <si>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</si>
  <si>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</si>
  <si>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</si>
  <si>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</si>
  <si>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</si>
  <si>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</si>
  <si>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</si>
  <si>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</si>
  <si>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</si>
  <si>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</si>
  <si>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</si>
  <si>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</si>
  <si>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</si>
  <si>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</si>
  <si>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</si>
  <si>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</si>
  <si>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</si>
  <si>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</si>
  <si>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</si>
  <si>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</si>
  <si>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</si>
  <si>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</si>
  <si>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</si>
  <si>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</si>
  <si>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</si>
  <si>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</si>
  <si>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</si>
  <si>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</si>
  <si>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</si>
  <si>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</si>
  <si>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</si>
  <si>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</si>
  <si>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</si>
  <si>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</si>
  <si>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</si>
  <si>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</si>
  <si>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</si>
  <si>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</si>
  <si>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</si>
  <si>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</si>
  <si>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</si>
  <si>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</si>
  <si>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</si>
  <si>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</si>
  <si>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</si>
  <si>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</si>
  <si>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</si>
  <si>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</si>
  <si>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</si>
  <si>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</si>
  <si>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</si>
  <si>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</si>
  <si>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</si>
  <si>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</si>
  <si>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~FI_T: CAP_BND~UP</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</si>
  <si>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</si>
  <si>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</si>
  <si>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</si>
  <si>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</si>
  <si>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</si>
  <si>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</si>
  <si>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</si>
  <si>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</si>
  <si>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</si>
  <si>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</si>
  <si>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</si>
  <si>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</si>
  <si>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</si>
  <si>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</si>
  <si>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</si>
  <si>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</si>
  <si>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</si>
  <si>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</si>
  <si>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</si>
  <si>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</si>
  <si>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</si>
  <si>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</si>
  <si>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</si>
  <si>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</si>
  <si>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</si>
  <si>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</si>
  <si>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</si>
  <si>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</si>
  <si>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</si>
  <si>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</si>
  <si>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</si>
  <si>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</si>
  <si>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</si>
  <si>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</si>
  <si>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</si>
  <si>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</si>
  <si>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</si>
  <si>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</si>
  <si>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</si>
  <si>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</si>
  <si>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</si>
  <si>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</si>
  <si>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</si>
  <si>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</si>
  <si>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</si>
  <si>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</si>
  <si>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</si>
  <si>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</si>
  <si>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</si>
  <si>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</si>
  <si>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</si>
  <si>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</si>
  <si>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</si>
  <si>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</si>
  <si>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</si>
  <si>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</si>
  <si>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</si>
  <si>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</si>
  <si>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</si>
  <si>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</si>
  <si>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</si>
  <si>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</si>
  <si>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</si>
  <si>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</si>
  <si>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</si>
  <si>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</si>
  <si>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</si>
  <si>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</si>
  <si>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</si>
  <si>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</si>
  <si>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</si>
  <si>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</si>
  <si>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</si>
  <si>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</si>
  <si>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</si>
  <si>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</si>
  <si>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</si>
  <si>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</si>
  <si>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</si>
  <si>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</si>
  <si>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</si>
  <si>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</si>
  <si>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</si>
  <si>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</si>
  <si>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STS</t>
  </si>
  <si>
    <t>STG</t>
  </si>
  <si>
    <t>DH_STG_HETC_N1</t>
  </si>
  <si>
    <t>DH_STG_HETD_N1</t>
  </si>
  <si>
    <t>Thermal decentrialised water storage tank</t>
  </si>
  <si>
    <t>Thermal Centrialised water storage tank</t>
  </si>
  <si>
    <t>https://iea-etsap.org/workshop/hybrid_winter_nov2021/07%20-%20ETSAP%20workshop_Dmytro%C2%A0Romanchenko.pdf</t>
  </si>
  <si>
    <t>Storage</t>
  </si>
  <si>
    <t>STG_EFF</t>
  </si>
  <si>
    <t>STG_LOSS</t>
  </si>
  <si>
    <t>Storage Loss</t>
  </si>
  <si>
    <t>Sorage Efficiency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</si>
</sst>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0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s>
  <fills count="79">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s>
  <borders count="45">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s>
  <cellStyleXfs count="2879">
    <xf numFmtId="0" fontId="0" fillId="0" borderId="0"/>
    <xf numFmtId="0" fontId="13" fillId="0" borderId="0"/>
    <xf numFmtId="0" fontId="12" fillId="0" borderId="0"/>
    <xf numFmtId="0" fontId="17" fillId="0" borderId="0" applyNumberFormat="0" applyFill="0" applyBorder="0" applyAlignment="0" applyProtection="0"/>
    <xf numFmtId="0" fontId="26" fillId="0" borderId="3" applyNumberFormat="0" applyFill="0" applyAlignment="0" applyProtection="0"/>
    <xf numFmtId="0" fontId="27" fillId="0" borderId="4" applyNumberFormat="0" applyFill="0" applyAlignment="0" applyProtection="0"/>
    <xf numFmtId="0" fontId="28" fillId="0" borderId="5" applyNumberFormat="0" applyFill="0" applyAlignment="0" applyProtection="0"/>
    <xf numFmtId="0" fontId="28" fillId="0" borderId="0" applyNumberFormat="0" applyFill="0" applyBorder="0" applyAlignment="0" applyProtection="0"/>
    <xf numFmtId="0" fontId="29" fillId="6" borderId="0" applyNumberFormat="0" applyBorder="0" applyAlignment="0" applyProtection="0"/>
    <xf numFmtId="0" fontId="30" fillId="7" borderId="0" applyNumberFormat="0" applyBorder="0" applyAlignment="0" applyProtection="0"/>
    <xf numFmtId="0" fontId="31" fillId="9" borderId="6" applyNumberFormat="0" applyAlignment="0" applyProtection="0"/>
    <xf numFmtId="0" fontId="32" fillId="10" borderId="7" applyNumberFormat="0" applyAlignment="0" applyProtection="0"/>
    <xf numFmtId="0" fontId="33" fillId="10" borderId="6" applyNumberFormat="0" applyAlignment="0" applyProtection="0"/>
    <xf numFmtId="0" fontId="34" fillId="0" borderId="8" applyNumberFormat="0" applyFill="0" applyAlignment="0" applyProtection="0"/>
    <xf numFmtId="0" fontId="35" fillId="11" borderId="9" applyNumberFormat="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15" fillId="0" borderId="11" applyNumberFormat="0" applyFill="0" applyAlignment="0" applyProtection="0"/>
    <xf numFmtId="0" fontId="38"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8"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8"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8"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8"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8"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5" borderId="0" applyNumberFormat="0" applyBorder="0" applyAlignment="0" applyProtection="0"/>
    <xf numFmtId="0" fontId="39" fillId="45" borderId="0" applyNumberFormat="0" applyBorder="0" applyAlignment="0" applyProtection="0"/>
    <xf numFmtId="0" fontId="39" fillId="46" borderId="0" applyNumberFormat="0" applyBorder="0" applyAlignment="0" applyProtection="0"/>
    <xf numFmtId="0" fontId="39" fillId="46"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13" fillId="0" borderId="0" applyNumberFormat="0" applyFont="0" applyFill="0" applyBorder="0" applyProtection="0">
      <alignment horizontal="left" vertical="center" indent="5"/>
    </xf>
    <xf numFmtId="0" fontId="40" fillId="48"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9" borderId="0" applyNumberFormat="0" applyBorder="0" applyAlignment="0" applyProtection="0"/>
    <xf numFmtId="0" fontId="40" fillId="50" borderId="0" applyNumberFormat="0" applyBorder="0" applyAlignment="0" applyProtection="0"/>
    <xf numFmtId="0" fontId="40" fillId="51" borderId="0" applyNumberFormat="0" applyBorder="0" applyAlignment="0" applyProtection="0"/>
    <xf numFmtId="4" fontId="59" fillId="56" borderId="2">
      <alignment horizontal="right" vertical="center"/>
    </xf>
    <xf numFmtId="4" fontId="59" fillId="56" borderId="2">
      <alignment horizontal="right" vertical="center"/>
    </xf>
    <xf numFmtId="0" fontId="63" fillId="7" borderId="0" applyNumberFormat="0" applyBorder="0" applyAlignment="0" applyProtection="0"/>
    <xf numFmtId="0" fontId="63" fillId="7" borderId="0" applyNumberFormat="0" applyBorder="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0" fontId="33" fillId="10" borderId="6" applyNumberFormat="0" applyAlignment="0" applyProtection="0"/>
    <xf numFmtId="0" fontId="50" fillId="0" borderId="14" applyNumberFormat="0" applyFill="0" applyAlignment="0" applyProtection="0"/>
    <xf numFmtId="0" fontId="43" fillId="58" borderId="15" applyNumberFormat="0" applyAlignment="0" applyProtection="0"/>
    <xf numFmtId="0" fontId="40" fillId="52" borderId="0" applyNumberFormat="0" applyBorder="0" applyAlignment="0" applyProtection="0"/>
    <xf numFmtId="0" fontId="40" fillId="53" borderId="0" applyNumberFormat="0" applyBorder="0" applyAlignment="0" applyProtection="0"/>
    <xf numFmtId="0" fontId="40" fillId="54" borderId="0" applyNumberFormat="0" applyBorder="0" applyAlignment="0" applyProtection="0"/>
    <xf numFmtId="0" fontId="40" fillId="49" borderId="0" applyNumberFormat="0" applyBorder="0" applyAlignment="0" applyProtection="0"/>
    <xf numFmtId="0" fontId="40" fillId="50" borderId="0" applyNumberFormat="0" applyBorder="0" applyAlignment="0" applyProtection="0"/>
    <xf numFmtId="0" fontId="40" fillId="55" borderId="0" applyNumberFormat="0" applyBorder="0" applyAlignment="0" applyProtection="0"/>
    <xf numFmtId="43" fontId="13" fillId="0" borderId="0" applyFont="0" applyFill="0" applyBorder="0" applyAlignment="0" applyProtection="0"/>
    <xf numFmtId="43" fontId="60"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165" fontId="11" fillId="0" borderId="0" applyFont="0" applyFill="0" applyBorder="0" applyAlignment="0" applyProtection="0"/>
    <xf numFmtId="43" fontId="13" fillId="0" borderId="0" applyFont="0" applyFill="0" applyBorder="0" applyAlignment="0" applyProtection="0"/>
    <xf numFmtId="0" fontId="57" fillId="0" borderId="0"/>
    <xf numFmtId="0" fontId="61" fillId="0" borderId="16">
      <alignment horizontal="left" vertical="center" wrapText="1" indent="2"/>
    </xf>
    <xf numFmtId="0" fontId="61" fillId="0" borderId="16">
      <alignment horizontal="left" vertical="center" wrapText="1" indent="2"/>
    </xf>
    <xf numFmtId="0"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8" fontId="13" fillId="0" borderId="0" applyFont="0" applyFill="0" applyBorder="0" applyAlignment="0" applyProtection="0"/>
    <xf numFmtId="169" fontId="13" fillId="0" borderId="0" applyFont="0" applyFill="0" applyBorder="0" applyAlignment="0" applyProtection="0"/>
    <xf numFmtId="169" fontId="13"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0" fontId="13" fillId="0" borderId="0" applyFont="0" applyFill="0" applyBorder="0" applyAlignment="0" applyProtection="0"/>
    <xf numFmtId="168"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0" fontId="57" fillId="0" borderId="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4" fontId="61" fillId="0" borderId="0" applyBorder="0">
      <alignment horizontal="right" vertical="center"/>
    </xf>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51" fillId="59" borderId="0" applyNumberFormat="0" applyBorder="0" applyAlignment="0" applyProtection="0"/>
    <xf numFmtId="0" fontId="13" fillId="0" borderId="0"/>
    <xf numFmtId="0" fontId="13" fillId="0" borderId="0"/>
    <xf numFmtId="0" fontId="64" fillId="0" borderId="0"/>
    <xf numFmtId="0" fontId="57" fillId="0" borderId="0"/>
    <xf numFmtId="0" fontId="11" fillId="0" borderId="0"/>
    <xf numFmtId="0" fontId="57" fillId="0" borderId="0"/>
    <xf numFmtId="0" fontId="11" fillId="0" borderId="0"/>
    <xf numFmtId="0" fontId="13" fillId="0" borderId="0"/>
    <xf numFmtId="0" fontId="11" fillId="0" borderId="0"/>
    <xf numFmtId="0" fontId="13" fillId="0" borderId="0"/>
    <xf numFmtId="0" fontId="13" fillId="0" borderId="0"/>
    <xf numFmtId="0" fontId="13" fillId="0" borderId="0"/>
    <xf numFmtId="0" fontId="11" fillId="0" borderId="0"/>
    <xf numFmtId="0" fontId="11" fillId="0" borderId="0"/>
    <xf numFmtId="0" fontId="13" fillId="0" borderId="0"/>
    <xf numFmtId="0" fontId="11" fillId="0" borderId="0"/>
    <xf numFmtId="0" fontId="11" fillId="0" borderId="0"/>
    <xf numFmtId="0" fontId="13" fillId="0" borderId="0"/>
    <xf numFmtId="0" fontId="64" fillId="0" borderId="0"/>
    <xf numFmtId="0" fontId="13" fillId="0" borderId="0"/>
    <xf numFmtId="0" fontId="65" fillId="0" borderId="0"/>
    <xf numFmtId="0" fontId="13" fillId="0" borderId="0"/>
    <xf numFmtId="0" fontId="65" fillId="0" borderId="0"/>
    <xf numFmtId="0" fontId="64" fillId="0" borderId="0"/>
    <xf numFmtId="0" fontId="64" fillId="0" borderId="0"/>
    <xf numFmtId="0" fontId="64" fillId="0" borderId="0"/>
    <xf numFmtId="0" fontId="64" fillId="0" borderId="0"/>
    <xf numFmtId="0" fontId="11" fillId="0" borderId="0"/>
    <xf numFmtId="0" fontId="13" fillId="0" borderId="0"/>
    <xf numFmtId="0" fontId="11" fillId="0" borderId="0"/>
    <xf numFmtId="0" fontId="64" fillId="0" borderId="0"/>
    <xf numFmtId="0" fontId="64" fillId="0" borderId="0"/>
    <xf numFmtId="0" fontId="60" fillId="0" borderId="0"/>
    <xf numFmtId="0" fontId="13" fillId="0" borderId="0"/>
    <xf numFmtId="0" fontId="11" fillId="0" borderId="0"/>
    <xf numFmtId="0" fontId="64" fillId="0" borderId="0"/>
    <xf numFmtId="4" fontId="61" fillId="0" borderId="2" applyFill="0" applyBorder="0" applyProtection="0">
      <alignment horizontal="right" vertical="center"/>
    </xf>
    <xf numFmtId="4" fontId="61" fillId="0" borderId="2" applyFill="0" applyBorder="0" applyProtection="0">
      <alignment horizontal="right" vertical="center"/>
    </xf>
    <xf numFmtId="4" fontId="61" fillId="0" borderId="2" applyFill="0" applyBorder="0" applyProtection="0">
      <alignment horizontal="right" vertical="center"/>
    </xf>
    <xf numFmtId="0" fontId="62" fillId="0" borderId="0" applyNumberFormat="0" applyFill="0" applyBorder="0" applyProtection="0">
      <alignment horizontal="left" vertical="center"/>
    </xf>
    <xf numFmtId="0" fontId="13" fillId="60" borderId="0" applyNumberFormat="0" applyFont="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39" fillId="0" borderId="0"/>
    <xf numFmtId="0" fontId="39" fillId="0" borderId="0"/>
    <xf numFmtId="0" fontId="39" fillId="0" borderId="0"/>
    <xf numFmtId="0" fontId="39"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56" fillId="0" borderId="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7" fillId="0" borderId="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1"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13" fillId="0" borderId="0"/>
    <xf numFmtId="0" fontId="55" fillId="0" borderId="0" applyNumberFormat="0" applyFill="0" applyBorder="0" applyAlignment="0" applyProtection="0"/>
    <xf numFmtId="0" fontId="44" fillId="0" borderId="0" applyNumberFormat="0" applyFill="0" applyBorder="0" applyAlignment="0" applyProtection="0"/>
    <xf numFmtId="0" fontId="53" fillId="0" borderId="0" applyNumberFormat="0" applyFill="0" applyBorder="0" applyAlignment="0" applyProtection="0"/>
    <xf numFmtId="0" fontId="46" fillId="0" borderId="17" applyNumberFormat="0" applyFill="0" applyAlignment="0" applyProtection="0"/>
    <xf numFmtId="0" fontId="46" fillId="0" borderId="17" applyNumberFormat="0" applyFill="0" applyAlignment="0" applyProtection="0"/>
    <xf numFmtId="0" fontId="47" fillId="0" borderId="18" applyNumberFormat="0" applyFill="0" applyAlignment="0" applyProtection="0"/>
    <xf numFmtId="0" fontId="47" fillId="0" borderId="18" applyNumberFormat="0" applyFill="0" applyAlignment="0" applyProtection="0"/>
    <xf numFmtId="0" fontId="48" fillId="0" borderId="19" applyNumberFormat="0" applyFill="0" applyAlignment="0" applyProtection="0"/>
    <xf numFmtId="0" fontId="48" fillId="0" borderId="19" applyNumberFormat="0" applyFill="0" applyAlignment="0" applyProtection="0"/>
    <xf numFmtId="0" fontId="48" fillId="0" borderId="0" applyNumberFormat="0" applyFill="0" applyBorder="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0" fontId="41" fillId="39" borderId="0" applyNumberFormat="0" applyBorder="0" applyAlignment="0" applyProtection="0"/>
    <xf numFmtId="0" fontId="45" fillId="40" borderId="0" applyNumberFormat="0" applyBorder="0" applyAlignment="0" applyProtection="0"/>
    <xf numFmtId="4" fontId="61" fillId="0" borderId="0"/>
    <xf numFmtId="0" fontId="66" fillId="8" borderId="0" applyNumberFormat="0" applyBorder="0" applyAlignment="0" applyProtection="0"/>
    <xf numFmtId="0" fontId="38" fillId="16" borderId="0" applyNumberFormat="0" applyBorder="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32" borderId="0" applyNumberFormat="0" applyBorder="0" applyAlignment="0" applyProtection="0"/>
    <xf numFmtId="0" fontId="38" fillId="36" borderId="0" applyNumberFormat="0" applyBorder="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1" fillId="0" borderId="0"/>
    <xf numFmtId="0" fontId="13" fillId="0" borderId="0"/>
    <xf numFmtId="0" fontId="11" fillId="0" borderId="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1" fillId="12" borderId="10" applyNumberFormat="0" applyFon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9" fontId="11" fillId="0" borderId="0" applyFont="0" applyFill="0" applyBorder="0" applyAlignment="0" applyProtection="0"/>
    <xf numFmtId="0" fontId="67" fillId="0" borderId="0" applyNumberFormat="0" applyFill="0" applyBorder="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165" fontId="13" fillId="0" borderId="0" applyFont="0" applyFill="0" applyBorder="0" applyAlignment="0" applyProtection="0"/>
    <xf numFmtId="0" fontId="13" fillId="0" borderId="0"/>
    <xf numFmtId="0" fontId="69" fillId="0" borderId="0" applyNumberFormat="0" applyFill="0" applyBorder="0" applyAlignment="0" applyProtection="0">
      <alignment vertical="top"/>
      <protection locked="0"/>
    </xf>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39" fillId="38" borderId="0" applyNumberFormat="0" applyBorder="0" applyAlignment="0" applyProtection="0"/>
    <xf numFmtId="0" fontId="39" fillId="39" borderId="0" applyNumberFormat="0" applyBorder="0" applyAlignment="0" applyProtection="0"/>
    <xf numFmtId="0" fontId="39" fillId="40" borderId="0" applyNumberFormat="0" applyBorder="0" applyAlignment="0" applyProtection="0"/>
    <xf numFmtId="0" fontId="39" fillId="41" borderId="0" applyNumberFormat="0" applyBorder="0" applyAlignment="0" applyProtection="0"/>
    <xf numFmtId="0" fontId="39" fillId="42" borderId="0" applyNumberFormat="0" applyBorder="0" applyAlignment="0" applyProtection="0"/>
    <xf numFmtId="0" fontId="39" fillId="43"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39" fillId="44" borderId="0" applyNumberFormat="0" applyBorder="0" applyAlignment="0" applyProtection="0"/>
    <xf numFmtId="0" fontId="39" fillId="45" borderId="0" applyNumberFormat="0" applyBorder="0" applyAlignment="0" applyProtection="0"/>
    <xf numFmtId="0" fontId="39" fillId="46" borderId="0" applyNumberFormat="0" applyBorder="0" applyAlignment="0" applyProtection="0"/>
    <xf numFmtId="0" fontId="39" fillId="41" borderId="0" applyNumberFormat="0" applyBorder="0" applyAlignment="0" applyProtection="0"/>
    <xf numFmtId="0" fontId="39" fillId="44" borderId="0" applyNumberFormat="0" applyBorder="0" applyAlignment="0" applyProtection="0"/>
    <xf numFmtId="0" fontId="39" fillId="47" borderId="0" applyNumberFormat="0" applyBorder="0" applyAlignment="0" applyProtection="0"/>
    <xf numFmtId="0" fontId="40" fillId="48"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9" borderId="0" applyNumberFormat="0" applyBorder="0" applyAlignment="0" applyProtection="0"/>
    <xf numFmtId="0" fontId="40" fillId="50" borderId="0" applyNumberFormat="0" applyBorder="0" applyAlignment="0" applyProtection="0"/>
    <xf numFmtId="0" fontId="40" fillId="51" borderId="0" applyNumberFormat="0" applyBorder="0" applyAlignment="0" applyProtection="0"/>
    <xf numFmtId="0" fontId="40" fillId="52" borderId="0" applyNumberFormat="0" applyBorder="0" applyAlignment="0" applyProtection="0"/>
    <xf numFmtId="0" fontId="40" fillId="53" borderId="0" applyNumberFormat="0" applyBorder="0" applyAlignment="0" applyProtection="0"/>
    <xf numFmtId="0" fontId="40" fillId="54" borderId="0" applyNumberFormat="0" applyBorder="0" applyAlignment="0" applyProtection="0"/>
    <xf numFmtId="0" fontId="40" fillId="49" borderId="0" applyNumberFormat="0" applyBorder="0" applyAlignment="0" applyProtection="0"/>
    <xf numFmtId="0" fontId="40" fillId="50" borderId="0" applyNumberFormat="0" applyBorder="0" applyAlignment="0" applyProtection="0"/>
    <xf numFmtId="0" fontId="40" fillId="55" borderId="0" applyNumberFormat="0" applyBorder="0" applyAlignment="0" applyProtection="0"/>
    <xf numFmtId="0" fontId="41" fillId="39" borderId="0" applyNumberFormat="0" applyBorder="0" applyAlignment="0" applyProtection="0"/>
    <xf numFmtId="0" fontId="11" fillId="12" borderId="1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0" fontId="70" fillId="0" borderId="0"/>
    <xf numFmtId="0" fontId="71" fillId="0" borderId="0">
      <alignment horizontal="right"/>
    </xf>
    <xf numFmtId="0" fontId="72" fillId="0" borderId="0"/>
    <xf numFmtId="0" fontId="73" fillId="0" borderId="0"/>
    <xf numFmtId="0" fontId="74" fillId="0" borderId="0"/>
    <xf numFmtId="0" fontId="75" fillId="0" borderId="23" applyNumberFormat="0" applyAlignment="0"/>
    <xf numFmtId="0" fontId="76" fillId="0" borderId="0" applyAlignment="0">
      <alignment horizontal="left"/>
    </xf>
    <xf numFmtId="0" fontId="76" fillId="0" borderId="0">
      <alignment horizontal="right"/>
    </xf>
    <xf numFmtId="170" fontId="76" fillId="0" borderId="0">
      <alignment horizontal="right"/>
    </xf>
    <xf numFmtId="164" fontId="77" fillId="0" borderId="0">
      <alignment horizontal="right"/>
    </xf>
    <xf numFmtId="0" fontId="78" fillId="0" borderId="0"/>
    <xf numFmtId="0" fontId="42" fillId="57" borderId="13" applyNumberFormat="0" applyAlignment="0" applyProtection="0"/>
    <xf numFmtId="0" fontId="43" fillId="58" borderId="15" applyNumberFormat="0" applyAlignment="0" applyProtection="0"/>
    <xf numFmtId="165" fontId="13" fillId="0" borderId="0" applyFont="0" applyFill="0" applyBorder="0" applyAlignment="0" applyProtection="0"/>
    <xf numFmtId="165" fontId="79"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79"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3" fillId="0" borderId="0" applyFont="0" applyFill="0" applyBorder="0" applyAlignment="0" applyProtection="0"/>
    <xf numFmtId="43" fontId="39" fillId="0" borderId="0" applyFont="0" applyFill="0" applyBorder="0" applyAlignment="0" applyProtection="0"/>
    <xf numFmtId="165" fontId="79" fillId="0" borderId="0" applyFont="0" applyFill="0" applyBorder="0" applyAlignment="0" applyProtection="0"/>
    <xf numFmtId="165" fontId="79" fillId="0" borderId="0" applyFont="0" applyFill="0" applyBorder="0" applyAlignment="0" applyProtection="0"/>
    <xf numFmtId="165" fontId="79"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44" fillId="0" borderId="0" applyNumberFormat="0" applyFill="0" applyBorder="0" applyAlignment="0" applyProtection="0"/>
    <xf numFmtId="0" fontId="45" fillId="40" borderId="0" applyNumberFormat="0" applyBorder="0" applyAlignment="0" applyProtection="0"/>
    <xf numFmtId="0" fontId="46" fillId="0" borderId="17" applyNumberFormat="0" applyFill="0" applyAlignment="0" applyProtection="0"/>
    <xf numFmtId="0" fontId="47" fillId="0" borderId="18" applyNumberFormat="0" applyFill="0" applyAlignment="0" applyProtection="0"/>
    <xf numFmtId="0" fontId="48" fillId="0" borderId="19" applyNumberFormat="0" applyFill="0" applyAlignment="0" applyProtection="0"/>
    <xf numFmtId="0" fontId="48" fillId="0" borderId="0" applyNumberFormat="0" applyFill="0" applyBorder="0" applyAlignment="0" applyProtection="0"/>
    <xf numFmtId="0" fontId="69" fillId="0" borderId="0" applyNumberFormat="0" applyFill="0" applyBorder="0" applyAlignment="0" applyProtection="0">
      <alignment vertical="top"/>
      <protection locked="0"/>
    </xf>
    <xf numFmtId="43" fontId="13"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3"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43" fontId="13"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17" fillId="0" borderId="0" applyNumberFormat="0" applyFill="0" applyBorder="0" applyAlignment="0" applyProtection="0"/>
    <xf numFmtId="0" fontId="50" fillId="0" borderId="14" applyNumberFormat="0" applyFill="0" applyAlignment="0" applyProtection="0"/>
    <xf numFmtId="0" fontId="51" fillId="59"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80" fillId="0" borderId="0" applyFill="0" applyBorder="0"/>
    <xf numFmtId="0" fontId="68" fillId="0" borderId="0"/>
    <xf numFmtId="0" fontId="11" fillId="0" borderId="0"/>
    <xf numFmtId="0" fontId="80" fillId="0" borderId="0" applyFill="0" applyBorder="0"/>
    <xf numFmtId="0" fontId="11" fillId="0" borderId="0"/>
    <xf numFmtId="0" fontId="13" fillId="0" borderId="0"/>
    <xf numFmtId="0" fontId="11" fillId="0" borderId="0"/>
    <xf numFmtId="0" fontId="11" fillId="0" borderId="0"/>
    <xf numFmtId="0" fontId="81" fillId="0" borderId="0" applyBorder="0">
      <protection locked="0"/>
    </xf>
    <xf numFmtId="0" fontId="11" fillId="0" borderId="0"/>
    <xf numFmtId="0" fontId="11" fillId="0" borderId="0"/>
    <xf numFmtId="0" fontId="11" fillId="0" borderId="0"/>
    <xf numFmtId="0" fontId="11"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3"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4" fillId="62" borderId="2" applyNumberFormat="0" applyProtection="0">
      <alignment horizontal="right"/>
    </xf>
    <xf numFmtId="1" fontId="13" fillId="0" borderId="2" applyFill="0" applyProtection="0">
      <alignment horizontal="right" vertical="top" wrapText="1"/>
    </xf>
    <xf numFmtId="0" fontId="13" fillId="0" borderId="2" applyFill="0" applyProtection="0">
      <alignment horizontal="right" vertical="top" wrapText="1"/>
    </xf>
    <xf numFmtId="0" fontId="25" fillId="0" borderId="0" applyNumberFormat="0" applyFill="0" applyBorder="0" applyAlignment="0" applyProtection="0"/>
    <xf numFmtId="0" fontId="53" fillId="0" borderId="0" applyNumberFormat="0" applyFill="0" applyBorder="0" applyAlignment="0" applyProtection="0"/>
    <xf numFmtId="0" fontId="54" fillId="0" borderId="22" applyNumberFormat="0" applyFill="0" applyAlignment="0" applyProtection="0"/>
    <xf numFmtId="0" fontId="55" fillId="0" borderId="0" applyNumberFormat="0" applyFill="0" applyBorder="0" applyAlignment="0" applyProtection="0"/>
    <xf numFmtId="0" fontId="82" fillId="0" borderId="24" applyNumberFormat="0">
      <alignment vertical="center"/>
    </xf>
    <xf numFmtId="171" fontId="83" fillId="0" borderId="24">
      <alignment horizontal="right" vertical="center"/>
    </xf>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15" borderId="0" applyNumberFormat="0" applyBorder="0" applyAlignment="0" applyProtection="0"/>
    <xf numFmtId="0" fontId="11" fillId="19" borderId="0" applyNumberFormat="0" applyBorder="0" applyAlignment="0" applyProtection="0"/>
    <xf numFmtId="0" fontId="11" fillId="23" borderId="0" applyNumberFormat="0" applyBorder="0" applyAlignment="0" applyProtection="0"/>
    <xf numFmtId="0" fontId="11" fillId="27" borderId="0" applyNumberFormat="0" applyBorder="0" applyAlignment="0" applyProtection="0"/>
    <xf numFmtId="0" fontId="11" fillId="31" borderId="0" applyNumberFormat="0" applyBorder="0" applyAlignment="0" applyProtection="0"/>
    <xf numFmtId="0" fontId="11" fillId="35" borderId="0" applyNumberFormat="0" applyBorder="0" applyAlignment="0" applyProtection="0"/>
    <xf numFmtId="0" fontId="38" fillId="16" borderId="0" applyNumberFormat="0" applyBorder="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32" borderId="0" applyNumberFormat="0" applyBorder="0" applyAlignment="0" applyProtection="0"/>
    <xf numFmtId="0" fontId="38" fillId="36" borderId="0" applyNumberFormat="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8" fontId="13"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8"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0" fontId="49" fillId="43" borderId="13" applyNumberFormat="0" applyAlignment="0" applyProtection="0"/>
    <xf numFmtId="0" fontId="35" fillId="11" borderId="9" applyNumberFormat="0" applyAlignment="0" applyProtection="0"/>
    <xf numFmtId="0" fontId="38" fillId="13" borderId="0" applyNumberFormat="0" applyBorder="0" applyAlignment="0" applyProtection="0"/>
    <xf numFmtId="0" fontId="38" fillId="17" borderId="0" applyNumberFormat="0" applyBorder="0" applyAlignment="0" applyProtection="0"/>
    <xf numFmtId="0" fontId="38" fillId="21" borderId="0" applyNumberFormat="0" applyBorder="0" applyAlignment="0" applyProtection="0"/>
    <xf numFmtId="0" fontId="38" fillId="25" borderId="0" applyNumberFormat="0" applyBorder="0" applyAlignment="0" applyProtection="0"/>
    <xf numFmtId="0" fontId="38" fillId="29" borderId="0" applyNumberFormat="0" applyBorder="0" applyAlignment="0" applyProtection="0"/>
    <xf numFmtId="0" fontId="38" fillId="33" borderId="0" applyNumberFormat="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1" fillId="0" borderId="0"/>
    <xf numFmtId="0" fontId="13" fillId="0" borderId="0"/>
    <xf numFmtId="0" fontId="13" fillId="0" borderId="0"/>
    <xf numFmtId="0" fontId="11" fillId="0" borderId="0"/>
    <xf numFmtId="0" fontId="13" fillId="0" borderId="0"/>
    <xf numFmtId="0" fontId="11" fillId="0" borderId="0"/>
    <xf numFmtId="0" fontId="13" fillId="0" borderId="0"/>
    <xf numFmtId="0" fontId="13" fillId="0" borderId="0"/>
    <xf numFmtId="0" fontId="13" fillId="0" borderId="0"/>
    <xf numFmtId="0" fontId="13" fillId="0" borderId="0"/>
    <xf numFmtId="0" fontId="11" fillId="0" borderId="0"/>
    <xf numFmtId="0" fontId="1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7"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1" fillId="0" borderId="0"/>
    <xf numFmtId="0" fontId="11" fillId="0" borderId="0"/>
    <xf numFmtId="0" fontId="13" fillId="0" borderId="0"/>
    <xf numFmtId="0" fontId="13" fillId="0" borderId="0"/>
    <xf numFmtId="0" fontId="13" fillId="0" borderId="0"/>
    <xf numFmtId="0" fontId="13" fillId="0" borderId="0"/>
    <xf numFmtId="0" fontId="13" fillId="0" borderId="0"/>
    <xf numFmtId="0" fontId="1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3" fillId="0" borderId="0"/>
    <xf numFmtId="0" fontId="11"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64" fillId="0" borderId="0"/>
    <xf numFmtId="0" fontId="6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0" fillId="0" borderId="0"/>
    <xf numFmtId="0" fontId="11" fillId="0" borderId="0"/>
    <xf numFmtId="0" fontId="60"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60" fillId="61" borderId="20" applyNumberFormat="0" applyFont="0" applyAlignment="0" applyProtection="0"/>
    <xf numFmtId="0" fontId="13" fillId="61" borderId="2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0" fontId="52" fillId="57" borderId="21" applyNumberFormat="0" applyAlignment="0" applyProtection="0"/>
    <xf numFmtId="9" fontId="13"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1" fillId="0" borderId="0" applyFont="0" applyFill="0" applyBorder="0" applyAlignment="0" applyProtection="0"/>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54" fillId="0" borderId="22" applyNumberFormat="0" applyFill="0" applyAlignment="0" applyProtection="0"/>
    <xf numFmtId="0" fontId="54" fillId="0" borderId="22" applyNumberFormat="0" applyFill="0" applyAlignment="0" applyProtection="0"/>
    <xf numFmtId="0" fontId="10" fillId="0" borderId="0"/>
    <xf numFmtId="0" fontId="9" fillId="30" borderId="0" applyNumberFormat="0" applyBorder="0" applyAlignment="0" applyProtection="0"/>
    <xf numFmtId="0" fontId="9" fillId="0" borderId="0"/>
    <xf numFmtId="0" fontId="8" fillId="0" borderId="0"/>
    <xf numFmtId="0" fontId="13" fillId="0" borderId="0"/>
    <xf numFmtId="0" fontId="13" fillId="0" borderId="0"/>
    <xf numFmtId="0" fontId="94" fillId="0" borderId="0"/>
    <xf numFmtId="0" fontId="97" fillId="0" borderId="0" applyNumberFormat="0" applyFill="0" applyBorder="0" applyAlignment="0" applyProtection="0"/>
    <xf numFmtId="0" fontId="7" fillId="0" borderId="0"/>
    <xf numFmtId="0" fontId="7" fillId="14" borderId="0" applyNumberFormat="0" applyBorder="0" applyAlignment="0" applyProtection="0"/>
    <xf numFmtId="0" fontId="27" fillId="72" borderId="4" applyAlignment="0" applyProtection="0"/>
    <xf numFmtId="43" fontId="104" fillId="0" borderId="0" applyFont="0" applyFill="0" applyBorder="0" applyAlignment="0" applyProtection="0"/>
  </cellStyleXfs>
  <cellXfs count="231">
    <xf numFmtId="0" fontId="0" fillId="0" borderId="0" xfId="0"/>
    <xf numFmtId="0" fontId="13" fillId="0" borderId="0" xfId="0" applyFont="1"/>
    <xf numFmtId="0" fontId="13" fillId="2" borderId="1" xfId="0" applyFont="1" applyFill="1" applyBorder="1" applyAlignment="1">
      <alignment horizontal="center" wrapText="1"/>
    </xf>
    <xf numFmtId="0" fontId="0" fillId="0" borderId="0" xfId="0" applyAlignment="1">
      <alignment vertical="center"/>
    </xf>
    <xf numFmtId="0" fontId="12" fillId="3" borderId="0" xfId="1" applyFont="1" applyFill="1" applyAlignment="1">
      <alignment vertical="center"/>
    </xf>
    <xf numFmtId="0" fontId="12" fillId="4" borderId="0" xfId="1" applyFont="1" applyFill="1" applyAlignment="1">
      <alignment vertical="center"/>
    </xf>
    <xf numFmtId="0" fontId="12" fillId="0" borderId="0" xfId="2"/>
    <xf numFmtId="0" fontId="16" fillId="4" borderId="0" xfId="1" applyFont="1" applyFill="1" applyAlignment="1">
      <alignment vertical="center"/>
    </xf>
    <xf numFmtId="0" fontId="17" fillId="4" borderId="0" xfId="1" applyFont="1" applyFill="1" applyAlignment="1">
      <alignment vertical="center"/>
    </xf>
    <xf numFmtId="0" fontId="12" fillId="5" borderId="0" xfId="1" applyFont="1" applyFill="1" applyAlignment="1">
      <alignment vertical="center"/>
    </xf>
    <xf numFmtId="0" fontId="18" fillId="4" borderId="0" xfId="1" applyFont="1" applyFill="1" applyAlignment="1">
      <alignment vertical="center"/>
    </xf>
    <xf numFmtId="0" fontId="19" fillId="4" borderId="0" xfId="1" applyFont="1" applyFill="1" applyAlignment="1">
      <alignment vertical="center"/>
    </xf>
    <xf numFmtId="0" fontId="20" fillId="3" borderId="0" xfId="1" applyFont="1" applyFill="1" applyAlignment="1">
      <alignment vertical="center"/>
    </xf>
    <xf numFmtId="0" fontId="21" fillId="4" borderId="0" xfId="1" applyFont="1" applyFill="1" applyAlignment="1">
      <alignment vertical="center"/>
    </xf>
    <xf numFmtId="0" fontId="22" fillId="4" borderId="0" xfId="1" applyFont="1" applyFill="1" applyAlignment="1">
      <alignment vertical="center"/>
    </xf>
    <xf numFmtId="0" fontId="21" fillId="3" borderId="0" xfId="1" applyFont="1" applyFill="1" applyAlignment="1">
      <alignment vertical="center"/>
    </xf>
    <xf numFmtId="164" fontId="21" fillId="3" borderId="0" xfId="1" applyNumberFormat="1" applyFont="1" applyFill="1" applyAlignment="1">
      <alignment horizontal="left" vertical="center"/>
    </xf>
    <xf numFmtId="0" fontId="23" fillId="4" borderId="0" xfId="1" applyFont="1" applyFill="1" applyAlignment="1">
      <alignment vertical="center"/>
    </xf>
    <xf numFmtId="0" fontId="24" fillId="3" borderId="0" xfId="1" applyFont="1" applyFill="1" applyAlignment="1">
      <alignment vertical="center"/>
    </xf>
    <xf numFmtId="0" fontId="17"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8" fillId="13" borderId="0" xfId="18" applyAlignment="1">
      <alignment horizontal="left"/>
    </xf>
    <xf numFmtId="0" fontId="18" fillId="64" borderId="1" xfId="2867" applyFont="1" applyFill="1" applyBorder="1" applyAlignment="1">
      <alignment vertical="center"/>
    </xf>
    <xf numFmtId="0" fontId="86" fillId="0" borderId="0" xfId="0" applyFont="1"/>
    <xf numFmtId="2" fontId="0" fillId="0" borderId="0" xfId="0" applyNumberFormat="1"/>
    <xf numFmtId="0" fontId="88" fillId="0" borderId="0" xfId="0" applyFont="1" applyAlignment="1">
      <alignment horizontal="left"/>
    </xf>
    <xf numFmtId="0" fontId="14" fillId="65" borderId="25" xfId="0" applyFont="1" applyFill="1" applyBorder="1" applyAlignment="1">
      <alignment horizontal="left"/>
    </xf>
    <xf numFmtId="0" fontId="14" fillId="65" borderId="26" xfId="0" applyFont="1" applyFill="1" applyBorder="1" applyAlignment="1">
      <alignment horizontal="left"/>
    </xf>
    <xf numFmtId="0" fontId="89" fillId="30" borderId="1" xfId="2868" applyFont="1" applyBorder="1" applyAlignment="1">
      <alignment horizontal="left" wrapText="1"/>
    </xf>
    <xf numFmtId="0" fontId="89" fillId="30" borderId="25" xfId="2868" applyFont="1" applyBorder="1" applyAlignment="1">
      <alignment horizontal="left" wrapText="1"/>
    </xf>
    <xf numFmtId="172" fontId="0" fillId="0" borderId="0" xfId="0" applyNumberFormat="1" applyAlignment="1">
      <alignment horizontal="left" vertical="center"/>
    </xf>
    <xf numFmtId="0" fontId="89" fillId="30" borderId="25" xfId="2868" applyFont="1" applyBorder="1" applyAlignment="1">
      <alignment horizontal="center" wrapText="1"/>
    </xf>
    <xf numFmtId="172" fontId="88" fillId="0" borderId="0" xfId="0" applyNumberFormat="1" applyFont="1"/>
    <xf numFmtId="172" fontId="0" fillId="0" borderId="0" xfId="0" applyNumberFormat="1"/>
    <xf numFmtId="172" fontId="14" fillId="65" borderId="25" xfId="0" applyNumberFormat="1" applyFont="1" applyFill="1" applyBorder="1" applyAlignment="1">
      <alignment horizontal="left"/>
    </xf>
    <xf numFmtId="172" fontId="89" fillId="30" borderId="1" xfId="2868" applyNumberFormat="1" applyFont="1" applyBorder="1" applyAlignment="1">
      <alignment horizontal="left" wrapText="1"/>
    </xf>
    <xf numFmtId="172" fontId="89" fillId="30" borderId="1" xfId="2868" applyNumberFormat="1" applyFont="1" applyBorder="1" applyAlignment="1">
      <alignment horizontal="center" wrapText="1"/>
    </xf>
    <xf numFmtId="172" fontId="87" fillId="0" borderId="0" xfId="0" applyNumberFormat="1" applyFont="1"/>
    <xf numFmtId="172" fontId="87" fillId="0" borderId="0" xfId="0" applyNumberFormat="1" applyFont="1" applyAlignment="1">
      <alignment wrapText="1"/>
    </xf>
    <xf numFmtId="0" fontId="0" fillId="0" borderId="0" xfId="0" applyAlignment="1">
      <alignment horizontal="left" vertical="center"/>
    </xf>
    <xf numFmtId="172" fontId="13" fillId="0" borderId="0" xfId="0" applyNumberFormat="1" applyFont="1" applyAlignment="1">
      <alignment horizontal="left"/>
    </xf>
    <xf numFmtId="0" fontId="13" fillId="0" borderId="0" xfId="0" applyFont="1" applyAlignment="1">
      <alignment horizontal="left"/>
    </xf>
    <xf numFmtId="0" fontId="87" fillId="0" borderId="0" xfId="0" applyFont="1" applyAlignment="1">
      <alignment horizontal="left"/>
    </xf>
    <xf numFmtId="0" fontId="0" fillId="0" borderId="0" xfId="0" applyAlignment="1">
      <alignment horizontal="right"/>
    </xf>
    <xf numFmtId="0" fontId="13" fillId="0" borderId="0" xfId="0" applyFont="1" applyAlignment="1">
      <alignment vertical="center"/>
    </xf>
    <xf numFmtId="0" fontId="13" fillId="0" borderId="2" xfId="0" applyFont="1" applyBorder="1" applyAlignment="1">
      <alignment vertical="center"/>
    </xf>
    <xf numFmtId="0" fontId="87" fillId="0" borderId="0" xfId="0" applyFont="1"/>
    <xf numFmtId="0" fontId="14" fillId="0" borderId="2" xfId="0" applyFont="1" applyBorder="1" applyAlignment="1">
      <alignment horizontal="right"/>
    </xf>
    <xf numFmtId="172" fontId="13" fillId="0" borderId="0" xfId="0" applyNumberFormat="1" applyFont="1" applyAlignment="1">
      <alignment horizontal="left" vertical="center"/>
    </xf>
    <xf numFmtId="0" fontId="0" fillId="66" borderId="0" xfId="0" applyFill="1" applyAlignment="1">
      <alignment horizontal="left" vertical="center"/>
    </xf>
    <xf numFmtId="0" fontId="8" fillId="0" borderId="0" xfId="2870"/>
    <xf numFmtId="0" fontId="13" fillId="0" borderId="0" xfId="2871"/>
    <xf numFmtId="0" fontId="88" fillId="0" borderId="0" xfId="2871" applyFont="1" applyAlignment="1">
      <alignment vertical="center"/>
    </xf>
    <xf numFmtId="172" fontId="14" fillId="65" borderId="26" xfId="2871" applyNumberFormat="1" applyFont="1" applyFill="1" applyBorder="1"/>
    <xf numFmtId="0" fontId="91" fillId="2" borderId="28" xfId="2871" applyFont="1" applyFill="1" applyBorder="1" applyAlignment="1">
      <alignment horizontal="left" vertical="top" wrapText="1"/>
    </xf>
    <xf numFmtId="0" fontId="91" fillId="67" borderId="29" xfId="2871" applyFont="1" applyFill="1" applyBorder="1" applyAlignment="1">
      <alignment horizontal="left"/>
    </xf>
    <xf numFmtId="2" fontId="21" fillId="3" borderId="0" xfId="2871" applyNumberFormat="1" applyFont="1" applyFill="1"/>
    <xf numFmtId="0" fontId="21" fillId="4" borderId="27" xfId="2871" applyFont="1" applyFill="1" applyBorder="1"/>
    <xf numFmtId="174" fontId="21" fillId="4" borderId="27" xfId="2871" applyNumberFormat="1" applyFont="1" applyFill="1" applyBorder="1"/>
    <xf numFmtId="1" fontId="21" fillId="4" borderId="27" xfId="2871" applyNumberFormat="1" applyFont="1" applyFill="1" applyBorder="1"/>
    <xf numFmtId="2" fontId="21" fillId="4" borderId="27" xfId="2871" applyNumberFormat="1" applyFont="1" applyFill="1" applyBorder="1"/>
    <xf numFmtId="2" fontId="21" fillId="4" borderId="27" xfId="2872" applyNumberFormat="1" applyFont="1" applyFill="1" applyBorder="1"/>
    <xf numFmtId="164" fontId="21" fillId="4" borderId="27" xfId="2871" applyNumberFormat="1" applyFont="1" applyFill="1" applyBorder="1"/>
    <xf numFmtId="2" fontId="21" fillId="4" borderId="0" xfId="2871" applyNumberFormat="1" applyFont="1" applyFill="1"/>
    <xf numFmtId="0" fontId="21" fillId="0" borderId="0" xfId="2871" applyFont="1"/>
    <xf numFmtId="174" fontId="21" fillId="0" borderId="0" xfId="2871" applyNumberFormat="1" applyFont="1"/>
    <xf numFmtId="164" fontId="21" fillId="0" borderId="0" xfId="2871" applyNumberFormat="1" applyFont="1"/>
    <xf numFmtId="0" fontId="94" fillId="0" borderId="0" xfId="2873"/>
    <xf numFmtId="0" fontId="95" fillId="0" borderId="0" xfId="2873" applyFont="1"/>
    <xf numFmtId="0" fontId="94" fillId="0" borderId="0" xfId="2873" applyAlignment="1">
      <alignment horizontal="center"/>
    </xf>
    <xf numFmtId="9" fontId="94" fillId="0" borderId="0" xfId="2873" applyNumberFormat="1" applyAlignment="1">
      <alignment horizontal="center"/>
    </xf>
    <xf numFmtId="9" fontId="94" fillId="0" borderId="0" xfId="2873" applyNumberFormat="1"/>
    <xf numFmtId="0" fontId="95" fillId="68" borderId="0" xfId="2873" applyFont="1" applyFill="1" applyAlignment="1">
      <alignment horizontal="center"/>
    </xf>
    <xf numFmtId="0" fontId="96" fillId="68" borderId="0" xfId="2873" applyFont="1" applyFill="1"/>
    <xf numFmtId="0" fontId="95" fillId="68" borderId="0" xfId="2873" applyFont="1" applyFill="1"/>
    <xf numFmtId="0" fontId="86" fillId="67" borderId="1" xfId="2871" applyFont="1" applyFill="1" applyBorder="1" applyAlignment="1">
      <alignment horizontal="right"/>
    </xf>
    <xf numFmtId="1" fontId="21" fillId="69" borderId="2" xfId="1" applyNumberFormat="1" applyFont="1" applyFill="1" applyBorder="1" applyAlignment="1">
      <alignment horizontal="center"/>
    </xf>
    <xf numFmtId="1" fontId="21" fillId="70" borderId="2" xfId="1" applyNumberFormat="1" applyFont="1" applyFill="1" applyBorder="1" applyAlignment="1">
      <alignment horizontal="center"/>
    </xf>
    <xf numFmtId="1" fontId="21" fillId="71" borderId="2" xfId="1" applyNumberFormat="1" applyFont="1" applyFill="1" applyBorder="1" applyAlignment="1">
      <alignment horizontal="center"/>
    </xf>
    <xf numFmtId="0" fontId="18" fillId="3" borderId="2" xfId="1" applyFont="1" applyFill="1" applyBorder="1" applyAlignment="1">
      <alignment horizontal="center" vertical="center" wrapText="1"/>
    </xf>
    <xf numFmtId="0" fontId="27" fillId="3" borderId="4" xfId="5" applyFill="1"/>
    <xf numFmtId="0" fontId="97" fillId="0" borderId="0" xfId="2874"/>
    <xf numFmtId="172" fontId="100" fillId="0" borderId="0" xfId="0" applyNumberFormat="1" applyFont="1" applyAlignment="1">
      <alignment vertical="center"/>
    </xf>
    <xf numFmtId="172" fontId="101" fillId="65" borderId="26" xfId="0" applyNumberFormat="1" applyFont="1" applyFill="1" applyBorder="1" applyAlignment="1">
      <alignment vertical="center"/>
    </xf>
    <xf numFmtId="172" fontId="86" fillId="2" borderId="28" xfId="0" applyNumberFormat="1" applyFont="1" applyFill="1" applyBorder="1" applyAlignment="1">
      <alignment horizontal="left" vertical="center" wrapText="1"/>
    </xf>
    <xf numFmtId="0" fontId="6" fillId="3" borderId="0" xfId="2875" applyFont="1" applyFill="1"/>
    <xf numFmtId="0" fontId="21" fillId="3" borderId="0" xfId="2871" applyFont="1" applyFill="1"/>
    <xf numFmtId="0" fontId="21" fillId="3" borderId="27" xfId="2871" applyFont="1" applyFill="1" applyBorder="1"/>
    <xf numFmtId="2" fontId="21" fillId="3" borderId="0" xfId="2872" applyNumberFormat="1" applyFont="1" applyFill="1"/>
    <xf numFmtId="0" fontId="21" fillId="4" borderId="31" xfId="2871" applyFont="1" applyFill="1" applyBorder="1"/>
    <xf numFmtId="2" fontId="21" fillId="4" borderId="31" xfId="2871" applyNumberFormat="1" applyFont="1" applyFill="1" applyBorder="1"/>
    <xf numFmtId="43" fontId="21" fillId="0" borderId="0" xfId="2878" applyFont="1"/>
    <xf numFmtId="164" fontId="21" fillId="3" borderId="0" xfId="2871" applyNumberFormat="1" applyFont="1" applyFill="1"/>
    <xf numFmtId="0" fontId="21" fillId="3" borderId="29" xfId="2871" applyFont="1" applyFill="1" applyBorder="1"/>
    <xf numFmtId="2" fontId="21" fillId="3" borderId="29" xfId="2871" applyNumberFormat="1" applyFont="1" applyFill="1" applyBorder="1"/>
    <xf numFmtId="2" fontId="21" fillId="3" borderId="29" xfId="2872" applyNumberFormat="1" applyFont="1" applyFill="1" applyBorder="1"/>
    <xf numFmtId="164" fontId="21" fillId="3" borderId="29" xfId="2871" applyNumberFormat="1" applyFont="1" applyFill="1" applyBorder="1"/>
    <xf numFmtId="2" fontId="21" fillId="0" borderId="0" xfId="2871" applyNumberFormat="1" applyFont="1"/>
    <xf numFmtId="173" fontId="21" fillId="3" borderId="29" xfId="2872" applyNumberFormat="1" applyFont="1" applyFill="1" applyBorder="1"/>
    <xf numFmtId="173" fontId="21" fillId="3" borderId="0" xfId="2872" applyNumberFormat="1" applyFont="1" applyFill="1"/>
    <xf numFmtId="173" fontId="21" fillId="4" borderId="27" xfId="2872" applyNumberFormat="1" applyFont="1" applyFill="1" applyBorder="1"/>
    <xf numFmtId="173" fontId="21" fillId="4" borderId="31" xfId="2871" applyNumberFormat="1" applyFont="1" applyFill="1" applyBorder="1"/>
    <xf numFmtId="0" fontId="21" fillId="0" borderId="27" xfId="2871" applyFont="1" applyBorder="1"/>
    <xf numFmtId="0" fontId="21" fillId="0" borderId="31" xfId="2871" applyFont="1" applyBorder="1"/>
    <xf numFmtId="2" fontId="21" fillId="0" borderId="31" xfId="2871" applyNumberFormat="1" applyFont="1" applyBorder="1"/>
    <xf numFmtId="1" fontId="0" fillId="0" borderId="0" xfId="0" applyNumberFormat="1"/>
    <xf numFmtId="0" fontId="99" fillId="3" borderId="2" xfId="1" applyFont="1" applyFill="1" applyBorder="1" applyAlignment="1">
      <alignment horizontal="center" vertical="center"/>
    </xf>
    <xf numFmtId="0" fontId="98" fillId="71" borderId="2" xfId="1" applyFont="1" applyFill="1" applyBorder="1" applyAlignment="1">
      <alignment vertical="center"/>
    </xf>
    <xf numFmtId="0" fontId="6" fillId="3" borderId="2" xfId="2875" applyFont="1" applyFill="1" applyBorder="1"/>
    <xf numFmtId="0" fontId="13" fillId="0" borderId="2" xfId="0" applyFont="1" applyBorder="1"/>
    <xf numFmtId="0" fontId="5" fillId="3" borderId="2" xfId="2875" applyFont="1" applyFill="1" applyBorder="1"/>
    <xf numFmtId="0" fontId="98" fillId="70" borderId="2" xfId="1" applyFont="1" applyFill="1" applyBorder="1" applyAlignment="1">
      <alignment vertical="center"/>
    </xf>
    <xf numFmtId="0" fontId="5" fillId="0" borderId="2" xfId="2875" applyFont="1" applyBorder="1"/>
    <xf numFmtId="0" fontId="4" fillId="0" borderId="2" xfId="2875" applyFont="1" applyBorder="1"/>
    <xf numFmtId="0" fontId="6" fillId="73" borderId="2" xfId="2875" applyFont="1" applyFill="1" applyBorder="1"/>
    <xf numFmtId="0" fontId="4" fillId="73" borderId="2" xfId="2875" applyFont="1" applyFill="1" applyBorder="1"/>
    <xf numFmtId="0" fontId="7" fillId="73" borderId="2" xfId="2875" applyFill="1" applyBorder="1"/>
    <xf numFmtId="0" fontId="7" fillId="73" borderId="2" xfId="2875" applyFill="1" applyBorder="1" applyAlignment="1">
      <alignment horizontal="center"/>
    </xf>
    <xf numFmtId="0" fontId="5" fillId="74" borderId="2" xfId="2875" applyFont="1" applyFill="1" applyBorder="1"/>
    <xf numFmtId="0" fontId="5" fillId="0" borderId="0" xfId="2875" applyFont="1"/>
    <xf numFmtId="0" fontId="21" fillId="4" borderId="26" xfId="2871" applyFont="1" applyFill="1" applyBorder="1"/>
    <xf numFmtId="2" fontId="21" fillId="4" borderId="26" xfId="2871" applyNumberFormat="1" applyFont="1" applyFill="1" applyBorder="1"/>
    <xf numFmtId="174" fontId="21" fillId="4" borderId="26" xfId="2871" applyNumberFormat="1" applyFont="1" applyFill="1" applyBorder="1"/>
    <xf numFmtId="1" fontId="21" fillId="4" borderId="26" xfId="2871" applyNumberFormat="1" applyFont="1" applyFill="1" applyBorder="1"/>
    <xf numFmtId="173" fontId="21" fillId="4" borderId="26" xfId="2872" applyNumberFormat="1" applyFont="1" applyFill="1" applyBorder="1"/>
    <xf numFmtId="2" fontId="21" fillId="4" borderId="26" xfId="2872" applyNumberFormat="1" applyFont="1" applyFill="1" applyBorder="1"/>
    <xf numFmtId="164" fontId="21" fillId="4" borderId="26" xfId="2871" applyNumberFormat="1" applyFont="1" applyFill="1" applyBorder="1"/>
    <xf numFmtId="173" fontId="3" fillId="0" borderId="0" xfId="2870" applyNumberFormat="1" applyFont="1"/>
    <xf numFmtId="0" fontId="3" fillId="0" borderId="0" xfId="2870" applyFont="1"/>
    <xf numFmtId="2" fontId="3" fillId="4" borderId="26" xfId="2870" applyNumberFormat="1" applyFont="1" applyFill="1" applyBorder="1"/>
    <xf numFmtId="0" fontId="21" fillId="0" borderId="31" xfId="0" applyFont="1" applyBorder="1"/>
    <xf numFmtId="1" fontId="21" fillId="0" borderId="31" xfId="0" applyNumberFormat="1" applyFont="1" applyBorder="1"/>
    <xf numFmtId="0" fontId="3" fillId="74" borderId="2" xfId="2875" applyFont="1" applyFill="1" applyBorder="1"/>
    <xf numFmtId="0" fontId="3" fillId="0" borderId="2" xfId="2875" applyFont="1" applyBorder="1"/>
    <xf numFmtId="1" fontId="98" fillId="71" borderId="2" xfId="1" applyNumberFormat="1" applyFont="1" applyFill="1" applyBorder="1" applyAlignment="1">
      <alignment horizontal="center" vertical="center"/>
    </xf>
    <xf numFmtId="0" fontId="21" fillId="69" borderId="2" xfId="1" applyFont="1" applyFill="1" applyBorder="1" applyAlignment="1">
      <alignment horizontal="center"/>
    </xf>
    <xf numFmtId="0" fontId="21" fillId="69" borderId="2" xfId="1" applyFont="1" applyFill="1" applyBorder="1"/>
    <xf numFmtId="0" fontId="13" fillId="0" borderId="31" xfId="0" applyFont="1" applyBorder="1"/>
    <xf numFmtId="2" fontId="0" fillId="0" borderId="31" xfId="83" applyNumberFormat="1" applyFont="1" applyBorder="1" applyAlignment="1"/>
    <xf numFmtId="2" fontId="0" fillId="0" borderId="31" xfId="0" applyNumberFormat="1" applyBorder="1"/>
    <xf numFmtId="9" fontId="13" fillId="0" borderId="27" xfId="0" applyNumberFormat="1" applyFont="1" applyBorder="1"/>
    <xf numFmtId="2" fontId="0" fillId="0" borderId="27" xfId="0" applyNumberFormat="1" applyBorder="1"/>
    <xf numFmtId="9" fontId="13" fillId="0" borderId="0" xfId="0" applyNumberFormat="1" applyFont="1"/>
    <xf numFmtId="2" fontId="0" fillId="0" borderId="0" xfId="83" applyNumberFormat="1" applyFont="1" applyBorder="1" applyAlignment="1"/>
    <xf numFmtId="0" fontId="18" fillId="64" borderId="27" xfId="2867" applyFont="1" applyFill="1" applyBorder="1" applyAlignment="1">
      <alignment vertical="center"/>
    </xf>
    <xf numFmtId="43" fontId="0" fillId="0" borderId="27" xfId="2878" applyFont="1" applyBorder="1" applyAlignment="1"/>
    <xf numFmtId="9" fontId="13" fillId="0" borderId="31" xfId="0" applyNumberFormat="1" applyFont="1" applyBorder="1"/>
    <xf numFmtId="0" fontId="18" fillId="65" borderId="27" xfId="0" applyFont="1" applyFill="1" applyBorder="1" applyAlignment="1">
      <alignment vertical="center"/>
    </xf>
    <xf numFmtId="0" fontId="14" fillId="75" borderId="27" xfId="0" applyFont="1" applyFill="1" applyBorder="1"/>
    <xf numFmtId="174" fontId="0" fillId="0" borderId="0" xfId="0" applyNumberFormat="1"/>
    <xf numFmtId="0" fontId="0" fillId="0" borderId="28" xfId="0" applyBorder="1"/>
    <xf numFmtId="174"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1" fillId="2" borderId="28" xfId="2871" applyFont="1" applyFill="1" applyBorder="1" applyAlignment="1">
      <alignment horizontal="left" vertical="top"/>
    </xf>
    <xf numFmtId="2" fontId="21" fillId="0" borderId="31" xfId="0" applyNumberFormat="1" applyFont="1" applyBorder="1"/>
    <xf numFmtId="2" fontId="21" fillId="0" borderId="27" xfId="2871" applyNumberFormat="1" applyFont="1" applyBorder="1"/>
    <xf numFmtId="173" fontId="21" fillId="3" borderId="29" xfId="2871" applyNumberFormat="1" applyFont="1" applyFill="1" applyBorder="1"/>
    <xf numFmtId="173" fontId="21" fillId="3" borderId="0" xfId="2871" applyNumberFormat="1" applyFont="1" applyFill="1"/>
    <xf numFmtId="173" fontId="3" fillId="4" borderId="27" xfId="2870" applyNumberFormat="1" applyFont="1" applyFill="1" applyBorder="1"/>
    <xf numFmtId="173" fontId="21" fillId="0" borderId="0" xfId="2871" applyNumberFormat="1" applyFont="1"/>
    <xf numFmtId="173" fontId="21" fillId="0" borderId="27" xfId="2871" applyNumberFormat="1" applyFont="1" applyBorder="1"/>
    <xf numFmtId="173" fontId="21" fillId="0" borderId="31" xfId="2871" applyNumberFormat="1" applyFont="1" applyBorder="1"/>
    <xf numFmtId="173" fontId="3" fillId="4" borderId="26" xfId="2870" applyNumberFormat="1" applyFont="1" applyFill="1" applyBorder="1"/>
    <xf numFmtId="173" fontId="21"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5" fillId="0" borderId="0" xfId="0" applyFont="1"/>
    <xf numFmtId="164" fontId="0" fillId="76" borderId="0" xfId="0" applyNumberFormat="1" applyFill="1"/>
    <xf numFmtId="10" fontId="0" fillId="0" borderId="0" xfId="0" applyNumberFormat="1"/>
    <xf numFmtId="10" fontId="21" fillId="66" borderId="0" xfId="0" applyNumberFormat="1" applyFont="1" applyFill="1"/>
    <xf numFmtId="1" fontId="0" fillId="0" borderId="2" xfId="0" applyNumberFormat="1" applyBorder="1"/>
    <xf numFmtId="1" fontId="15" fillId="0" borderId="2" xfId="0" applyNumberFormat="1" applyFont="1" applyBorder="1"/>
    <xf numFmtId="1" fontId="15"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2" fillId="76" borderId="0" xfId="0" applyNumberFormat="1" applyFont="1" applyFill="1"/>
    <xf numFmtId="0" fontId="36" fillId="0" borderId="0" xfId="0" applyFont="1"/>
    <xf numFmtId="9" fontId="36" fillId="0" borderId="0" xfId="0" applyNumberFormat="1" applyFont="1"/>
    <xf numFmtId="0" fontId="15"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5" fillId="0" borderId="30" xfId="0" applyFont="1" applyBorder="1" applyAlignment="1">
      <alignment horizontal="center"/>
    </xf>
    <xf numFmtId="164" fontId="15" fillId="0" borderId="30" xfId="0" applyNumberFormat="1" applyFont="1" applyBorder="1" applyAlignment="1">
      <alignment horizontal="center"/>
    </xf>
    <xf numFmtId="0" fontId="1" fillId="0" borderId="0" xfId="2870" applyFont="1"/>
    <xf numFmtId="0" fontId="21" fillId="3" borderId="0" xfId="1" applyFont="1" applyFill="1" applyAlignment="1">
      <alignment vertical="center"/>
    </xf>
    <xf numFmtId="0" fontId="16" fillId="3" borderId="0" xfId="1" applyFont="1" applyFill="1" applyAlignment="1">
      <alignment horizontal="center" vertical="center"/>
    </xf>
    <xf numFmtId="0" fontId="17" fillId="3" borderId="0" xfId="3" applyFill="1" applyAlignment="1">
      <alignment vertical="center"/>
    </xf>
    <xf numFmtId="172" fontId="106" fillId="77" borderId="0" xfId="0" applyNumberFormat="1" applyFont="1" applyFill="1" applyAlignment="1">
      <alignment horizontal="left"/>
    </xf>
    <xf numFmtId="0" fontId="5" fillId="0" borderId="32" xfId="2875" applyFont="1" applyBorder="1" applyAlignment="1">
      <alignment horizontal="left" vertical="center"/>
    </xf>
    <xf numFmtId="0" fontId="5" fillId="0" borderId="30" xfId="2875" applyFont="1" applyBorder="1" applyAlignment="1">
      <alignment horizontal="left" vertical="center"/>
    </xf>
    <xf numFmtId="0" fontId="38" fillId="13" borderId="31" xfId="18" applyBorder="1" applyAlignment="1">
      <alignment horizontal="left"/>
    </xf>
    <xf numFmtId="0" fontId="13" fillId="0" borderId="2" xfId="0" applyFont="1" applyBorder="1" applyAlignment="1">
      <alignment horizontal="center"/>
    </xf>
    <xf numFmtId="0" fontId="0" fillId="0" borderId="2" xfId="0" applyBorder="1" applyAlignment="1">
      <alignment horizontal="center"/>
    </xf>
    <xf numFmtId="0" fontId="13" fillId="0" borderId="2" xfId="0" applyFont="1" applyBorder="1" applyAlignment="1">
      <alignment horizontal="center" vertical="center"/>
    </xf>
    <xf numFmtId="0" fontId="95" fillId="68" borderId="0" xfId="2873" applyFont="1" applyFill="1" applyAlignment="1">
      <alignment horizontal="center"/>
    </xf>
    <xf numFmtId="0" fontId="15"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1" fontId="15" fillId="0" borderId="42" xfId="0" applyNumberFormat="1" applyFont="1" applyBorder="1" applyAlignment="1">
      <alignment horizontal="center" wrapText="1"/>
    </xf>
    <xf numFmtId="1" fontId="15" fillId="0" borderId="0" xfId="0" applyNumberFormat="1" applyFont="1" applyAlignment="1">
      <alignment horizontal="center" wrapText="1"/>
    </xf>
    <xf numFmtId="0" fontId="21" fillId="0" borderId="0" xfId="2871" applyFont="1" applyFill="1" applyBorder="1"/>
    <xf numFmtId="0" fontId="21" fillId="4" borderId="0" xfId="2871" applyFont="1" applyFill="1" applyBorder="1"/>
    <xf numFmtId="2" fontId="21" fillId="4" borderId="44" xfId="2871" applyNumberFormat="1" applyFont="1" applyFill="1" applyBorder="1"/>
    <xf numFmtId="0" fontId="21" fillId="0" borderId="44" xfId="2871" applyFont="1" applyBorder="1"/>
    <xf numFmtId="172" fontId="14" fillId="78" borderId="26" xfId="2871" applyNumberFormat="1" applyFont="1" applyFill="1" applyBorder="1"/>
  </cellXfs>
  <cellStyles count="2879">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FCFFBE81-2A08-4A20-B0F1-F20573EDEE7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124B48A4-AF14-469F-AF5C-48CB3264FBB2}"/>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election activeCell="A2" sqref="A2"/>
    </sheetView>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208" t="s">
        <v>2</v>
      </c>
      <c r="B16" s="208"/>
      <c r="C16" s="208"/>
      <c r="D16" s="208"/>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207" t="s">
        <v>14</v>
      </c>
      <c r="C19" s="207"/>
      <c r="D19" s="207"/>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207" t="s">
        <v>15</v>
      </c>
      <c r="C20" s="207"/>
      <c r="D20" s="207"/>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207" t="s">
        <v>17</v>
      </c>
      <c r="C23" s="207"/>
      <c r="D23" s="207"/>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207" t="s">
        <v>18</v>
      </c>
      <c r="C24" s="207"/>
      <c r="D24" s="207"/>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207" t="s">
        <v>17</v>
      </c>
      <c r="C26" s="207"/>
      <c r="D26" s="207"/>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207" t="s">
        <v>18</v>
      </c>
      <c r="C27" s="207"/>
      <c r="D27" s="207"/>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209" t="s">
        <v>10</v>
      </c>
      <c r="C30" s="207"/>
      <c r="D30" s="207"/>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207" t="s">
        <v>12</v>
      </c>
      <c r="C31" s="207"/>
      <c r="D31" s="207"/>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election activeCell="I21" sqref="I21"/>
    </sheetView>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210" t="s">
        <v>1139</v>
      </c>
      <c r="K1" s="210"/>
      <c r="L1" s="210"/>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1051</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1051</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1051</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1051</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E21"/>
  <sheetViews>
    <sheetView tabSelected="1" topLeftCell="Q1" zoomScale="90" zoomScaleNormal="90" workbookViewId="0">
      <selection activeCell="L21" sqref="L21"/>
    </sheetView>
  </sheetViews>
  <sheetFormatPr defaultRowHeight="12.75"/>
  <cols>
    <col min="2" max="2" width="29.140625" customWidth="1"/>
    <col min="3" max="3" width="47.42578125" customWidth="1"/>
    <col min="4" max="4" width="30.140625" customWidth="1"/>
    <col min="5" max="6" width="13" customWidth="1"/>
    <col min="7" max="7" width="1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1" customWidth="1"/>
    <col min="19" max="20" width="12.85546875" customWidth="1"/>
    <col min="21" max="21" width="11" customWidth="1"/>
    <col min="24" max="24" width="11.42578125" customWidth="1"/>
    <col min="25" max="25" width="24" customWidth="1"/>
    <col min="26" max="26" width="43.42578125" customWidth="1"/>
  </cols>
  <sheetData>
    <row r="2" spans="2:31" ht="15">
      <c r="B2" t="s">
        <v>538</v>
      </c>
      <c r="C2" s="52"/>
      <c r="D2" s="52"/>
      <c r="E2" s="52"/>
      <c r="F2" s="53"/>
      <c r="G2" s="53"/>
      <c r="H2" s="53"/>
      <c r="I2" s="53"/>
      <c r="J2" s="53" t="s">
        <v>1147</v>
      </c>
      <c r="K2" s="53"/>
      <c r="L2" s="53"/>
      <c r="M2" s="83" t="s">
        <v>1146</v>
      </c>
      <c r="N2" s="53"/>
      <c r="O2" s="52"/>
      <c r="P2" s="52"/>
      <c r="Q2" s="52"/>
      <c r="R2" s="52"/>
      <c r="S2" s="52"/>
      <c r="T2" s="52"/>
      <c r="U2" s="52"/>
      <c r="V2" s="52"/>
    </row>
    <row r="3" spans="2:31" ht="15">
      <c r="B3" s="206" t="s">
        <v>1138</v>
      </c>
      <c r="C3" s="52"/>
      <c r="D3" s="52"/>
      <c r="E3" s="52"/>
      <c r="F3" s="53"/>
      <c r="G3" s="53"/>
      <c r="H3" s="53"/>
      <c r="I3" s="53"/>
      <c r="J3" s="53"/>
      <c r="K3" s="53"/>
      <c r="L3" s="53"/>
      <c r="M3" s="83" t="s">
        <v>974</v>
      </c>
      <c r="N3" s="53"/>
      <c r="O3" s="52"/>
      <c r="P3" s="52"/>
      <c r="Q3" s="52"/>
      <c r="R3" s="52"/>
      <c r="S3" s="52"/>
      <c r="T3" s="52"/>
      <c r="U3" s="52"/>
      <c r="V3" s="52"/>
    </row>
    <row r="4" spans="2:31" ht="15">
      <c r="B4" s="52"/>
      <c r="C4" s="52"/>
      <c r="D4" s="52"/>
      <c r="E4" s="52"/>
      <c r="F4" s="52"/>
      <c r="G4" s="52"/>
      <c r="H4" s="54" t="s">
        <v>474</v>
      </c>
      <c r="I4" s="54"/>
      <c r="J4" s="52"/>
      <c r="K4" s="52"/>
      <c r="L4" s="52"/>
      <c r="M4" s="52"/>
      <c r="N4" s="52"/>
      <c r="O4" s="52"/>
      <c r="P4" s="52"/>
      <c r="Q4" s="52"/>
      <c r="R4" s="52"/>
      <c r="S4" s="52"/>
      <c r="T4" s="52"/>
      <c r="U4" s="52"/>
      <c r="V4" s="52"/>
      <c r="X4" s="84" t="s">
        <v>486</v>
      </c>
      <c r="Y4" s="35"/>
      <c r="Z4" s="35"/>
      <c r="AA4" s="35"/>
      <c r="AB4" s="35"/>
      <c r="AC4" s="35"/>
      <c r="AD4" s="35"/>
    </row>
    <row r="5" spans="2:31" ht="15">
      <c r="B5" s="55" t="s">
        <v>0</v>
      </c>
      <c r="C5" s="55" t="s">
        <v>488</v>
      </c>
      <c r="D5" s="55" t="s">
        <v>475</v>
      </c>
      <c r="E5" s="55" t="s">
        <v>1006</v>
      </c>
      <c r="F5" s="55" t="s">
        <v>476</v>
      </c>
      <c r="G5" s="55" t="s">
        <v>539</v>
      </c>
      <c r="H5" s="55" t="s">
        <v>953</v>
      </c>
      <c r="I5" s="55" t="s">
        <v>540</v>
      </c>
      <c r="J5" s="55" t="s">
        <v>477</v>
      </c>
      <c r="K5" s="230" t="s">
        <v>1148</v>
      </c>
      <c r="L5" s="230" t="s">
        <v>1149</v>
      </c>
      <c r="M5" s="55" t="s">
        <v>1008</v>
      </c>
      <c r="N5" s="55" t="s">
        <v>541</v>
      </c>
      <c r="O5" s="55" t="s">
        <v>542</v>
      </c>
      <c r="P5" s="55" t="s">
        <v>543</v>
      </c>
      <c r="Q5" s="55" t="s">
        <v>544</v>
      </c>
      <c r="R5" s="55" t="s">
        <v>545</v>
      </c>
      <c r="S5" s="55" t="s">
        <v>546</v>
      </c>
      <c r="T5" s="55" t="s">
        <v>978</v>
      </c>
      <c r="U5" s="55" t="s">
        <v>547</v>
      </c>
      <c r="V5" s="52"/>
      <c r="X5" s="85" t="s">
        <v>487</v>
      </c>
      <c r="Y5" s="85" t="s">
        <v>0</v>
      </c>
      <c r="Z5" s="85" t="s">
        <v>488</v>
      </c>
      <c r="AA5" s="85" t="s">
        <v>489</v>
      </c>
      <c r="AB5" s="85" t="s">
        <v>490</v>
      </c>
      <c r="AC5" s="85" t="s">
        <v>491</v>
      </c>
      <c r="AD5" s="85" t="s">
        <v>492</v>
      </c>
      <c r="AE5" s="85" t="s">
        <v>493</v>
      </c>
    </row>
    <row r="6" spans="2:31" ht="51.75" thickBot="1">
      <c r="B6" s="56" t="s">
        <v>548</v>
      </c>
      <c r="C6" s="56" t="s">
        <v>496</v>
      </c>
      <c r="D6" s="158" t="s">
        <v>480</v>
      </c>
      <c r="E6" s="56"/>
      <c r="F6" s="56" t="s">
        <v>481</v>
      </c>
      <c r="G6" s="56" t="s">
        <v>549</v>
      </c>
      <c r="H6" s="56" t="s">
        <v>550</v>
      </c>
      <c r="I6" s="56" t="s">
        <v>551</v>
      </c>
      <c r="J6" s="56" t="s">
        <v>482</v>
      </c>
      <c r="K6" s="56" t="s">
        <v>1151</v>
      </c>
      <c r="L6" s="56" t="s">
        <v>1150</v>
      </c>
      <c r="M6" s="56" t="s">
        <v>484</v>
      </c>
      <c r="N6" s="56" t="s">
        <v>552</v>
      </c>
      <c r="O6" s="56" t="s">
        <v>553</v>
      </c>
      <c r="P6" s="56" t="s">
        <v>554</v>
      </c>
      <c r="Q6" s="56" t="s">
        <v>555</v>
      </c>
      <c r="R6" s="56" t="s">
        <v>1</v>
      </c>
      <c r="S6" s="56" t="s">
        <v>556</v>
      </c>
      <c r="T6" s="56" t="s">
        <v>979</v>
      </c>
      <c r="U6" s="56" t="s">
        <v>557</v>
      </c>
      <c r="V6" s="52"/>
      <c r="X6" s="86" t="s">
        <v>981</v>
      </c>
      <c r="Y6" s="86" t="s">
        <v>495</v>
      </c>
      <c r="Z6" s="86" t="s">
        <v>496</v>
      </c>
      <c r="AA6" s="86" t="s">
        <v>497</v>
      </c>
      <c r="AB6" s="86" t="s">
        <v>498</v>
      </c>
      <c r="AC6" s="86" t="s">
        <v>982</v>
      </c>
      <c r="AD6" s="86" t="s">
        <v>983</v>
      </c>
      <c r="AE6" s="86" t="s">
        <v>501</v>
      </c>
    </row>
    <row r="7" spans="2:31" ht="15.75" thickBot="1">
      <c r="B7" s="77" t="s">
        <v>483</v>
      </c>
      <c r="C7" s="77"/>
      <c r="D7" s="77"/>
      <c r="E7" s="77"/>
      <c r="F7" s="77"/>
      <c r="G7" s="77"/>
      <c r="H7" s="77" t="s">
        <v>558</v>
      </c>
      <c r="I7" s="77"/>
      <c r="J7" s="77"/>
      <c r="K7" s="77"/>
      <c r="L7" s="77"/>
      <c r="M7" s="77"/>
      <c r="N7" s="77" t="s">
        <v>560</v>
      </c>
      <c r="O7" s="77"/>
      <c r="P7" s="77" t="s">
        <v>975</v>
      </c>
      <c r="Q7" s="77" t="s">
        <v>977</v>
      </c>
      <c r="R7" s="77" t="s">
        <v>980</v>
      </c>
      <c r="S7" s="77" t="s">
        <v>559</v>
      </c>
      <c r="T7" s="77"/>
      <c r="U7" s="77" t="s">
        <v>560</v>
      </c>
      <c r="V7" s="52"/>
      <c r="X7" s="57" t="s">
        <v>483</v>
      </c>
      <c r="Y7" s="57"/>
      <c r="Z7" s="57"/>
      <c r="AA7" s="57"/>
      <c r="AB7" s="57"/>
      <c r="AC7" s="57"/>
      <c r="AD7" s="57"/>
      <c r="AE7" s="57"/>
    </row>
    <row r="8" spans="2:31" ht="15">
      <c r="B8" s="95" t="s">
        <v>1020</v>
      </c>
      <c r="C8" s="95" t="s">
        <v>1045</v>
      </c>
      <c r="D8" s="95" t="s">
        <v>561</v>
      </c>
      <c r="E8" s="95"/>
      <c r="F8" s="95" t="s">
        <v>535</v>
      </c>
      <c r="G8" s="95" t="s">
        <v>1064</v>
      </c>
      <c r="H8" s="95">
        <v>2022</v>
      </c>
      <c r="I8" s="95">
        <f>'41 Electric boiler, large'!D6</f>
        <v>5</v>
      </c>
      <c r="J8" s="96">
        <f>'41 Electric boiler, large'!E8</f>
        <v>0.99</v>
      </c>
      <c r="K8" s="96"/>
      <c r="L8" s="96"/>
      <c r="M8" s="96"/>
      <c r="N8" s="95">
        <f>'41 Electric boiler, large'!D12</f>
        <v>20</v>
      </c>
      <c r="O8" s="96">
        <f>1-'41 Electric boiler, large'!C10</f>
        <v>0.99</v>
      </c>
      <c r="P8" s="96">
        <f>'41 Electric boiler, large'!D27*1000</f>
        <v>70</v>
      </c>
      <c r="Q8" s="96">
        <f>'41 Electric boiler, large'!D33/1000</f>
        <v>1.07</v>
      </c>
      <c r="R8" s="161">
        <f>('41 Electric boiler, large'!D30/1000)/S8</f>
        <v>2.8538812785388126E-2</v>
      </c>
      <c r="S8" s="100">
        <v>3.1536000000000002E-2</v>
      </c>
      <c r="T8" s="97"/>
      <c r="U8" s="98">
        <f>ROUNDUP('41 Electric boiler, large'!D13,0)</f>
        <v>1</v>
      </c>
      <c r="V8" s="52"/>
      <c r="X8" s="65" t="s">
        <v>984</v>
      </c>
      <c r="Y8" s="65" t="str">
        <f t="shared" ref="Y8:Z10" si="0">B8</f>
        <v>DH_ELC_BLR_N1</v>
      </c>
      <c r="Z8" s="65" t="str">
        <f t="shared" si="0"/>
        <v>Electric Boiler for District Heating</v>
      </c>
      <c r="AA8" s="65" t="s">
        <v>484</v>
      </c>
      <c r="AB8" s="65" t="s">
        <v>562</v>
      </c>
      <c r="AC8" s="65"/>
      <c r="AD8" s="65"/>
      <c r="AE8" s="65"/>
    </row>
    <row r="9" spans="2:31" ht="15">
      <c r="B9" s="88" t="s">
        <v>1021</v>
      </c>
      <c r="C9" s="88" t="s">
        <v>1044</v>
      </c>
      <c r="D9" s="88" t="s">
        <v>1011</v>
      </c>
      <c r="E9" s="88"/>
      <c r="F9" s="88" t="s">
        <v>535</v>
      </c>
      <c r="G9" s="88" t="s">
        <v>1064</v>
      </c>
      <c r="H9" s="88">
        <v>2022</v>
      </c>
      <c r="I9" s="88">
        <f>'44 Natural Gas DH Only'!G6</f>
        <v>0.5</v>
      </c>
      <c r="J9" s="58">
        <v>0.94</v>
      </c>
      <c r="K9" s="58"/>
      <c r="L9" s="58"/>
      <c r="M9" s="58"/>
      <c r="N9" s="88">
        <f>'44 Natural Gas DH Only'!D12</f>
        <v>25</v>
      </c>
      <c r="O9" s="58">
        <f>1-'44 Natural Gas DH Only'!D10</f>
        <v>0.99</v>
      </c>
      <c r="P9" s="58">
        <f>'44 Natural Gas DH Only'!D27*1000</f>
        <v>60</v>
      </c>
      <c r="Q9" s="58">
        <f>'44 Natural Gas DH Only'!D33/1000</f>
        <v>1.95</v>
      </c>
      <c r="R9" s="162">
        <f>('44 Natural Gas DH Only'!D30/1000)/S9</f>
        <v>3.4880771182141043E-2</v>
      </c>
      <c r="S9" s="101">
        <v>3.1536000000000002E-2</v>
      </c>
      <c r="T9" s="90"/>
      <c r="U9" s="94">
        <v>1</v>
      </c>
      <c r="V9" s="52"/>
      <c r="X9" s="58" t="s">
        <v>984</v>
      </c>
      <c r="Y9" s="58" t="str">
        <f t="shared" si="0"/>
        <v>DH_GAS_BLR_N1</v>
      </c>
      <c r="Z9" s="58" t="str">
        <f t="shared" si="0"/>
        <v>Gas Boiler for District Heating</v>
      </c>
      <c r="AA9" s="58" t="s">
        <v>484</v>
      </c>
      <c r="AB9" s="58" t="s">
        <v>562</v>
      </c>
      <c r="AC9" s="58"/>
      <c r="AD9" s="58"/>
      <c r="AE9" s="58"/>
    </row>
    <row r="10" spans="2:31" ht="15">
      <c r="B10" s="59" t="s">
        <v>1019</v>
      </c>
      <c r="C10" s="59" t="s">
        <v>1013</v>
      </c>
      <c r="D10" s="59" t="s">
        <v>561</v>
      </c>
      <c r="E10" s="59"/>
      <c r="F10" s="59" t="s">
        <v>535</v>
      </c>
      <c r="G10" s="59" t="s">
        <v>1064</v>
      </c>
      <c r="H10" s="59">
        <v>2022</v>
      </c>
      <c r="I10" s="59">
        <f>'45.3.a Geoth. DH, 1200m, E (LT)'!C6</f>
        <v>10.93</v>
      </c>
      <c r="J10" s="62">
        <f>'45.3.a Geoth. DH, 1200m, E (LT)'!C7</f>
        <v>5.4809479999999997</v>
      </c>
      <c r="K10" s="228"/>
      <c r="L10" s="228"/>
      <c r="M10" s="60"/>
      <c r="N10" s="61">
        <f>'45.3.a Geoth. DH, 1200m, E (LT)'!C11</f>
        <v>25</v>
      </c>
      <c r="O10" s="62">
        <f>1-'45.3.a Geoth. DH, 1200m, E (LT)'!C9</f>
        <v>0.98</v>
      </c>
      <c r="P10" s="62">
        <f>'45.3.a Geoth. DH, 1200m, E (LT)'!C27*1000*1.1</f>
        <v>2970.0000000000005</v>
      </c>
      <c r="Q10" s="62">
        <f>'45.3.a Geoth. DH, 1200m, E (LT)'!C34/1000</f>
        <v>23.2</v>
      </c>
      <c r="R10" s="163">
        <f>('45.3.a Geoth. DH, 1200m, E (LT)'!C31/1000)/S10</f>
        <v>0.17313546423135462</v>
      </c>
      <c r="S10" s="102">
        <v>3.1536000000000002E-2</v>
      </c>
      <c r="T10" s="63">
        <v>15</v>
      </c>
      <c r="U10" s="64">
        <f>ROUNDUP('45.3.a Geoth. DH, 1200m, E (LT)'!D13,0)</f>
        <v>5</v>
      </c>
      <c r="V10" s="52"/>
      <c r="X10" s="65" t="s">
        <v>984</v>
      </c>
      <c r="Y10" s="65" t="str">
        <f t="shared" si="0"/>
        <v>DH_ELC_GEO1200_N1</v>
      </c>
      <c r="Z10" s="65" t="str">
        <f t="shared" si="0"/>
        <v>Geothermal and electric HP 1200m</v>
      </c>
      <c r="AA10" s="65" t="s">
        <v>484</v>
      </c>
      <c r="AB10" s="65" t="s">
        <v>562</v>
      </c>
      <c r="AC10" s="65"/>
      <c r="AD10" s="65"/>
      <c r="AE10" s="65"/>
    </row>
    <row r="11" spans="2:31" ht="15">
      <c r="B11" s="91"/>
      <c r="C11" s="91"/>
      <c r="D11" s="91"/>
      <c r="E11" s="91" t="s">
        <v>1007</v>
      </c>
      <c r="F11" s="91"/>
      <c r="G11" s="91"/>
      <c r="H11" s="91"/>
      <c r="I11" s="91"/>
      <c r="J11" s="91"/>
      <c r="K11" s="91"/>
      <c r="L11" s="91"/>
      <c r="M11" s="92">
        <f>1-1/(J10)</f>
        <v>0.81754981072617361</v>
      </c>
      <c r="N11" s="91"/>
      <c r="O11" s="91"/>
      <c r="P11" s="92"/>
      <c r="Q11" s="92"/>
      <c r="R11" s="103"/>
      <c r="S11" s="103"/>
      <c r="T11" s="91"/>
      <c r="U11" s="91"/>
      <c r="V11" s="52"/>
      <c r="X11" s="58" t="s">
        <v>984</v>
      </c>
      <c r="Y11" s="58" t="str">
        <f>B12</f>
        <v>DH_SOL_N1</v>
      </c>
      <c r="Z11" s="58" t="str">
        <f>C12</f>
        <v>Solar District Heating</v>
      </c>
      <c r="AA11" s="58" t="s">
        <v>484</v>
      </c>
      <c r="AB11" s="58" t="s">
        <v>562</v>
      </c>
      <c r="AC11" s="58"/>
      <c r="AD11" s="58"/>
      <c r="AE11" s="58"/>
    </row>
    <row r="12" spans="2:31" ht="15">
      <c r="B12" s="66" t="s">
        <v>1017</v>
      </c>
      <c r="C12" s="66" t="s">
        <v>1009</v>
      </c>
      <c r="D12" s="66" t="s">
        <v>1010</v>
      </c>
      <c r="E12" s="66"/>
      <c r="F12" s="66" t="s">
        <v>535</v>
      </c>
      <c r="G12" s="88" t="s">
        <v>1064</v>
      </c>
      <c r="H12" s="89">
        <v>2022</v>
      </c>
      <c r="I12" s="66"/>
      <c r="J12" s="93">
        <f>'46 Solar District Heating'!D6</f>
        <v>0.45</v>
      </c>
      <c r="K12" s="93"/>
      <c r="L12" s="93"/>
      <c r="M12" s="66"/>
      <c r="N12" s="66">
        <f>'46 Solar District Heating'!D9</f>
        <v>30</v>
      </c>
      <c r="O12" s="67">
        <f>1-'46 Solar District Heating'!C8</f>
        <v>0.995</v>
      </c>
      <c r="P12" s="99">
        <f>'46 Solar District Heating'!D24*1000</f>
        <v>310</v>
      </c>
      <c r="Q12" s="99">
        <f>'46 Solar District Heating'!D31/1000</f>
        <v>6.0810000000000003E-2</v>
      </c>
      <c r="R12" s="164">
        <f>('46 Solar District Heating'!D28/1000)/S12</f>
        <v>6.6590563165905619E-3</v>
      </c>
      <c r="S12" s="129">
        <v>3.1536000000000002E-2</v>
      </c>
      <c r="T12" s="130">
        <v>15</v>
      </c>
      <c r="U12" s="68">
        <v>1</v>
      </c>
      <c r="V12" s="52"/>
      <c r="X12" s="65" t="s">
        <v>984</v>
      </c>
      <c r="Y12" s="65" t="str">
        <f>B13</f>
        <v>DH_AHP_GEO1200_N1</v>
      </c>
      <c r="Z12" s="65" t="str">
        <f>C13</f>
        <v>Geothermal and absorption HP 1200m</v>
      </c>
      <c r="AA12" s="65" t="s">
        <v>484</v>
      </c>
      <c r="AB12" s="65" t="s">
        <v>562</v>
      </c>
      <c r="AC12" s="65"/>
      <c r="AD12" s="65"/>
      <c r="AE12" s="65"/>
    </row>
    <row r="13" spans="2:31" ht="15">
      <c r="B13" s="59" t="s">
        <v>1018</v>
      </c>
      <c r="C13" s="59" t="s">
        <v>1014</v>
      </c>
      <c r="D13" s="59" t="s">
        <v>1015</v>
      </c>
      <c r="E13" s="59"/>
      <c r="F13" s="59" t="s">
        <v>535</v>
      </c>
      <c r="G13" s="59" t="s">
        <v>1064</v>
      </c>
      <c r="H13" s="59">
        <v>2022</v>
      </c>
      <c r="I13" s="59">
        <f>'45.2.a Geothermal DH, 1200m, A'!C6</f>
        <v>22.66</v>
      </c>
      <c r="J13" s="62">
        <f>'45.2.a Geothermal DH, 1200m, A'!C7</f>
        <v>1.6513640000000001</v>
      </c>
      <c r="K13" s="228"/>
      <c r="L13" s="228"/>
      <c r="M13" s="60"/>
      <c r="N13" s="61">
        <f>'45.2.a Geothermal DH, 1200m, A'!C11</f>
        <v>25</v>
      </c>
      <c r="O13" s="62">
        <f>1-'45.2.a Geothermal DH, 1200m, A'!C9</f>
        <v>0.98</v>
      </c>
      <c r="P13" s="62">
        <f>'45.2.a Geothermal DH, 1200m, A'!C27*1000*1.1</f>
        <v>1386</v>
      </c>
      <c r="Q13" s="62">
        <f>'45.2.a Geothermal DH, 1200m, A'!C34/1000</f>
        <v>11.1</v>
      </c>
      <c r="R13" s="163">
        <f>('45.2.a Geothermal DH, 1200m, A'!C31/1000)/S13</f>
        <v>6.595636732623035E-2</v>
      </c>
      <c r="S13" s="102">
        <v>3.1536000000000002E-2</v>
      </c>
      <c r="T13" s="63">
        <v>15</v>
      </c>
      <c r="U13" s="64">
        <v>5</v>
      </c>
      <c r="X13" s="58" t="s">
        <v>984</v>
      </c>
      <c r="Y13" s="58" t="str">
        <f>B15</f>
        <v>DH_ASHP_ELC_N1</v>
      </c>
      <c r="Z13" s="58" t="str">
        <f>C15</f>
        <v>Air Source Heat Pump</v>
      </c>
      <c r="AA13" s="58" t="s">
        <v>484</v>
      </c>
      <c r="AB13" s="58" t="s">
        <v>562</v>
      </c>
      <c r="AC13" s="58"/>
      <c r="AD13" s="58"/>
      <c r="AE13" s="58"/>
    </row>
    <row r="14" spans="2:31" ht="15">
      <c r="B14" s="91"/>
      <c r="C14" s="91"/>
      <c r="D14" s="91"/>
      <c r="E14" s="91" t="s">
        <v>1007</v>
      </c>
      <c r="F14" s="91"/>
      <c r="G14" s="91"/>
      <c r="H14" s="91"/>
      <c r="I14" s="91"/>
      <c r="J14" s="91"/>
      <c r="K14" s="91"/>
      <c r="L14" s="91"/>
      <c r="M14" s="92">
        <f>1-1/(J13)</f>
        <v>0.39443999021415022</v>
      </c>
      <c r="N14" s="91"/>
      <c r="O14" s="91"/>
      <c r="P14" s="92"/>
      <c r="Q14" s="92"/>
      <c r="R14" s="103"/>
      <c r="S14" s="103"/>
      <c r="T14" s="91"/>
      <c r="U14" s="91"/>
      <c r="V14" s="66"/>
      <c r="X14" s="65" t="s">
        <v>984</v>
      </c>
      <c r="Y14" s="65" t="str">
        <f>B17</f>
        <v>DH_BIO_BLR_N1</v>
      </c>
      <c r="Z14" s="65" t="str">
        <f>C17</f>
        <v>Biomass Boiler for District Heating</v>
      </c>
      <c r="AA14" s="65" t="s">
        <v>484</v>
      </c>
      <c r="AB14" s="65" t="s">
        <v>562</v>
      </c>
      <c r="AC14" s="65"/>
      <c r="AD14" s="65"/>
      <c r="AE14" s="65"/>
    </row>
    <row r="15" spans="2:31" ht="15">
      <c r="B15" s="104" t="s">
        <v>1016</v>
      </c>
      <c r="C15" s="104" t="s">
        <v>1012</v>
      </c>
      <c r="D15" s="104" t="s">
        <v>561</v>
      </c>
      <c r="E15" s="104"/>
      <c r="F15" s="104" t="s">
        <v>535</v>
      </c>
      <c r="G15" s="104" t="s">
        <v>1064</v>
      </c>
      <c r="H15" s="104">
        <v>2022</v>
      </c>
      <c r="I15" s="104">
        <f>'40 Comp. hp, airsource 10 MW'!C6</f>
        <v>10</v>
      </c>
      <c r="J15" s="104">
        <f>'40 Comp. hp, airsource 10 MW'!D8</f>
        <v>3.5</v>
      </c>
      <c r="K15" s="229"/>
      <c r="L15" s="229"/>
      <c r="M15" s="104"/>
      <c r="N15" s="104">
        <f>'40 Comp. hp, airsource 10 MW'!C12</f>
        <v>25</v>
      </c>
      <c r="O15" s="104">
        <f>1-'40 Comp. hp, airsource 10 MW'!C9</f>
        <v>0.99</v>
      </c>
      <c r="P15" s="160">
        <f>'40 Comp. hp, airsource 10 MW'!C28*1000</f>
        <v>860</v>
      </c>
      <c r="Q15" s="160">
        <f>'40 Comp. hp, airsource 10 MW'!C35/1000</f>
        <v>2</v>
      </c>
      <c r="R15" s="165">
        <f>('40 Comp. hp, airsource 10 MW'!C32/1000)/S15</f>
        <v>5.3589548452562148E-2</v>
      </c>
      <c r="S15" s="165">
        <v>3.1536000000000002E-2</v>
      </c>
      <c r="T15" s="104"/>
      <c r="U15" s="104">
        <v>1</v>
      </c>
      <c r="V15" s="66"/>
      <c r="X15" s="58" t="s">
        <v>984</v>
      </c>
      <c r="Y15" s="58" t="str">
        <f>B19</f>
        <v>DH_PWR_SURPLUS_HEAT</v>
      </c>
      <c r="Z15" s="58" t="s">
        <v>1035</v>
      </c>
      <c r="AA15" s="58" t="s">
        <v>484</v>
      </c>
      <c r="AB15" s="58" t="s">
        <v>562</v>
      </c>
      <c r="AC15" s="58"/>
      <c r="AD15" s="58"/>
      <c r="AE15" s="58"/>
    </row>
    <row r="16" spans="2:31" ht="15">
      <c r="B16" s="105"/>
      <c r="C16" s="105"/>
      <c r="D16" s="105"/>
      <c r="E16" s="105" t="s">
        <v>1007</v>
      </c>
      <c r="F16" s="105"/>
      <c r="G16" s="105"/>
      <c r="H16" s="105"/>
      <c r="I16" s="105"/>
      <c r="J16" s="105"/>
      <c r="K16" s="105"/>
      <c r="L16" s="105"/>
      <c r="M16" s="106">
        <f>1-1/(J15)</f>
        <v>0.7142857142857143</v>
      </c>
      <c r="N16" s="105"/>
      <c r="O16" s="105"/>
      <c r="P16" s="106"/>
      <c r="Q16" s="106"/>
      <c r="R16" s="166"/>
      <c r="S16" s="166"/>
      <c r="T16" s="105"/>
      <c r="U16" s="105"/>
      <c r="V16" s="66"/>
      <c r="X16" s="65" t="s">
        <v>984</v>
      </c>
      <c r="Y16" s="65" t="str">
        <f>B18</f>
        <v>DH_IND_SURPLUS_HEAT</v>
      </c>
      <c r="Z16" s="65" t="s">
        <v>1034</v>
      </c>
      <c r="AA16" s="65" t="s">
        <v>484</v>
      </c>
      <c r="AB16" s="65" t="s">
        <v>562</v>
      </c>
      <c r="AC16" s="65"/>
      <c r="AD16" s="65"/>
      <c r="AE16" s="65"/>
    </row>
    <row r="17" spans="2:31" ht="15">
      <c r="B17" s="122" t="s">
        <v>1043</v>
      </c>
      <c r="C17" s="122" t="s">
        <v>1046</v>
      </c>
      <c r="D17" s="122" t="s">
        <v>1047</v>
      </c>
      <c r="E17" s="122"/>
      <c r="F17" s="122" t="s">
        <v>535</v>
      </c>
      <c r="G17" s="122" t="s">
        <v>1064</v>
      </c>
      <c r="H17" s="122">
        <v>2022</v>
      </c>
      <c r="I17" s="122">
        <f>'09a Wood Chips HOP, medium'!D6</f>
        <v>51.64</v>
      </c>
      <c r="J17" s="123">
        <v>0.98</v>
      </c>
      <c r="K17" s="123"/>
      <c r="L17" s="123"/>
      <c r="M17" s="124"/>
      <c r="N17" s="125">
        <f>'09a Wood Chips HOP, medium'!D12</f>
        <v>25</v>
      </c>
      <c r="O17" s="123">
        <f>1-'09a Wood Chips HOP, medium'!D10</f>
        <v>0.97</v>
      </c>
      <c r="P17" s="123">
        <f>'09a Wood Chips HOP, medium'!D28*1000</f>
        <v>490</v>
      </c>
      <c r="Q17" s="123">
        <f>'09a Wood Chips HOP, medium'!D40/1000</f>
        <v>48.2</v>
      </c>
      <c r="R17" s="167">
        <f>('09a Wood Chips HOP, medium'!D39/1000)/S17</f>
        <v>9.8300355149670213E-2</v>
      </c>
      <c r="S17" s="126">
        <v>3.1536000000000002E-2</v>
      </c>
      <c r="T17" s="127"/>
      <c r="U17" s="128">
        <f>'09a Wood Chips HOP, medium'!D11</f>
        <v>2</v>
      </c>
      <c r="V17" s="66"/>
      <c r="X17" s="58" t="s">
        <v>1140</v>
      </c>
      <c r="Y17" s="1" t="s">
        <v>1143</v>
      </c>
      <c r="Z17" s="1" t="s">
        <v>1144</v>
      </c>
      <c r="AA17" s="58" t="s">
        <v>484</v>
      </c>
      <c r="AB17" s="58" t="s">
        <v>562</v>
      </c>
    </row>
    <row r="18" spans="2:31" ht="15">
      <c r="B18" s="105" t="s">
        <v>1036</v>
      </c>
      <c r="C18" s="132" t="str">
        <f>Z16</f>
        <v>Industrial Surplus Heat</v>
      </c>
      <c r="D18" s="132"/>
      <c r="E18" s="132"/>
      <c r="F18" s="105" t="s">
        <v>535</v>
      </c>
      <c r="G18" s="105" t="s">
        <v>1064</v>
      </c>
      <c r="H18" s="105">
        <v>2022</v>
      </c>
      <c r="I18" s="132">
        <v>20</v>
      </c>
      <c r="J18" s="132">
        <v>1</v>
      </c>
      <c r="K18" s="132"/>
      <c r="L18" s="132"/>
      <c r="M18" s="132"/>
      <c r="N18" s="132">
        <v>25</v>
      </c>
      <c r="O18" s="132">
        <v>0.95</v>
      </c>
      <c r="P18" s="159">
        <f>'40 Comp. hp, excess heat 10 MW'!C28*1000</f>
        <v>670</v>
      </c>
      <c r="Q18" s="159">
        <f>'40 Comp. hp, excess heat 10 MW'!C35/1000</f>
        <v>2</v>
      </c>
      <c r="R18" s="168">
        <f>('40 Comp. hp, excess heat 10 MW'!C32/1000)/S18</f>
        <v>5.3589548452562148E-2</v>
      </c>
      <c r="S18" s="165">
        <v>3.1536000000000002E-2</v>
      </c>
      <c r="T18" s="133">
        <f t="array" ref="T18">'Surplus Heat'!C6/1000</f>
        <v>10.257740372771327</v>
      </c>
      <c r="U18" s="132"/>
      <c r="X18" s="65" t="s">
        <v>1141</v>
      </c>
      <c r="Y18" s="65" t="s">
        <v>1142</v>
      </c>
      <c r="Z18" s="65" t="s">
        <v>1145</v>
      </c>
      <c r="AA18" s="65" t="s">
        <v>484</v>
      </c>
      <c r="AB18" s="65" t="s">
        <v>562</v>
      </c>
      <c r="AC18" s="65"/>
      <c r="AD18" s="65"/>
      <c r="AE18" s="65"/>
    </row>
    <row r="19" spans="2:31" ht="15">
      <c r="B19" s="122" t="s">
        <v>1037</v>
      </c>
      <c r="C19" s="122" t="str">
        <f>Z15</f>
        <v>Power Generation Surplus Heat</v>
      </c>
      <c r="D19" s="122"/>
      <c r="E19" s="122"/>
      <c r="F19" s="122" t="s">
        <v>535</v>
      </c>
      <c r="G19" s="122" t="s">
        <v>1064</v>
      </c>
      <c r="H19" s="122">
        <v>2022</v>
      </c>
      <c r="I19" s="122">
        <v>50</v>
      </c>
      <c r="J19" s="123">
        <v>1</v>
      </c>
      <c r="K19" s="123"/>
      <c r="L19" s="123"/>
      <c r="M19" s="124"/>
      <c r="N19" s="125">
        <v>25</v>
      </c>
      <c r="O19" s="123">
        <v>0.95</v>
      </c>
      <c r="P19" s="123">
        <f>'40 Comp. hp, excess heat 10 MW'!C28*1000</f>
        <v>670</v>
      </c>
      <c r="Q19" s="131">
        <f>'40 Comp. hp, excess heat 10 MW'!C35/1000</f>
        <v>2</v>
      </c>
      <c r="R19" s="167">
        <f>('40 Comp. hp, excess heat 10 MW'!C32/1000)/S18</f>
        <v>5.3589548452562148E-2</v>
      </c>
      <c r="S19" s="126">
        <v>3.1536000000000002E-2</v>
      </c>
      <c r="T19" s="127">
        <f t="array" ref="T19">'Surplus Heat'!C5/1000</f>
        <v>44.627692810925467</v>
      </c>
      <c r="U19" s="128"/>
    </row>
    <row r="20" spans="2:31" ht="15">
      <c r="B20" t="str">
        <f>Y17</f>
        <v>DH_STG_HETD_N1</v>
      </c>
      <c r="C20" t="str">
        <f>Z17</f>
        <v>Thermal decentrialised water storage tank</v>
      </c>
      <c r="D20" s="1" t="s">
        <v>485</v>
      </c>
      <c r="F20" s="226" t="s">
        <v>485</v>
      </c>
      <c r="H20" s="226">
        <v>2022</v>
      </c>
      <c r="K20">
        <v>0.98</v>
      </c>
      <c r="L20">
        <v>0.68</v>
      </c>
      <c r="N20">
        <v>40</v>
      </c>
      <c r="O20">
        <v>0.95</v>
      </c>
      <c r="P20">
        <v>823.6</v>
      </c>
    </row>
    <row r="21" spans="2:31" ht="15">
      <c r="B21" t="str">
        <f>Y18</f>
        <v>DH_STG_HETC_N1</v>
      </c>
      <c r="C21" t="str">
        <f>Z18</f>
        <v>Thermal Centrialised water storage tank</v>
      </c>
      <c r="D21" s="1" t="s">
        <v>535</v>
      </c>
      <c r="F21" s="227" t="s">
        <v>535</v>
      </c>
      <c r="H21" s="227">
        <v>2022</v>
      </c>
      <c r="K21">
        <v>0.7</v>
      </c>
      <c r="L21">
        <v>0.53</v>
      </c>
      <c r="N21">
        <v>20</v>
      </c>
      <c r="O21">
        <v>0.95</v>
      </c>
      <c r="P21">
        <v>161</v>
      </c>
    </row>
  </sheetData>
  <phoneticPr fontId="80"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579ED-2366-4CA9-9275-733165C6F43F}">
  <dimension ref="A1"/>
  <sheetViews>
    <sheetView workbookViewId="0">
      <selection activeCell="G32" sqref="G32"/>
    </sheetView>
  </sheetViews>
  <sheetFormatPr defaultRowHeight="12.7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3" zoomScale="80" zoomScaleNormal="80" workbookViewId="0">
      <selection activeCell="E5" sqref="E5:E6"/>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29" width="8.7109375" customWidth="1"/>
    <col min="30" max="30" width="13.5703125" bestFit="1" customWidth="1"/>
  </cols>
  <sheetData>
    <row r="1" spans="2:30" ht="18" thickBot="1">
      <c r="B1" s="82" t="s">
        <v>1039</v>
      </c>
    </row>
    <row r="2" spans="2:30" ht="13.5" thickTop="1"/>
    <row r="3" spans="2:30" ht="15">
      <c r="B3" s="23" t="s">
        <v>976</v>
      </c>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1037</v>
      </c>
      <c r="C5" s="107">
        <f>SUM(D5:AC5)</f>
        <v>44627.692810925466</v>
      </c>
      <c r="D5" s="107">
        <f>SUMIF(F12:F27,D4,INDEX(E12:E27,0))</f>
        <v>0</v>
      </c>
      <c r="E5" s="107">
        <f t="shared" ref="E5:AC5" si="0">SUMIF($G$12:$G$27,E4,INDEX($F$12:$F$27,0))</f>
        <v>29742.103665509312</v>
      </c>
      <c r="F5" s="107">
        <f t="shared" si="0"/>
        <v>0</v>
      </c>
      <c r="G5" s="107">
        <f t="shared" si="0"/>
        <v>0</v>
      </c>
      <c r="H5" s="107">
        <f t="shared" si="0"/>
        <v>0</v>
      </c>
      <c r="I5" s="107">
        <f t="shared" si="0"/>
        <v>0</v>
      </c>
      <c r="J5" s="107">
        <f t="shared" si="0"/>
        <v>0</v>
      </c>
      <c r="K5" s="107">
        <f t="shared" si="0"/>
        <v>2871.5039999999999</v>
      </c>
      <c r="L5" s="107">
        <f t="shared" si="0"/>
        <v>0</v>
      </c>
      <c r="M5" s="107">
        <f t="shared" si="0"/>
        <v>0</v>
      </c>
      <c r="N5" s="107">
        <f t="shared" si="0"/>
        <v>0</v>
      </c>
      <c r="O5" s="107">
        <f t="shared" si="0"/>
        <v>0</v>
      </c>
      <c r="P5" s="107">
        <f t="shared" si="0"/>
        <v>0</v>
      </c>
      <c r="Q5" s="107">
        <f t="shared" si="0"/>
        <v>7697.0695824447212</v>
      </c>
      <c r="R5" s="107">
        <f t="shared" si="0"/>
        <v>0</v>
      </c>
      <c r="S5" s="107">
        <f t="shared" si="0"/>
        <v>0</v>
      </c>
      <c r="T5" s="107">
        <f t="shared" si="0"/>
        <v>0</v>
      </c>
      <c r="U5" s="107">
        <f t="shared" si="0"/>
        <v>4317.0155629714272</v>
      </c>
      <c r="V5" s="107">
        <f t="shared" si="0"/>
        <v>0</v>
      </c>
      <c r="W5" s="107">
        <f t="shared" si="0"/>
        <v>0</v>
      </c>
      <c r="X5" s="107">
        <f t="shared" si="0"/>
        <v>0</v>
      </c>
      <c r="Y5" s="107">
        <f t="shared" si="0"/>
        <v>0</v>
      </c>
      <c r="Z5" s="107">
        <f t="shared" si="0"/>
        <v>0</v>
      </c>
      <c r="AA5" s="107">
        <f t="shared" si="0"/>
        <v>0</v>
      </c>
      <c r="AB5" s="107">
        <f t="shared" si="0"/>
        <v>0</v>
      </c>
      <c r="AC5" s="107">
        <f t="shared" si="0"/>
        <v>0</v>
      </c>
      <c r="AD5" s="107">
        <f>C5</f>
        <v>44627.692810925466</v>
      </c>
    </row>
    <row r="6" spans="2:30" ht="15">
      <c r="B6" s="66" t="s">
        <v>1036</v>
      </c>
      <c r="C6" s="107">
        <f>SUM(D6:AC6)</f>
        <v>10257.740372771326</v>
      </c>
      <c r="D6" s="107">
        <f t="shared" ref="D6:K6" si="1">SUMIF($G$28:$G$35,D4,INDEX($F$28:$F$35,0))</f>
        <v>0</v>
      </c>
      <c r="E6" s="107">
        <f t="shared" si="1"/>
        <v>1944</v>
      </c>
      <c r="F6" s="107">
        <f t="shared" si="1"/>
        <v>0</v>
      </c>
      <c r="G6" s="107">
        <f t="shared" si="1"/>
        <v>0</v>
      </c>
      <c r="H6" s="107">
        <f t="shared" si="1"/>
        <v>0</v>
      </c>
      <c r="I6" s="107">
        <f t="shared" si="1"/>
        <v>0</v>
      </c>
      <c r="J6" s="107">
        <f t="shared" si="1"/>
        <v>3077</v>
      </c>
      <c r="K6" s="107">
        <f t="shared" si="1"/>
        <v>0</v>
      </c>
      <c r="L6" s="107">
        <f t="shared" ref="L6:AC6" si="2">SUMIF($G$25:$G$35,L4,INDEX($F$25:$F$35,0))</f>
        <v>0</v>
      </c>
      <c r="M6" s="107">
        <f t="shared" si="2"/>
        <v>0</v>
      </c>
      <c r="N6" s="107">
        <f t="shared" si="2"/>
        <v>0</v>
      </c>
      <c r="O6" s="107">
        <f t="shared" si="2"/>
        <v>0</v>
      </c>
      <c r="P6" s="107">
        <f t="shared" si="2"/>
        <v>0</v>
      </c>
      <c r="Q6" s="107">
        <f t="shared" si="2"/>
        <v>2127.7403727713267</v>
      </c>
      <c r="R6" s="107">
        <f t="shared" si="2"/>
        <v>0</v>
      </c>
      <c r="S6" s="107">
        <f t="shared" si="2"/>
        <v>1225</v>
      </c>
      <c r="T6" s="107">
        <f t="shared" si="2"/>
        <v>0</v>
      </c>
      <c r="U6" s="107">
        <f t="shared" si="2"/>
        <v>0</v>
      </c>
      <c r="V6" s="107">
        <f t="shared" si="2"/>
        <v>108</v>
      </c>
      <c r="W6" s="107">
        <f t="shared" si="2"/>
        <v>0</v>
      </c>
      <c r="X6" s="107">
        <f t="shared" si="2"/>
        <v>0</v>
      </c>
      <c r="Y6" s="107">
        <f t="shared" si="2"/>
        <v>0</v>
      </c>
      <c r="Z6" s="107">
        <f t="shared" si="2"/>
        <v>0</v>
      </c>
      <c r="AA6" s="107">
        <f t="shared" si="2"/>
        <v>1776</v>
      </c>
      <c r="AB6" s="107">
        <f t="shared" si="2"/>
        <v>0</v>
      </c>
      <c r="AC6" s="107">
        <f t="shared" si="2"/>
        <v>0</v>
      </c>
      <c r="AD6" s="107">
        <f>C6</f>
        <v>10257.740372771326</v>
      </c>
    </row>
    <row r="9" spans="2:30">
      <c r="B9" s="1"/>
    </row>
    <row r="10" spans="2:30">
      <c r="B10" s="1" t="s">
        <v>1030</v>
      </c>
    </row>
    <row r="11" spans="2:30" ht="60">
      <c r="B11" s="108" t="s">
        <v>1033</v>
      </c>
      <c r="C11" s="108" t="s">
        <v>973</v>
      </c>
      <c r="D11" s="108" t="s">
        <v>972</v>
      </c>
      <c r="E11" s="81" t="s">
        <v>971</v>
      </c>
      <c r="F11" s="81" t="s">
        <v>970</v>
      </c>
      <c r="G11" s="81" t="s">
        <v>1041</v>
      </c>
      <c r="H11" s="81" t="s">
        <v>1042</v>
      </c>
    </row>
    <row r="12" spans="2:30" ht="15">
      <c r="B12" s="114" t="s">
        <v>987</v>
      </c>
      <c r="C12" s="109" t="s">
        <v>969</v>
      </c>
      <c r="D12" s="109" t="s">
        <v>958</v>
      </c>
      <c r="E12" s="80">
        <v>266.57523809523809</v>
      </c>
      <c r="F12" s="80">
        <v>5468.1085769142855</v>
      </c>
      <c r="G12" s="110" t="s">
        <v>434</v>
      </c>
    </row>
    <row r="13" spans="2:30" ht="16.5" customHeight="1">
      <c r="B13" s="114" t="s">
        <v>988</v>
      </c>
      <c r="C13" s="109" t="s">
        <v>968</v>
      </c>
      <c r="D13" s="109" t="s">
        <v>958</v>
      </c>
      <c r="E13" s="80">
        <v>210.45841269841262</v>
      </c>
      <c r="F13" s="80">
        <v>4317.0155629714272</v>
      </c>
      <c r="G13" s="110" t="s">
        <v>450</v>
      </c>
    </row>
    <row r="14" spans="2:30" ht="15">
      <c r="B14" s="114"/>
      <c r="C14" s="109" t="s">
        <v>967</v>
      </c>
      <c r="D14" s="109" t="s">
        <v>958</v>
      </c>
      <c r="E14" s="80">
        <v>1162.3579591836751</v>
      </c>
      <c r="F14" s="80">
        <v>23842.797896277589</v>
      </c>
      <c r="G14" s="111" t="s">
        <v>1031</v>
      </c>
      <c r="H14" s="87" t="s">
        <v>445</v>
      </c>
    </row>
    <row r="15" spans="2:30" ht="15" customHeight="1">
      <c r="B15" s="211" t="s">
        <v>998</v>
      </c>
      <c r="C15" s="109" t="s">
        <v>966</v>
      </c>
      <c r="D15" s="109" t="s">
        <v>958</v>
      </c>
      <c r="E15" s="80">
        <v>188.45078282828283</v>
      </c>
      <c r="F15" s="80">
        <v>3865.5853757181821</v>
      </c>
      <c r="G15" s="112" t="s">
        <v>434</v>
      </c>
    </row>
    <row r="16" spans="2:30" ht="15">
      <c r="B16" s="212"/>
      <c r="C16" s="109" t="s">
        <v>965</v>
      </c>
      <c r="D16" s="109" t="s">
        <v>958</v>
      </c>
      <c r="E16" s="80">
        <v>206.69695916165827</v>
      </c>
      <c r="F16" s="80">
        <v>4239.858972985965</v>
      </c>
      <c r="G16" s="110" t="s">
        <v>434</v>
      </c>
    </row>
    <row r="17" spans="2:10" ht="15">
      <c r="B17" s="114"/>
      <c r="C17" s="109" t="s">
        <v>964</v>
      </c>
      <c r="D17" s="109" t="s">
        <v>958</v>
      </c>
      <c r="E17" s="136">
        <v>217.18108995210142</v>
      </c>
      <c r="F17" s="136">
        <v>4454.9140767770832</v>
      </c>
      <c r="G17" s="111" t="s">
        <v>1031</v>
      </c>
      <c r="H17" s="87" t="s">
        <v>451</v>
      </c>
    </row>
    <row r="18" spans="2:10" ht="48" customHeight="1">
      <c r="B18" s="114" t="s">
        <v>986</v>
      </c>
      <c r="C18" s="109" t="s">
        <v>963</v>
      </c>
      <c r="D18" s="109" t="s">
        <v>958</v>
      </c>
      <c r="E18" s="136">
        <v>342.34666666666601</v>
      </c>
      <c r="F18" s="136">
        <v>7022.3654591999866</v>
      </c>
      <c r="G18" s="110" t="s">
        <v>434</v>
      </c>
    </row>
    <row r="19" spans="2:10" ht="15" customHeight="1">
      <c r="B19" s="211" t="s">
        <v>992</v>
      </c>
      <c r="C19" s="109" t="s">
        <v>962</v>
      </c>
      <c r="D19" s="109" t="s">
        <v>958</v>
      </c>
      <c r="E19" s="136">
        <v>186.57015873015874</v>
      </c>
      <c r="F19" s="136">
        <v>3827.0091867428573</v>
      </c>
      <c r="G19" s="110" t="s">
        <v>446</v>
      </c>
    </row>
    <row r="20" spans="2:10" ht="16.5" customHeight="1">
      <c r="B20" s="212"/>
      <c r="C20" s="109" t="s">
        <v>961</v>
      </c>
      <c r="D20" s="109" t="s">
        <v>958</v>
      </c>
      <c r="E20" s="136">
        <v>429.08000000000106</v>
      </c>
      <c r="F20" s="136">
        <v>8801.4777552000232</v>
      </c>
      <c r="G20" s="111" t="s">
        <v>1031</v>
      </c>
      <c r="H20" s="87" t="s">
        <v>446</v>
      </c>
    </row>
    <row r="21" spans="2:10" ht="15">
      <c r="B21" s="114" t="s">
        <v>991</v>
      </c>
      <c r="C21" s="109" t="s">
        <v>960</v>
      </c>
      <c r="D21" s="109" t="s">
        <v>958</v>
      </c>
      <c r="E21" s="136">
        <v>188.66894409937888</v>
      </c>
      <c r="F21" s="136">
        <v>3870.0603957018634</v>
      </c>
      <c r="G21" s="110" t="s">
        <v>446</v>
      </c>
    </row>
    <row r="22" spans="2:10" ht="15" customHeight="1">
      <c r="B22" s="114"/>
      <c r="C22" s="109" t="s">
        <v>959</v>
      </c>
      <c r="D22" s="109" t="s">
        <v>958</v>
      </c>
      <c r="E22" s="136">
        <v>196.99111111111114</v>
      </c>
      <c r="F22" s="136">
        <v>4040.7683472000003</v>
      </c>
      <c r="G22" s="111" t="s">
        <v>1031</v>
      </c>
      <c r="H22" s="87" t="s">
        <v>434</v>
      </c>
    </row>
    <row r="23" spans="2:10" ht="15">
      <c r="B23" s="115" t="s">
        <v>1023</v>
      </c>
      <c r="C23" s="109" t="s">
        <v>1000</v>
      </c>
      <c r="D23" s="109" t="s">
        <v>958</v>
      </c>
      <c r="E23" s="136"/>
      <c r="F23" s="136">
        <v>822</v>
      </c>
      <c r="G23" s="114" t="s">
        <v>434</v>
      </c>
    </row>
    <row r="24" spans="2:10" ht="15">
      <c r="B24" s="115" t="s">
        <v>1028</v>
      </c>
      <c r="C24" s="109" t="s">
        <v>1005</v>
      </c>
      <c r="D24" s="109" t="s">
        <v>958</v>
      </c>
      <c r="E24" s="136"/>
      <c r="F24" s="136">
        <v>7227</v>
      </c>
      <c r="G24" s="114" t="s">
        <v>434</v>
      </c>
    </row>
    <row r="25" spans="2:10" ht="15" customHeight="1">
      <c r="B25" s="135" t="s">
        <v>990</v>
      </c>
      <c r="C25" s="138" t="s">
        <v>999</v>
      </c>
      <c r="D25" s="138" t="s">
        <v>954</v>
      </c>
      <c r="E25" s="137"/>
      <c r="F25" s="137">
        <v>2430</v>
      </c>
      <c r="G25" s="114" t="s">
        <v>440</v>
      </c>
      <c r="H25" s="87"/>
    </row>
    <row r="26" spans="2:10" ht="15">
      <c r="B26" s="114" t="s">
        <v>989</v>
      </c>
      <c r="C26" s="138" t="s">
        <v>955</v>
      </c>
      <c r="D26" s="138" t="s">
        <v>954</v>
      </c>
      <c r="E26" s="78">
        <v>34.791517018356608</v>
      </c>
      <c r="F26" s="78">
        <v>1097.1852806908939</v>
      </c>
      <c r="G26" s="110" t="s">
        <v>434</v>
      </c>
    </row>
    <row r="27" spans="2:10" ht="15">
      <c r="B27" s="135" t="s">
        <v>1050</v>
      </c>
      <c r="C27" s="138" t="s">
        <v>1022</v>
      </c>
      <c r="D27" s="138" t="s">
        <v>954</v>
      </c>
      <c r="E27" s="137">
        <v>14</v>
      </c>
      <c r="F27" s="137">
        <f>(E27/E26)*F26</f>
        <v>441.50399999999996</v>
      </c>
      <c r="G27" s="114" t="s">
        <v>440</v>
      </c>
      <c r="H27" s="121"/>
      <c r="I27" s="1" t="s">
        <v>1033</v>
      </c>
      <c r="J27" s="1" t="s">
        <v>1032</v>
      </c>
    </row>
    <row r="28" spans="2:10" ht="15">
      <c r="B28" s="114" t="s">
        <v>985</v>
      </c>
      <c r="C28" s="116" t="s">
        <v>994</v>
      </c>
      <c r="D28" s="117" t="s">
        <v>1038</v>
      </c>
      <c r="E28" s="118">
        <f>I28*$J$28</f>
        <v>63</v>
      </c>
      <c r="F28" s="119">
        <f>108*I28</f>
        <v>1944</v>
      </c>
      <c r="G28" s="111" t="s">
        <v>434</v>
      </c>
      <c r="H28" s="1"/>
      <c r="I28">
        <v>18</v>
      </c>
      <c r="J28">
        <v>3.5</v>
      </c>
    </row>
    <row r="29" spans="2:10" ht="15">
      <c r="B29" s="114" t="s">
        <v>993</v>
      </c>
      <c r="C29" s="116" t="s">
        <v>996</v>
      </c>
      <c r="D29" s="117" t="s">
        <v>1038</v>
      </c>
      <c r="E29" s="118">
        <f t="shared" ref="E29:E30" si="3">I29*$J$28</f>
        <v>3.5</v>
      </c>
      <c r="F29" s="119">
        <f t="shared" ref="F29:F30" si="4">108*I29</f>
        <v>108</v>
      </c>
      <c r="G29" s="111" t="s">
        <v>1040</v>
      </c>
      <c r="H29" s="1"/>
      <c r="I29">
        <v>1</v>
      </c>
    </row>
    <row r="30" spans="2:10" ht="15">
      <c r="B30" s="114" t="s">
        <v>995</v>
      </c>
      <c r="C30" s="116" t="s">
        <v>997</v>
      </c>
      <c r="D30" s="117" t="s">
        <v>1038</v>
      </c>
      <c r="E30" s="118">
        <f t="shared" si="3"/>
        <v>3.5</v>
      </c>
      <c r="F30" s="119">
        <f t="shared" si="4"/>
        <v>108</v>
      </c>
      <c r="G30" s="111" t="s">
        <v>451</v>
      </c>
      <c r="H30" s="1"/>
      <c r="I30">
        <v>1</v>
      </c>
    </row>
    <row r="31" spans="2:10" ht="15">
      <c r="B31" s="114" t="s">
        <v>1024</v>
      </c>
      <c r="C31" s="120" t="s">
        <v>1001</v>
      </c>
      <c r="D31" s="134" t="s">
        <v>1048</v>
      </c>
      <c r="E31" s="120"/>
      <c r="F31" s="120">
        <v>612</v>
      </c>
      <c r="G31" s="114" t="s">
        <v>439</v>
      </c>
    </row>
    <row r="32" spans="2:10" ht="15">
      <c r="B32" s="115" t="s">
        <v>1025</v>
      </c>
      <c r="C32" s="120" t="s">
        <v>1002</v>
      </c>
      <c r="D32" s="134" t="s">
        <v>1049</v>
      </c>
      <c r="E32" s="120"/>
      <c r="F32" s="120">
        <v>1776</v>
      </c>
      <c r="G32" s="114" t="s">
        <v>456</v>
      </c>
    </row>
    <row r="33" spans="2:7" ht="15">
      <c r="B33" s="114" t="s">
        <v>1026</v>
      </c>
      <c r="C33" s="120" t="s">
        <v>1003</v>
      </c>
      <c r="D33" s="134" t="s">
        <v>1049</v>
      </c>
      <c r="E33" s="120"/>
      <c r="F33" s="120">
        <v>1225</v>
      </c>
      <c r="G33" s="114" t="s">
        <v>448</v>
      </c>
    </row>
    <row r="34" spans="2:7" ht="15">
      <c r="B34" s="115" t="s">
        <v>1027</v>
      </c>
      <c r="C34" s="120" t="s">
        <v>1004</v>
      </c>
      <c r="D34" s="134" t="s">
        <v>1049</v>
      </c>
      <c r="E34" s="120"/>
      <c r="F34" s="120">
        <v>2465</v>
      </c>
      <c r="G34" s="114" t="s">
        <v>439</v>
      </c>
    </row>
    <row r="35" spans="2:7" ht="15">
      <c r="B35" s="114" t="s">
        <v>1029</v>
      </c>
      <c r="C35" s="113" t="s">
        <v>957</v>
      </c>
      <c r="D35" s="113" t="s">
        <v>956</v>
      </c>
      <c r="E35" s="79">
        <v>67.470204616036483</v>
      </c>
      <c r="F35" s="79">
        <v>2127.7403727713267</v>
      </c>
      <c r="G35" s="110" t="s">
        <v>446</v>
      </c>
    </row>
  </sheetData>
  <mergeCells count="2">
    <mergeCell ref="B15:B16"/>
    <mergeCell ref="B19:B20"/>
  </mergeCells>
  <phoneticPr fontId="105"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4:BK114"/>
  <sheetViews>
    <sheetView topLeftCell="A29" zoomScale="80" zoomScaleNormal="80" workbookViewId="0">
      <selection activeCell="E65" sqref="E65"/>
    </sheetView>
  </sheetViews>
  <sheetFormatPr defaultRowHeight="12.75"/>
  <cols>
    <col min="2" max="2" width="4" customWidth="1"/>
    <col min="3" max="3" width="24.28515625" customWidth="1"/>
    <col min="4" max="4" width="20.5703125" bestFit="1" customWidth="1"/>
    <col min="5" max="30" width="10.7109375" customWidth="1"/>
    <col min="31" max="32" width="10.5703125" bestFit="1" customWidth="1"/>
    <col min="35" max="35" width="14.85546875" customWidth="1"/>
  </cols>
  <sheetData>
    <row r="4" spans="1:63" ht="39" thickBot="1">
      <c r="A4" s="2" t="s">
        <v>1</v>
      </c>
      <c r="C4" s="2" t="s">
        <v>464</v>
      </c>
    </row>
    <row r="5" spans="1:63">
      <c r="A5" s="22">
        <v>0.03</v>
      </c>
      <c r="C5" s="22">
        <v>0.6</v>
      </c>
    </row>
    <row r="6" spans="1:63">
      <c r="A6" s="22"/>
      <c r="C6" s="22"/>
    </row>
    <row r="7" spans="1:63" ht="15">
      <c r="D7" s="213" t="s">
        <v>1063</v>
      </c>
      <c r="E7" s="213"/>
      <c r="AI7" s="213" t="s">
        <v>1062</v>
      </c>
      <c r="AJ7" s="213"/>
    </row>
    <row r="8" spans="1:63" ht="15">
      <c r="C8" s="146" t="s">
        <v>0</v>
      </c>
      <c r="D8" s="146" t="s">
        <v>476</v>
      </c>
      <c r="E8" s="146" t="s">
        <v>460</v>
      </c>
      <c r="F8" s="146" t="s">
        <v>433</v>
      </c>
      <c r="G8" s="146" t="s">
        <v>434</v>
      </c>
      <c r="H8" s="146" t="s">
        <v>435</v>
      </c>
      <c r="I8" s="146" t="s">
        <v>436</v>
      </c>
      <c r="J8" s="146" t="s">
        <v>437</v>
      </c>
      <c r="K8" s="146" t="s">
        <v>438</v>
      </c>
      <c r="L8" s="146" t="s">
        <v>439</v>
      </c>
      <c r="M8" s="146" t="s">
        <v>440</v>
      </c>
      <c r="N8" s="146" t="s">
        <v>441</v>
      </c>
      <c r="O8" s="146" t="s">
        <v>442</v>
      </c>
      <c r="P8" s="146" t="s">
        <v>443</v>
      </c>
      <c r="Q8" s="146" t="s">
        <v>444</v>
      </c>
      <c r="R8" s="146" t="s">
        <v>445</v>
      </c>
      <c r="S8" s="146" t="s">
        <v>446</v>
      </c>
      <c r="T8" s="146" t="s">
        <v>447</v>
      </c>
      <c r="U8" s="146" t="s">
        <v>448</v>
      </c>
      <c r="V8" s="146" t="s">
        <v>449</v>
      </c>
      <c r="W8" s="146" t="s">
        <v>450</v>
      </c>
      <c r="X8" s="146" t="s">
        <v>451</v>
      </c>
      <c r="Y8" s="146" t="s">
        <v>452</v>
      </c>
      <c r="Z8" s="146" t="s">
        <v>453</v>
      </c>
      <c r="AA8" s="146" t="s">
        <v>454</v>
      </c>
      <c r="AB8" s="146" t="s">
        <v>455</v>
      </c>
      <c r="AC8" s="146" t="s">
        <v>456</v>
      </c>
      <c r="AD8" s="146" t="s">
        <v>457</v>
      </c>
      <c r="AE8" s="146" t="s">
        <v>458</v>
      </c>
      <c r="AF8" s="146" t="s">
        <v>463</v>
      </c>
      <c r="AH8" s="146" t="s">
        <v>0</v>
      </c>
      <c r="AI8" s="146" t="s">
        <v>476</v>
      </c>
      <c r="AJ8" s="146" t="s">
        <v>460</v>
      </c>
      <c r="AK8" s="146" t="s">
        <v>433</v>
      </c>
      <c r="AL8" s="146" t="s">
        <v>434</v>
      </c>
      <c r="AM8" s="146" t="s">
        <v>435</v>
      </c>
      <c r="AN8" s="146" t="s">
        <v>436</v>
      </c>
      <c r="AO8" s="146" t="s">
        <v>437</v>
      </c>
      <c r="AP8" s="146" t="s">
        <v>438</v>
      </c>
      <c r="AQ8" s="146" t="s">
        <v>439</v>
      </c>
      <c r="AR8" s="146" t="s">
        <v>440</v>
      </c>
      <c r="AS8" s="146" t="s">
        <v>441</v>
      </c>
      <c r="AT8" s="146" t="s">
        <v>442</v>
      </c>
      <c r="AU8" s="146" t="s">
        <v>443</v>
      </c>
      <c r="AV8" s="146" t="s">
        <v>444</v>
      </c>
      <c r="AW8" s="146" t="s">
        <v>445</v>
      </c>
      <c r="AX8" s="146" t="s">
        <v>446</v>
      </c>
      <c r="AY8" s="146" t="s">
        <v>447</v>
      </c>
      <c r="AZ8" s="146" t="s">
        <v>448</v>
      </c>
      <c r="BA8" s="146" t="s">
        <v>449</v>
      </c>
      <c r="BB8" s="146" t="s">
        <v>450</v>
      </c>
      <c r="BC8" s="146" t="s">
        <v>451</v>
      </c>
      <c r="BD8" s="146" t="s">
        <v>452</v>
      </c>
      <c r="BE8" s="146" t="s">
        <v>453</v>
      </c>
      <c r="BF8" s="146" t="s">
        <v>454</v>
      </c>
      <c r="BG8" s="146" t="s">
        <v>455</v>
      </c>
      <c r="BH8" s="146" t="s">
        <v>456</v>
      </c>
      <c r="BI8" s="146" t="s">
        <v>457</v>
      </c>
      <c r="BJ8" s="146" t="s">
        <v>458</v>
      </c>
      <c r="BK8" s="146" t="s">
        <v>463</v>
      </c>
    </row>
    <row r="9" spans="1:63">
      <c r="A9" s="22"/>
      <c r="C9" s="142" t="s">
        <v>465</v>
      </c>
      <c r="D9" s="142" t="s">
        <v>1052</v>
      </c>
      <c r="E9" s="147">
        <v>0.61361805337652753</v>
      </c>
      <c r="F9" s="143">
        <v>0.6945736434108527</v>
      </c>
      <c r="G9" s="143">
        <v>0.57412331029078389</v>
      </c>
      <c r="H9" s="143">
        <v>0.73369239976062239</v>
      </c>
      <c r="I9" s="143">
        <v>0.76045197740112991</v>
      </c>
      <c r="J9" s="143">
        <v>0.59503105590062111</v>
      </c>
      <c r="K9" s="143">
        <v>0.88073394495412849</v>
      </c>
      <c r="L9" s="143">
        <v>0.81102056655025223</v>
      </c>
      <c r="M9" s="143">
        <v>0.6209535020600353</v>
      </c>
      <c r="N9" s="143">
        <v>0.77865612648221338</v>
      </c>
      <c r="O9" s="143">
        <v>0.47006369426751593</v>
      </c>
      <c r="P9" s="143">
        <v>0.73553719008264462</v>
      </c>
      <c r="Q9" s="143">
        <v>0.7128607053794086</v>
      </c>
      <c r="R9" s="143">
        <v>0.74453941120607792</v>
      </c>
      <c r="S9" s="143">
        <v>0.6833764553686934</v>
      </c>
      <c r="T9" s="143">
        <v>0.64555984555984558</v>
      </c>
      <c r="U9" s="143">
        <v>0.59628957451099007</v>
      </c>
      <c r="V9" s="143">
        <v>0.77071823204419887</v>
      </c>
      <c r="W9" s="143">
        <v>0.6481279534714649</v>
      </c>
      <c r="X9" s="143">
        <v>0.56522659889877169</v>
      </c>
      <c r="Y9" s="143">
        <v>0.74045801526717558</v>
      </c>
      <c r="Z9" s="143">
        <v>0.7182795698924731</v>
      </c>
      <c r="AA9" s="143">
        <v>0.810126582278481</v>
      </c>
      <c r="AB9" s="143">
        <v>0.67241379310344829</v>
      </c>
      <c r="AC9" s="143">
        <v>0.77777777777777779</v>
      </c>
      <c r="AD9" s="143">
        <v>0.54545454545454541</v>
      </c>
      <c r="AE9" s="143">
        <v>0.85989010989010994</v>
      </c>
      <c r="AF9" s="143">
        <f>E9</f>
        <v>0.61361805337652753</v>
      </c>
      <c r="AH9" s="142" t="s">
        <v>465</v>
      </c>
      <c r="AI9" s="142" t="s">
        <v>1052</v>
      </c>
      <c r="AJ9" s="147">
        <v>5</v>
      </c>
      <c r="AK9" s="147">
        <v>5</v>
      </c>
      <c r="AL9" s="147">
        <v>5</v>
      </c>
      <c r="AM9" s="147">
        <v>5</v>
      </c>
      <c r="AN9" s="147">
        <v>5</v>
      </c>
      <c r="AO9" s="147">
        <v>5</v>
      </c>
      <c r="AP9" s="147">
        <v>5</v>
      </c>
      <c r="AQ9" s="147">
        <v>5</v>
      </c>
      <c r="AR9" s="147">
        <v>5</v>
      </c>
      <c r="AS9" s="147">
        <v>5</v>
      </c>
      <c r="AT9" s="147">
        <v>5</v>
      </c>
      <c r="AU9" s="147">
        <v>5</v>
      </c>
      <c r="AV9" s="147">
        <v>5</v>
      </c>
      <c r="AW9" s="147">
        <v>5</v>
      </c>
      <c r="AX9" s="147">
        <v>5</v>
      </c>
      <c r="AY9" s="147">
        <v>5</v>
      </c>
      <c r="AZ9" s="147">
        <v>5</v>
      </c>
      <c r="BA9" s="147">
        <v>5</v>
      </c>
      <c r="BB9" s="147">
        <v>5</v>
      </c>
      <c r="BC9" s="147">
        <v>5</v>
      </c>
      <c r="BD9" s="147">
        <v>5</v>
      </c>
      <c r="BE9" s="147">
        <v>5</v>
      </c>
      <c r="BF9" s="147">
        <v>5</v>
      </c>
      <c r="BG9" s="147">
        <v>5</v>
      </c>
      <c r="BH9" s="147">
        <v>5</v>
      </c>
      <c r="BI9" s="147">
        <v>5</v>
      </c>
      <c r="BJ9" s="147">
        <v>5</v>
      </c>
      <c r="BK9" s="147">
        <v>5</v>
      </c>
    </row>
    <row r="10" spans="1:63">
      <c r="C10" s="144"/>
      <c r="D10" s="1" t="s">
        <v>1053</v>
      </c>
      <c r="E10" s="145">
        <v>5.1434483577431585E-2</v>
      </c>
      <c r="F10" s="145">
        <v>7.441860465116279E-2</v>
      </c>
      <c r="G10" s="145">
        <v>3.793624583694831E-2</v>
      </c>
      <c r="H10" s="145">
        <v>0.10083782166367444</v>
      </c>
      <c r="I10" s="145">
        <v>8.0225988700564965E-2</v>
      </c>
      <c r="J10" s="145">
        <v>0.1515527950310559</v>
      </c>
      <c r="K10" s="145">
        <v>5.0458715596330278E-2</v>
      </c>
      <c r="L10" s="145">
        <v>6.3639891346526964E-2</v>
      </c>
      <c r="M10" s="145">
        <v>0.12007062978222484</v>
      </c>
      <c r="N10" s="145">
        <v>3.9525691699604744E-2</v>
      </c>
      <c r="O10" s="145">
        <v>3.949044585987261E-2</v>
      </c>
      <c r="P10" s="145">
        <v>9.9173553719008267E-2</v>
      </c>
      <c r="Q10" s="145">
        <v>9.9038118988243676E-2</v>
      </c>
      <c r="R10" s="145">
        <v>7.7872744539411204E-2</v>
      </c>
      <c r="S10" s="145">
        <v>6.241914618369987E-2</v>
      </c>
      <c r="T10" s="145">
        <v>8.4169884169884177E-2</v>
      </c>
      <c r="U10" s="145">
        <v>4.0532365396249243E-2</v>
      </c>
      <c r="V10" s="145">
        <v>7.18232044198895E-2</v>
      </c>
      <c r="W10" s="145">
        <v>6.5067248273355138E-2</v>
      </c>
      <c r="X10" s="145">
        <v>7.4332909783989834E-2</v>
      </c>
      <c r="Y10" s="145">
        <v>8.3969465648854963E-2</v>
      </c>
      <c r="Z10" s="145">
        <v>6.4516129032258063E-2</v>
      </c>
      <c r="AA10" s="145">
        <v>2.5316455696202531E-2</v>
      </c>
      <c r="AB10" s="145">
        <v>3.5919540229885055E-2</v>
      </c>
      <c r="AC10" s="145">
        <v>6.3492063492063489E-2</v>
      </c>
      <c r="AD10" s="145">
        <v>7.0381231671554259E-2</v>
      </c>
      <c r="AE10" s="145">
        <v>6.5934065934065936E-2</v>
      </c>
      <c r="AF10" s="26">
        <f>E10</f>
        <v>5.1434483577431585E-2</v>
      </c>
      <c r="AH10" s="144"/>
      <c r="AI10" s="1" t="s">
        <v>1053</v>
      </c>
      <c r="AJ10" s="145">
        <v>5</v>
      </c>
      <c r="AK10" s="145">
        <v>5</v>
      </c>
      <c r="AL10" s="145">
        <v>5</v>
      </c>
      <c r="AM10" s="145">
        <v>5</v>
      </c>
      <c r="AN10" s="145">
        <v>5</v>
      </c>
      <c r="AO10" s="145">
        <v>5</v>
      </c>
      <c r="AP10" s="145">
        <v>5</v>
      </c>
      <c r="AQ10" s="145">
        <v>5</v>
      </c>
      <c r="AR10" s="145">
        <v>5</v>
      </c>
      <c r="AS10" s="145">
        <v>5</v>
      </c>
      <c r="AT10" s="145">
        <v>5</v>
      </c>
      <c r="AU10" s="145">
        <v>5</v>
      </c>
      <c r="AV10" s="145">
        <v>5</v>
      </c>
      <c r="AW10" s="145">
        <v>5</v>
      </c>
      <c r="AX10" s="145">
        <v>5</v>
      </c>
      <c r="AY10" s="145">
        <v>5</v>
      </c>
      <c r="AZ10" s="145">
        <v>5</v>
      </c>
      <c r="BA10" s="145">
        <v>5</v>
      </c>
      <c r="BB10" s="145">
        <v>5</v>
      </c>
      <c r="BC10" s="145">
        <v>5</v>
      </c>
      <c r="BD10" s="145">
        <v>5</v>
      </c>
      <c r="BE10" s="145">
        <v>5</v>
      </c>
      <c r="BF10" s="145">
        <v>5</v>
      </c>
      <c r="BG10" s="145">
        <v>5</v>
      </c>
      <c r="BH10" s="145">
        <v>5</v>
      </c>
      <c r="BI10" s="145">
        <v>5</v>
      </c>
      <c r="BJ10" s="145">
        <v>5</v>
      </c>
      <c r="BK10" s="145">
        <v>5</v>
      </c>
    </row>
    <row r="11" spans="1:63">
      <c r="C11" s="148"/>
      <c r="D11" s="139" t="s">
        <v>1054</v>
      </c>
      <c r="E11" s="140">
        <f>1-(E9+E10)</f>
        <v>0.33494746304604084</v>
      </c>
      <c r="F11" s="140">
        <f t="shared" ref="F11:AE11" si="0">1-(F9+F10)</f>
        <v>0.23100775193798451</v>
      </c>
      <c r="G11" s="140">
        <f t="shared" si="0"/>
        <v>0.38794044387226778</v>
      </c>
      <c r="H11" s="140">
        <f t="shared" si="0"/>
        <v>0.16546977857570311</v>
      </c>
      <c r="I11" s="140">
        <f t="shared" si="0"/>
        <v>0.15932203389830513</v>
      </c>
      <c r="J11" s="140">
        <f t="shared" si="0"/>
        <v>0.25341614906832299</v>
      </c>
      <c r="K11" s="140">
        <f t="shared" si="0"/>
        <v>6.8807339449541205E-2</v>
      </c>
      <c r="L11" s="140">
        <f t="shared" si="0"/>
        <v>0.12533954210322085</v>
      </c>
      <c r="M11" s="140">
        <f t="shared" si="0"/>
        <v>0.25897586815773987</v>
      </c>
      <c r="N11" s="140">
        <f t="shared" si="0"/>
        <v>0.18181818181818188</v>
      </c>
      <c r="O11" s="140">
        <f t="shared" si="0"/>
        <v>0.49044585987261147</v>
      </c>
      <c r="P11" s="140">
        <f t="shared" si="0"/>
        <v>0.16528925619834711</v>
      </c>
      <c r="Q11" s="140">
        <f t="shared" si="0"/>
        <v>0.18810117563234774</v>
      </c>
      <c r="R11" s="140">
        <f t="shared" si="0"/>
        <v>0.17758784425451091</v>
      </c>
      <c r="S11" s="140">
        <f t="shared" si="0"/>
        <v>0.25420439844760678</v>
      </c>
      <c r="T11" s="140">
        <f t="shared" si="0"/>
        <v>0.27027027027027029</v>
      </c>
      <c r="U11" s="140">
        <f t="shared" si="0"/>
        <v>0.36317806009276066</v>
      </c>
      <c r="V11" s="140">
        <f t="shared" si="0"/>
        <v>0.15745856353591159</v>
      </c>
      <c r="W11" s="140">
        <f t="shared" si="0"/>
        <v>0.28680479825518002</v>
      </c>
      <c r="X11" s="140">
        <f t="shared" si="0"/>
        <v>0.36044049131723843</v>
      </c>
      <c r="Y11" s="140">
        <f t="shared" si="0"/>
        <v>0.17557251908396942</v>
      </c>
      <c r="Z11" s="140">
        <f t="shared" si="0"/>
        <v>0.21720430107526889</v>
      </c>
      <c r="AA11" s="140">
        <f t="shared" si="0"/>
        <v>0.16455696202531644</v>
      </c>
      <c r="AB11" s="140">
        <f t="shared" si="0"/>
        <v>0.29166666666666663</v>
      </c>
      <c r="AC11" s="140">
        <f t="shared" si="0"/>
        <v>0.15873015873015872</v>
      </c>
      <c r="AD11" s="140">
        <f t="shared" si="0"/>
        <v>0.38416422287390029</v>
      </c>
      <c r="AE11" s="140">
        <f t="shared" si="0"/>
        <v>7.4175824175824134E-2</v>
      </c>
      <c r="AF11" s="141">
        <f>E11</f>
        <v>0.33494746304604084</v>
      </c>
      <c r="AH11" s="148"/>
      <c r="AI11" s="139" t="s">
        <v>1054</v>
      </c>
      <c r="AJ11" s="140">
        <v>5</v>
      </c>
      <c r="AK11" s="140">
        <v>5</v>
      </c>
      <c r="AL11" s="140">
        <v>5</v>
      </c>
      <c r="AM11" s="140">
        <v>5</v>
      </c>
      <c r="AN11" s="140">
        <v>5</v>
      </c>
      <c r="AO11" s="140">
        <v>5</v>
      </c>
      <c r="AP11" s="140">
        <v>5</v>
      </c>
      <c r="AQ11" s="140">
        <v>5</v>
      </c>
      <c r="AR11" s="140">
        <v>5</v>
      </c>
      <c r="AS11" s="140">
        <v>5</v>
      </c>
      <c r="AT11" s="140">
        <v>5</v>
      </c>
      <c r="AU11" s="140">
        <v>5</v>
      </c>
      <c r="AV11" s="140">
        <v>5</v>
      </c>
      <c r="AW11" s="140">
        <v>5</v>
      </c>
      <c r="AX11" s="140">
        <v>5</v>
      </c>
      <c r="AY11" s="140">
        <v>5</v>
      </c>
      <c r="AZ11" s="140">
        <v>5</v>
      </c>
      <c r="BA11" s="140">
        <v>5</v>
      </c>
      <c r="BB11" s="140">
        <v>5</v>
      </c>
      <c r="BC11" s="140">
        <v>5</v>
      </c>
      <c r="BD11" s="140">
        <v>5</v>
      </c>
      <c r="BE11" s="140">
        <v>5</v>
      </c>
      <c r="BF11" s="140">
        <v>5</v>
      </c>
      <c r="BG11" s="140">
        <v>5</v>
      </c>
      <c r="BH11" s="140">
        <v>5</v>
      </c>
      <c r="BI11" s="140">
        <v>5</v>
      </c>
      <c r="BJ11" s="140">
        <v>5</v>
      </c>
      <c r="BK11" s="140">
        <v>5</v>
      </c>
    </row>
    <row r="12" spans="1:63">
      <c r="C12" s="144" t="s">
        <v>466</v>
      </c>
      <c r="D12" s="144" t="s">
        <v>1052</v>
      </c>
      <c r="E12" s="26">
        <v>0.61361805337652753</v>
      </c>
      <c r="F12" s="26">
        <v>0.6945736434108527</v>
      </c>
      <c r="G12" s="26">
        <v>0.57412331029078389</v>
      </c>
      <c r="H12" s="26">
        <v>0.73369239976062239</v>
      </c>
      <c r="I12" s="26">
        <v>0.76045197740112991</v>
      </c>
      <c r="J12" s="26">
        <v>0.59503105590062111</v>
      </c>
      <c r="K12" s="26">
        <v>0.88073394495412849</v>
      </c>
      <c r="L12" s="26">
        <v>0.81102056655025223</v>
      </c>
      <c r="M12" s="26">
        <v>0.6209535020600353</v>
      </c>
      <c r="N12" s="26">
        <v>0.77865612648221338</v>
      </c>
      <c r="O12" s="26">
        <v>0.47006369426751593</v>
      </c>
      <c r="P12" s="26">
        <v>0.73553719008264462</v>
      </c>
      <c r="Q12" s="26">
        <v>0.7128607053794086</v>
      </c>
      <c r="R12" s="26">
        <v>0.74453941120607792</v>
      </c>
      <c r="S12" s="26">
        <v>0.6833764553686934</v>
      </c>
      <c r="T12" s="26">
        <v>0.64555984555984558</v>
      </c>
      <c r="U12" s="26">
        <v>0.59628957451099007</v>
      </c>
      <c r="V12" s="26">
        <v>0.77071823204419887</v>
      </c>
      <c r="W12" s="26">
        <v>0.6481279534714649</v>
      </c>
      <c r="X12" s="26">
        <v>0.56522659889877169</v>
      </c>
      <c r="Y12" s="26">
        <v>0.74045801526717558</v>
      </c>
      <c r="Z12" s="26">
        <v>0.7182795698924731</v>
      </c>
      <c r="AA12" s="26">
        <v>0.810126582278481</v>
      </c>
      <c r="AB12" s="26">
        <v>0.67241379310344829</v>
      </c>
      <c r="AC12" s="26">
        <v>0.77777777777777779</v>
      </c>
      <c r="AD12" s="26">
        <v>0.54545454545454541</v>
      </c>
      <c r="AE12" s="26">
        <v>0.85989010989010994</v>
      </c>
      <c r="AF12" s="26">
        <f t="shared" ref="AF12:AF20" si="1">E12</f>
        <v>0.61361805337652753</v>
      </c>
      <c r="AH12" s="144" t="s">
        <v>466</v>
      </c>
      <c r="AI12" s="144" t="s">
        <v>1052</v>
      </c>
      <c r="AJ12" s="147">
        <v>5</v>
      </c>
      <c r="AK12" s="147">
        <v>5</v>
      </c>
      <c r="AL12" s="147">
        <v>5</v>
      </c>
      <c r="AM12" s="147">
        <v>5</v>
      </c>
      <c r="AN12" s="147">
        <v>5</v>
      </c>
      <c r="AO12" s="147">
        <v>5</v>
      </c>
      <c r="AP12" s="147">
        <v>5</v>
      </c>
      <c r="AQ12" s="147">
        <v>5</v>
      </c>
      <c r="AR12" s="147">
        <v>5</v>
      </c>
      <c r="AS12" s="147">
        <v>5</v>
      </c>
      <c r="AT12" s="147">
        <v>5</v>
      </c>
      <c r="AU12" s="147">
        <v>5</v>
      </c>
      <c r="AV12" s="147">
        <v>5</v>
      </c>
      <c r="AW12" s="147">
        <v>5</v>
      </c>
      <c r="AX12" s="147">
        <v>5</v>
      </c>
      <c r="AY12" s="147">
        <v>5</v>
      </c>
      <c r="AZ12" s="147">
        <v>5</v>
      </c>
      <c r="BA12" s="147">
        <v>5</v>
      </c>
      <c r="BB12" s="147">
        <v>5</v>
      </c>
      <c r="BC12" s="147">
        <v>5</v>
      </c>
      <c r="BD12" s="147">
        <v>5</v>
      </c>
      <c r="BE12" s="147">
        <v>5</v>
      </c>
      <c r="BF12" s="147">
        <v>5</v>
      </c>
      <c r="BG12" s="147">
        <v>5</v>
      </c>
      <c r="BH12" s="147">
        <v>5</v>
      </c>
      <c r="BI12" s="147">
        <v>5</v>
      </c>
      <c r="BJ12" s="147">
        <v>5</v>
      </c>
      <c r="BK12" s="147">
        <v>5</v>
      </c>
    </row>
    <row r="13" spans="1:63">
      <c r="C13" s="144"/>
      <c r="D13" s="1" t="s">
        <v>1053</v>
      </c>
      <c r="E13" s="145">
        <v>5.1434483577431585E-2</v>
      </c>
      <c r="F13" s="145">
        <v>7.441860465116279E-2</v>
      </c>
      <c r="G13" s="145">
        <v>3.793624583694831E-2</v>
      </c>
      <c r="H13" s="145">
        <v>0.10083782166367444</v>
      </c>
      <c r="I13" s="145">
        <v>8.0225988700564965E-2</v>
      </c>
      <c r="J13" s="145">
        <v>0.1515527950310559</v>
      </c>
      <c r="K13" s="145">
        <v>5.0458715596330278E-2</v>
      </c>
      <c r="L13" s="145">
        <v>6.3639891346526964E-2</v>
      </c>
      <c r="M13" s="145">
        <v>0.12007062978222484</v>
      </c>
      <c r="N13" s="145">
        <v>3.9525691699604744E-2</v>
      </c>
      <c r="O13" s="145">
        <v>3.949044585987261E-2</v>
      </c>
      <c r="P13" s="145">
        <v>9.9173553719008267E-2</v>
      </c>
      <c r="Q13" s="145">
        <v>9.9038118988243676E-2</v>
      </c>
      <c r="R13" s="145">
        <v>7.7872744539411204E-2</v>
      </c>
      <c r="S13" s="145">
        <v>6.241914618369987E-2</v>
      </c>
      <c r="T13" s="145">
        <v>8.4169884169884177E-2</v>
      </c>
      <c r="U13" s="145">
        <v>4.0532365396249243E-2</v>
      </c>
      <c r="V13" s="145">
        <v>7.18232044198895E-2</v>
      </c>
      <c r="W13" s="145">
        <v>6.5067248273355138E-2</v>
      </c>
      <c r="X13" s="145">
        <v>7.4332909783989834E-2</v>
      </c>
      <c r="Y13" s="145">
        <v>8.3969465648854963E-2</v>
      </c>
      <c r="Z13" s="145">
        <v>6.4516129032258063E-2</v>
      </c>
      <c r="AA13" s="145">
        <v>2.5316455696202531E-2</v>
      </c>
      <c r="AB13" s="145">
        <v>3.5919540229885055E-2</v>
      </c>
      <c r="AC13" s="145">
        <v>6.3492063492063489E-2</v>
      </c>
      <c r="AD13" s="145">
        <v>7.0381231671554259E-2</v>
      </c>
      <c r="AE13" s="145">
        <v>6.5934065934065936E-2</v>
      </c>
      <c r="AF13" s="26">
        <f t="shared" si="1"/>
        <v>5.1434483577431585E-2</v>
      </c>
      <c r="AH13" s="144"/>
      <c r="AI13" s="1" t="s">
        <v>1053</v>
      </c>
      <c r="AJ13" s="145">
        <v>5</v>
      </c>
      <c r="AK13" s="145">
        <v>5</v>
      </c>
      <c r="AL13" s="145">
        <v>5</v>
      </c>
      <c r="AM13" s="145">
        <v>5</v>
      </c>
      <c r="AN13" s="145">
        <v>5</v>
      </c>
      <c r="AO13" s="145">
        <v>5</v>
      </c>
      <c r="AP13" s="145">
        <v>5</v>
      </c>
      <c r="AQ13" s="145">
        <v>5</v>
      </c>
      <c r="AR13" s="145">
        <v>5</v>
      </c>
      <c r="AS13" s="145">
        <v>5</v>
      </c>
      <c r="AT13" s="145">
        <v>5</v>
      </c>
      <c r="AU13" s="145">
        <v>5</v>
      </c>
      <c r="AV13" s="145">
        <v>5</v>
      </c>
      <c r="AW13" s="145">
        <v>5</v>
      </c>
      <c r="AX13" s="145">
        <v>5</v>
      </c>
      <c r="AY13" s="145">
        <v>5</v>
      </c>
      <c r="AZ13" s="145">
        <v>5</v>
      </c>
      <c r="BA13" s="145">
        <v>5</v>
      </c>
      <c r="BB13" s="145">
        <v>5</v>
      </c>
      <c r="BC13" s="145">
        <v>5</v>
      </c>
      <c r="BD13" s="145">
        <v>5</v>
      </c>
      <c r="BE13" s="145">
        <v>5</v>
      </c>
      <c r="BF13" s="145">
        <v>5</v>
      </c>
      <c r="BG13" s="145">
        <v>5</v>
      </c>
      <c r="BH13" s="145">
        <v>5</v>
      </c>
      <c r="BI13" s="145">
        <v>5</v>
      </c>
      <c r="BJ13" s="145">
        <v>5</v>
      </c>
      <c r="BK13" s="145">
        <v>5</v>
      </c>
    </row>
    <row r="14" spans="1:63">
      <c r="C14" s="144"/>
      <c r="D14" s="1" t="s">
        <v>1054</v>
      </c>
      <c r="E14" s="145">
        <f>1-(E12+E13)</f>
        <v>0.33494746304604084</v>
      </c>
      <c r="F14" s="145">
        <f t="shared" ref="F14:AE14" si="2">1-(F12+F13)</f>
        <v>0.23100775193798451</v>
      </c>
      <c r="G14" s="145">
        <f t="shared" si="2"/>
        <v>0.38794044387226778</v>
      </c>
      <c r="H14" s="145">
        <f t="shared" si="2"/>
        <v>0.16546977857570311</v>
      </c>
      <c r="I14" s="145">
        <f t="shared" si="2"/>
        <v>0.15932203389830513</v>
      </c>
      <c r="J14" s="145">
        <f t="shared" si="2"/>
        <v>0.25341614906832299</v>
      </c>
      <c r="K14" s="145">
        <f t="shared" si="2"/>
        <v>6.8807339449541205E-2</v>
      </c>
      <c r="L14" s="145">
        <f t="shared" si="2"/>
        <v>0.12533954210322085</v>
      </c>
      <c r="M14" s="145">
        <f t="shared" si="2"/>
        <v>0.25897586815773987</v>
      </c>
      <c r="N14" s="145">
        <f t="shared" si="2"/>
        <v>0.18181818181818188</v>
      </c>
      <c r="O14" s="145">
        <f t="shared" si="2"/>
        <v>0.49044585987261147</v>
      </c>
      <c r="P14" s="145">
        <f t="shared" si="2"/>
        <v>0.16528925619834711</v>
      </c>
      <c r="Q14" s="145">
        <f t="shared" si="2"/>
        <v>0.18810117563234774</v>
      </c>
      <c r="R14" s="145">
        <f t="shared" si="2"/>
        <v>0.17758784425451091</v>
      </c>
      <c r="S14" s="145">
        <f t="shared" si="2"/>
        <v>0.25420439844760678</v>
      </c>
      <c r="T14" s="145">
        <f t="shared" si="2"/>
        <v>0.27027027027027029</v>
      </c>
      <c r="U14" s="145">
        <f t="shared" si="2"/>
        <v>0.36317806009276066</v>
      </c>
      <c r="V14" s="145">
        <f t="shared" si="2"/>
        <v>0.15745856353591159</v>
      </c>
      <c r="W14" s="145">
        <f t="shared" si="2"/>
        <v>0.28680479825518002</v>
      </c>
      <c r="X14" s="145">
        <f t="shared" si="2"/>
        <v>0.36044049131723843</v>
      </c>
      <c r="Y14" s="145">
        <f t="shared" si="2"/>
        <v>0.17557251908396942</v>
      </c>
      <c r="Z14" s="145">
        <f t="shared" si="2"/>
        <v>0.21720430107526889</v>
      </c>
      <c r="AA14" s="145">
        <f t="shared" si="2"/>
        <v>0.16455696202531644</v>
      </c>
      <c r="AB14" s="145">
        <f t="shared" si="2"/>
        <v>0.29166666666666663</v>
      </c>
      <c r="AC14" s="145">
        <f t="shared" si="2"/>
        <v>0.15873015873015872</v>
      </c>
      <c r="AD14" s="145">
        <f t="shared" si="2"/>
        <v>0.38416422287390029</v>
      </c>
      <c r="AE14" s="145">
        <f t="shared" si="2"/>
        <v>7.4175824175824134E-2</v>
      </c>
      <c r="AF14" s="26">
        <f t="shared" si="1"/>
        <v>0.33494746304604084</v>
      </c>
      <c r="AH14" s="144"/>
      <c r="AI14" s="1" t="s">
        <v>1054</v>
      </c>
      <c r="AJ14" s="140">
        <v>5</v>
      </c>
      <c r="AK14" s="140">
        <v>5</v>
      </c>
      <c r="AL14" s="140">
        <v>5</v>
      </c>
      <c r="AM14" s="140">
        <v>5</v>
      </c>
      <c r="AN14" s="140">
        <v>5</v>
      </c>
      <c r="AO14" s="140">
        <v>5</v>
      </c>
      <c r="AP14" s="140">
        <v>5</v>
      </c>
      <c r="AQ14" s="140">
        <v>5</v>
      </c>
      <c r="AR14" s="140">
        <v>5</v>
      </c>
      <c r="AS14" s="140">
        <v>5</v>
      </c>
      <c r="AT14" s="140">
        <v>5</v>
      </c>
      <c r="AU14" s="140">
        <v>5</v>
      </c>
      <c r="AV14" s="140">
        <v>5</v>
      </c>
      <c r="AW14" s="140">
        <v>5</v>
      </c>
      <c r="AX14" s="140">
        <v>5</v>
      </c>
      <c r="AY14" s="140">
        <v>5</v>
      </c>
      <c r="AZ14" s="140">
        <v>5</v>
      </c>
      <c r="BA14" s="140">
        <v>5</v>
      </c>
      <c r="BB14" s="140">
        <v>5</v>
      </c>
      <c r="BC14" s="140">
        <v>5</v>
      </c>
      <c r="BD14" s="140">
        <v>5</v>
      </c>
      <c r="BE14" s="140">
        <v>5</v>
      </c>
      <c r="BF14" s="140">
        <v>5</v>
      </c>
      <c r="BG14" s="140">
        <v>5</v>
      </c>
      <c r="BH14" s="140">
        <v>5</v>
      </c>
      <c r="BI14" s="140">
        <v>5</v>
      </c>
      <c r="BJ14" s="140">
        <v>5</v>
      </c>
      <c r="BK14" s="140">
        <v>5</v>
      </c>
    </row>
    <row r="15" spans="1:63">
      <c r="C15" s="142" t="s">
        <v>467</v>
      </c>
      <c r="D15" s="142" t="s">
        <v>1052</v>
      </c>
      <c r="E15" s="143">
        <v>0.67681169552484599</v>
      </c>
      <c r="F15" s="143">
        <v>0.72127417519908987</v>
      </c>
      <c r="G15" s="143">
        <v>0.68827452667814115</v>
      </c>
      <c r="H15" s="143">
        <v>0.65054744525547448</v>
      </c>
      <c r="I15" s="143">
        <v>0.69774011299435024</v>
      </c>
      <c r="J15" s="143">
        <v>0.69097399286078531</v>
      </c>
      <c r="K15" s="143">
        <v>0.64042303172737958</v>
      </c>
      <c r="L15" s="143">
        <v>0.70898229144442071</v>
      </c>
      <c r="M15" s="143">
        <v>0.65239628717560139</v>
      </c>
      <c r="N15" s="143">
        <v>0.71935235158057054</v>
      </c>
      <c r="O15" s="143">
        <v>0.64579256360078274</v>
      </c>
      <c r="P15" s="143">
        <v>0.66745442268737343</v>
      </c>
      <c r="Q15" s="143">
        <v>0.64216928535225548</v>
      </c>
      <c r="R15" s="143">
        <v>0.59632294164668265</v>
      </c>
      <c r="S15" s="143">
        <v>0.68252823840422971</v>
      </c>
      <c r="T15" s="143">
        <v>0.63496341932999611</v>
      </c>
      <c r="U15" s="143">
        <v>0.73918039065492147</v>
      </c>
      <c r="V15" s="143">
        <v>0.77610138805069406</v>
      </c>
      <c r="W15" s="143">
        <v>0.69228627123363962</v>
      </c>
      <c r="X15" s="143">
        <v>0.5828374569370498</v>
      </c>
      <c r="Y15" s="143">
        <v>0.60474308300395252</v>
      </c>
      <c r="Z15" s="143">
        <v>0.64798206278026904</v>
      </c>
      <c r="AA15" s="143">
        <v>0.66276803118908378</v>
      </c>
      <c r="AB15" s="143">
        <v>0.61085450346420322</v>
      </c>
      <c r="AC15" s="143">
        <v>0.68844221105527637</v>
      </c>
      <c r="AD15" s="143">
        <v>0.6504592112371691</v>
      </c>
      <c r="AE15" s="143">
        <v>0.75409836065573765</v>
      </c>
      <c r="AF15" s="143">
        <f t="shared" si="1"/>
        <v>0.67681169552484599</v>
      </c>
      <c r="AH15" s="142" t="s">
        <v>467</v>
      </c>
      <c r="AI15" s="142" t="s">
        <v>1052</v>
      </c>
      <c r="AJ15" s="147">
        <v>5</v>
      </c>
      <c r="AK15" s="147">
        <v>5</v>
      </c>
      <c r="AL15" s="147">
        <v>5</v>
      </c>
      <c r="AM15" s="147">
        <v>5</v>
      </c>
      <c r="AN15" s="147">
        <v>5</v>
      </c>
      <c r="AO15" s="147">
        <v>5</v>
      </c>
      <c r="AP15" s="147">
        <v>5</v>
      </c>
      <c r="AQ15" s="147">
        <v>5</v>
      </c>
      <c r="AR15" s="147">
        <v>5</v>
      </c>
      <c r="AS15" s="147">
        <v>5</v>
      </c>
      <c r="AT15" s="147">
        <v>5</v>
      </c>
      <c r="AU15" s="147">
        <v>5</v>
      </c>
      <c r="AV15" s="147">
        <v>5</v>
      </c>
      <c r="AW15" s="147">
        <v>5</v>
      </c>
      <c r="AX15" s="147">
        <v>5</v>
      </c>
      <c r="AY15" s="147">
        <v>5</v>
      </c>
      <c r="AZ15" s="147">
        <v>5</v>
      </c>
      <c r="BA15" s="147">
        <v>5</v>
      </c>
      <c r="BB15" s="147">
        <v>5</v>
      </c>
      <c r="BC15" s="147">
        <v>5</v>
      </c>
      <c r="BD15" s="147">
        <v>5</v>
      </c>
      <c r="BE15" s="147">
        <v>5</v>
      </c>
      <c r="BF15" s="147">
        <v>5</v>
      </c>
      <c r="BG15" s="147">
        <v>5</v>
      </c>
      <c r="BH15" s="147">
        <v>5</v>
      </c>
      <c r="BI15" s="147">
        <v>5</v>
      </c>
      <c r="BJ15" s="147">
        <v>5</v>
      </c>
      <c r="BK15" s="147">
        <v>5</v>
      </c>
    </row>
    <row r="16" spans="1:63">
      <c r="C16" s="144"/>
      <c r="D16" s="1" t="s">
        <v>1053</v>
      </c>
      <c r="E16" s="26">
        <v>0.16871353887503593</v>
      </c>
      <c r="F16" s="26">
        <v>0.14050056882821388</v>
      </c>
      <c r="G16" s="26">
        <v>0.12740963855421686</v>
      </c>
      <c r="H16" s="26">
        <v>0.2127433090024331</v>
      </c>
      <c r="I16" s="26">
        <v>0.17231638418079095</v>
      </c>
      <c r="J16" s="26">
        <v>0.25650178480367158</v>
      </c>
      <c r="K16" s="26">
        <v>0.17156286721504113</v>
      </c>
      <c r="L16" s="26">
        <v>0.16129720503520376</v>
      </c>
      <c r="M16" s="26">
        <v>0.2263686304224285</v>
      </c>
      <c r="N16" s="26">
        <v>0.17887432536622977</v>
      </c>
      <c r="O16" s="26">
        <v>0.15068493150684931</v>
      </c>
      <c r="P16" s="26">
        <v>0.19209993247805537</v>
      </c>
      <c r="Q16" s="26">
        <v>0.26583882412569693</v>
      </c>
      <c r="R16" s="26">
        <v>0.2246203037569944</v>
      </c>
      <c r="S16" s="26">
        <v>0.19334294640711366</v>
      </c>
      <c r="T16" s="26">
        <v>0.18867924528301888</v>
      </c>
      <c r="U16" s="26">
        <v>0.14687859057832248</v>
      </c>
      <c r="V16" s="26">
        <v>0.14393482196741098</v>
      </c>
      <c r="W16" s="26">
        <v>0.19353940406571984</v>
      </c>
      <c r="X16" s="26">
        <v>0.21782023175696838</v>
      </c>
      <c r="Y16" s="26">
        <v>0.30039525691699603</v>
      </c>
      <c r="Z16" s="26">
        <v>0.184304932735426</v>
      </c>
      <c r="AA16" s="26">
        <v>0.1189083820662768</v>
      </c>
      <c r="AB16" s="26">
        <v>0.15242494226327943</v>
      </c>
      <c r="AC16" s="26">
        <v>0.12763819095477386</v>
      </c>
      <c r="AD16" s="26">
        <v>0.20583468395461912</v>
      </c>
      <c r="AE16" s="26">
        <v>7.0257611241217793E-2</v>
      </c>
      <c r="AF16" s="26">
        <f t="shared" si="1"/>
        <v>0.16871353887503593</v>
      </c>
      <c r="AH16" s="144"/>
      <c r="AI16" s="1" t="s">
        <v>1053</v>
      </c>
      <c r="AJ16" s="145">
        <v>5</v>
      </c>
      <c r="AK16" s="145">
        <v>5</v>
      </c>
      <c r="AL16" s="145">
        <v>5</v>
      </c>
      <c r="AM16" s="145">
        <v>5</v>
      </c>
      <c r="AN16" s="145">
        <v>5</v>
      </c>
      <c r="AO16" s="145">
        <v>5</v>
      </c>
      <c r="AP16" s="145">
        <v>5</v>
      </c>
      <c r="AQ16" s="145">
        <v>5</v>
      </c>
      <c r="AR16" s="145">
        <v>5</v>
      </c>
      <c r="AS16" s="145">
        <v>5</v>
      </c>
      <c r="AT16" s="145">
        <v>5</v>
      </c>
      <c r="AU16" s="145">
        <v>5</v>
      </c>
      <c r="AV16" s="145">
        <v>5</v>
      </c>
      <c r="AW16" s="145">
        <v>5</v>
      </c>
      <c r="AX16" s="145">
        <v>5</v>
      </c>
      <c r="AY16" s="145">
        <v>5</v>
      </c>
      <c r="AZ16" s="145">
        <v>5</v>
      </c>
      <c r="BA16" s="145">
        <v>5</v>
      </c>
      <c r="BB16" s="145">
        <v>5</v>
      </c>
      <c r="BC16" s="145">
        <v>5</v>
      </c>
      <c r="BD16" s="145">
        <v>5</v>
      </c>
      <c r="BE16" s="145">
        <v>5</v>
      </c>
      <c r="BF16" s="145">
        <v>5</v>
      </c>
      <c r="BG16" s="145">
        <v>5</v>
      </c>
      <c r="BH16" s="145">
        <v>5</v>
      </c>
      <c r="BI16" s="145">
        <v>5</v>
      </c>
      <c r="BJ16" s="145">
        <v>5</v>
      </c>
      <c r="BK16" s="145">
        <v>5</v>
      </c>
    </row>
    <row r="17" spans="1:63">
      <c r="C17" s="148"/>
      <c r="D17" s="139" t="s">
        <v>1054</v>
      </c>
      <c r="E17" s="141">
        <f>1-(E15+E16)</f>
        <v>0.15447476560011808</v>
      </c>
      <c r="F17" s="141">
        <f t="shared" ref="F17:AE17" si="3">1-(F15+F16)</f>
        <v>0.13822525597269619</v>
      </c>
      <c r="G17" s="141">
        <f t="shared" si="3"/>
        <v>0.18431583476764202</v>
      </c>
      <c r="H17" s="141">
        <f t="shared" si="3"/>
        <v>0.13670924574209242</v>
      </c>
      <c r="I17" s="141">
        <f t="shared" si="3"/>
        <v>0.12994350282485878</v>
      </c>
      <c r="J17" s="141">
        <f t="shared" si="3"/>
        <v>5.2524222335543103E-2</v>
      </c>
      <c r="K17" s="141">
        <f t="shared" si="3"/>
        <v>0.18801410105757932</v>
      </c>
      <c r="L17" s="141">
        <f t="shared" si="3"/>
        <v>0.12972050352037556</v>
      </c>
      <c r="M17" s="141">
        <f t="shared" si="3"/>
        <v>0.12123508240197012</v>
      </c>
      <c r="N17" s="141">
        <f t="shared" si="3"/>
        <v>0.10177332305319964</v>
      </c>
      <c r="O17" s="141">
        <f t="shared" si="3"/>
        <v>0.20352250489236789</v>
      </c>
      <c r="P17" s="141">
        <f t="shared" si="3"/>
        <v>0.14044564483457123</v>
      </c>
      <c r="Q17" s="141">
        <f t="shared" si="3"/>
        <v>9.1991890522047592E-2</v>
      </c>
      <c r="R17" s="141">
        <f t="shared" si="3"/>
        <v>0.17905675459632298</v>
      </c>
      <c r="S17" s="141">
        <f t="shared" si="3"/>
        <v>0.12412881518865659</v>
      </c>
      <c r="T17" s="141">
        <f t="shared" si="3"/>
        <v>0.17635733538698495</v>
      </c>
      <c r="U17" s="141">
        <f t="shared" si="3"/>
        <v>0.113941018766756</v>
      </c>
      <c r="V17" s="141">
        <f t="shared" si="3"/>
        <v>7.9963789981895017E-2</v>
      </c>
      <c r="W17" s="141">
        <f t="shared" si="3"/>
        <v>0.11417432470064059</v>
      </c>
      <c r="X17" s="141">
        <f t="shared" si="3"/>
        <v>0.19934231130598179</v>
      </c>
      <c r="Y17" s="141">
        <f t="shared" si="3"/>
        <v>9.4861660079051502E-2</v>
      </c>
      <c r="Z17" s="141">
        <f t="shared" si="3"/>
        <v>0.16771300448430493</v>
      </c>
      <c r="AA17" s="141">
        <f t="shared" si="3"/>
        <v>0.21832358674463936</v>
      </c>
      <c r="AB17" s="141">
        <f t="shared" si="3"/>
        <v>0.23672055427251737</v>
      </c>
      <c r="AC17" s="141">
        <f t="shared" si="3"/>
        <v>0.18391959798994972</v>
      </c>
      <c r="AD17" s="141">
        <f t="shared" si="3"/>
        <v>0.14370610480821178</v>
      </c>
      <c r="AE17" s="141">
        <f t="shared" si="3"/>
        <v>0.17564402810304458</v>
      </c>
      <c r="AF17" s="141">
        <f t="shared" si="1"/>
        <v>0.15447476560011808</v>
      </c>
      <c r="AH17" s="148"/>
      <c r="AI17" s="139" t="s">
        <v>1054</v>
      </c>
      <c r="AJ17" s="140">
        <v>5</v>
      </c>
      <c r="AK17" s="140">
        <v>5</v>
      </c>
      <c r="AL17" s="140">
        <v>5</v>
      </c>
      <c r="AM17" s="140">
        <v>5</v>
      </c>
      <c r="AN17" s="140">
        <v>5</v>
      </c>
      <c r="AO17" s="140">
        <v>5</v>
      </c>
      <c r="AP17" s="140">
        <v>5</v>
      </c>
      <c r="AQ17" s="140">
        <v>5</v>
      </c>
      <c r="AR17" s="140">
        <v>5</v>
      </c>
      <c r="AS17" s="140">
        <v>5</v>
      </c>
      <c r="AT17" s="140">
        <v>5</v>
      </c>
      <c r="AU17" s="140">
        <v>5</v>
      </c>
      <c r="AV17" s="140">
        <v>5</v>
      </c>
      <c r="AW17" s="140">
        <v>5</v>
      </c>
      <c r="AX17" s="140">
        <v>5</v>
      </c>
      <c r="AY17" s="140">
        <v>5</v>
      </c>
      <c r="AZ17" s="140">
        <v>5</v>
      </c>
      <c r="BA17" s="140">
        <v>5</v>
      </c>
      <c r="BB17" s="140">
        <v>5</v>
      </c>
      <c r="BC17" s="140">
        <v>5</v>
      </c>
      <c r="BD17" s="140">
        <v>5</v>
      </c>
      <c r="BE17" s="140">
        <v>5</v>
      </c>
      <c r="BF17" s="140">
        <v>5</v>
      </c>
      <c r="BG17" s="140">
        <v>5</v>
      </c>
      <c r="BH17" s="140">
        <v>5</v>
      </c>
      <c r="BI17" s="140">
        <v>5</v>
      </c>
      <c r="BJ17" s="140">
        <v>5</v>
      </c>
      <c r="BK17" s="140">
        <v>5</v>
      </c>
    </row>
    <row r="18" spans="1:63">
      <c r="C18" s="144" t="s">
        <v>468</v>
      </c>
      <c r="D18" s="144" t="s">
        <v>1052</v>
      </c>
      <c r="E18" s="26">
        <v>0.55096921697795098</v>
      </c>
      <c r="F18" s="26">
        <v>0.54587155963302747</v>
      </c>
      <c r="G18" s="26">
        <v>0.55501559875209983</v>
      </c>
      <c r="H18" s="26">
        <v>0.55717003978550428</v>
      </c>
      <c r="I18" s="26">
        <v>0.61781946072684646</v>
      </c>
      <c r="J18" s="26">
        <v>0.63038714390065742</v>
      </c>
      <c r="K18" s="26">
        <v>0.53875968992248058</v>
      </c>
      <c r="L18" s="26">
        <v>0.57623712635016322</v>
      </c>
      <c r="M18" s="26">
        <v>0.58766332421756307</v>
      </c>
      <c r="N18" s="26">
        <v>0.63788968824940051</v>
      </c>
      <c r="O18" s="26">
        <v>0.60311128839250094</v>
      </c>
      <c r="P18" s="26">
        <v>0.44195250659630608</v>
      </c>
      <c r="Q18" s="26">
        <v>0.49887189771872648</v>
      </c>
      <c r="R18" s="26">
        <v>0.5861200183234081</v>
      </c>
      <c r="S18" s="26">
        <v>0.53289705157976219</v>
      </c>
      <c r="T18" s="26">
        <v>0.47977764999041594</v>
      </c>
      <c r="U18" s="26">
        <v>0.64353499406880188</v>
      </c>
      <c r="V18" s="26">
        <v>0.66475583864118892</v>
      </c>
      <c r="W18" s="26">
        <v>0.55326662742789878</v>
      </c>
      <c r="X18" s="26">
        <v>0.44061720698254364</v>
      </c>
      <c r="Y18" s="26">
        <v>0.47600767754318618</v>
      </c>
      <c r="Z18" s="26">
        <v>0.54827915869980881</v>
      </c>
      <c r="AA18" s="26">
        <v>0.58585858585858586</v>
      </c>
      <c r="AB18" s="26">
        <v>0.55321637426900583</v>
      </c>
      <c r="AC18" s="26">
        <v>0.58722109533468558</v>
      </c>
      <c r="AD18" s="26">
        <v>0.48339380407479765</v>
      </c>
      <c r="AE18" s="26">
        <v>0.66513292433537829</v>
      </c>
      <c r="AF18" s="26">
        <f t="shared" si="1"/>
        <v>0.55096921697795098</v>
      </c>
      <c r="AH18" s="144" t="s">
        <v>468</v>
      </c>
      <c r="AI18" s="144" t="s">
        <v>1052</v>
      </c>
      <c r="AJ18" s="147">
        <v>5</v>
      </c>
      <c r="AK18" s="147">
        <v>5</v>
      </c>
      <c r="AL18" s="147">
        <v>5</v>
      </c>
      <c r="AM18" s="147">
        <v>5</v>
      </c>
      <c r="AN18" s="147">
        <v>5</v>
      </c>
      <c r="AO18" s="147">
        <v>5</v>
      </c>
      <c r="AP18" s="147">
        <v>5</v>
      </c>
      <c r="AQ18" s="147">
        <v>5</v>
      </c>
      <c r="AR18" s="147">
        <v>5</v>
      </c>
      <c r="AS18" s="147">
        <v>5</v>
      </c>
      <c r="AT18" s="147">
        <v>5</v>
      </c>
      <c r="AU18" s="147">
        <v>5</v>
      </c>
      <c r="AV18" s="147">
        <v>5</v>
      </c>
      <c r="AW18" s="147">
        <v>5</v>
      </c>
      <c r="AX18" s="147">
        <v>5</v>
      </c>
      <c r="AY18" s="147">
        <v>5</v>
      </c>
      <c r="AZ18" s="147">
        <v>5</v>
      </c>
      <c r="BA18" s="147">
        <v>5</v>
      </c>
      <c r="BB18" s="147">
        <v>5</v>
      </c>
      <c r="BC18" s="147">
        <v>5</v>
      </c>
      <c r="BD18" s="147">
        <v>5</v>
      </c>
      <c r="BE18" s="147">
        <v>5</v>
      </c>
      <c r="BF18" s="147">
        <v>5</v>
      </c>
      <c r="BG18" s="147">
        <v>5</v>
      </c>
      <c r="BH18" s="147">
        <v>5</v>
      </c>
      <c r="BI18" s="147">
        <v>5</v>
      </c>
      <c r="BJ18" s="147">
        <v>5</v>
      </c>
      <c r="BK18" s="147">
        <v>5</v>
      </c>
    </row>
    <row r="19" spans="1:63">
      <c r="C19" s="144"/>
      <c r="D19" s="1" t="s">
        <v>1053</v>
      </c>
      <c r="E19" s="26">
        <v>0.32876892584277057</v>
      </c>
      <c r="F19" s="26">
        <v>0.36983944954128439</v>
      </c>
      <c r="G19" s="26">
        <v>0.19108471322294215</v>
      </c>
      <c r="H19" s="26">
        <v>0.30185089084933403</v>
      </c>
      <c r="I19" s="26">
        <v>0.31262211801484957</v>
      </c>
      <c r="J19" s="26">
        <v>0.30314097881665447</v>
      </c>
      <c r="K19" s="26">
        <v>0.36356589147286822</v>
      </c>
      <c r="L19" s="26">
        <v>0.34463702587289624</v>
      </c>
      <c r="M19" s="26">
        <v>0.32330598602248556</v>
      </c>
      <c r="N19" s="26">
        <v>0.26618705035971224</v>
      </c>
      <c r="O19" s="26">
        <v>0.24331870761866772</v>
      </c>
      <c r="P19" s="26">
        <v>0.4841688654353562</v>
      </c>
      <c r="Q19" s="26">
        <v>0.38530960140386061</v>
      </c>
      <c r="R19" s="26">
        <v>0.31287219422812645</v>
      </c>
      <c r="S19" s="26">
        <v>0.36640630497501936</v>
      </c>
      <c r="T19" s="26">
        <v>0.44163312248418629</v>
      </c>
      <c r="U19" s="26">
        <v>0.25227362593910635</v>
      </c>
      <c r="V19" s="26">
        <v>0.28832271762208067</v>
      </c>
      <c r="W19" s="26">
        <v>0.3616833431430253</v>
      </c>
      <c r="X19" s="26">
        <v>0.40211970074812969</v>
      </c>
      <c r="Y19" s="26">
        <v>0.37364043506078054</v>
      </c>
      <c r="Z19" s="26">
        <v>0.36950286806883365</v>
      </c>
      <c r="AA19" s="26">
        <v>0.35307621671258033</v>
      </c>
      <c r="AB19" s="26">
        <v>0.32592592592592595</v>
      </c>
      <c r="AC19" s="26">
        <v>0.32150101419878296</v>
      </c>
      <c r="AD19" s="26">
        <v>0.41375941948088196</v>
      </c>
      <c r="AE19" s="26">
        <v>0.22955010224948874</v>
      </c>
      <c r="AF19" s="26">
        <f t="shared" si="1"/>
        <v>0.32876892584277057</v>
      </c>
      <c r="AH19" s="144"/>
      <c r="AI19" s="1" t="s">
        <v>1053</v>
      </c>
      <c r="AJ19" s="145">
        <v>5</v>
      </c>
      <c r="AK19" s="145">
        <v>5</v>
      </c>
      <c r="AL19" s="145">
        <v>5</v>
      </c>
      <c r="AM19" s="145">
        <v>5</v>
      </c>
      <c r="AN19" s="145">
        <v>5</v>
      </c>
      <c r="AO19" s="145">
        <v>5</v>
      </c>
      <c r="AP19" s="145">
        <v>5</v>
      </c>
      <c r="AQ19" s="145">
        <v>5</v>
      </c>
      <c r="AR19" s="145">
        <v>5</v>
      </c>
      <c r="AS19" s="145">
        <v>5</v>
      </c>
      <c r="AT19" s="145">
        <v>5</v>
      </c>
      <c r="AU19" s="145">
        <v>5</v>
      </c>
      <c r="AV19" s="145">
        <v>5</v>
      </c>
      <c r="AW19" s="145">
        <v>5</v>
      </c>
      <c r="AX19" s="145">
        <v>5</v>
      </c>
      <c r="AY19" s="145">
        <v>5</v>
      </c>
      <c r="AZ19" s="145">
        <v>5</v>
      </c>
      <c r="BA19" s="145">
        <v>5</v>
      </c>
      <c r="BB19" s="145">
        <v>5</v>
      </c>
      <c r="BC19" s="145">
        <v>5</v>
      </c>
      <c r="BD19" s="145">
        <v>5</v>
      </c>
      <c r="BE19" s="145">
        <v>5</v>
      </c>
      <c r="BF19" s="145">
        <v>5</v>
      </c>
      <c r="BG19" s="145">
        <v>5</v>
      </c>
      <c r="BH19" s="145">
        <v>5</v>
      </c>
      <c r="BI19" s="145">
        <v>5</v>
      </c>
      <c r="BJ19" s="145">
        <v>5</v>
      </c>
      <c r="BK19" s="145">
        <v>5</v>
      </c>
    </row>
    <row r="20" spans="1:63">
      <c r="D20" s="1" t="s">
        <v>1054</v>
      </c>
      <c r="E20" s="26">
        <f>1-(E18+E19)</f>
        <v>0.1202618571792784</v>
      </c>
      <c r="F20" s="26">
        <f t="shared" ref="F20:AE20" si="4">1-(F18+F19)</f>
        <v>8.4288990825688082E-2</v>
      </c>
      <c r="G20" s="26">
        <f t="shared" si="4"/>
        <v>0.25389968802495799</v>
      </c>
      <c r="H20" s="26">
        <f t="shared" si="4"/>
        <v>0.14097906936516169</v>
      </c>
      <c r="I20" s="26">
        <f t="shared" si="4"/>
        <v>6.9558421258304026E-2</v>
      </c>
      <c r="J20" s="26">
        <f t="shared" si="4"/>
        <v>6.6471877282688108E-2</v>
      </c>
      <c r="K20" s="26">
        <f t="shared" si="4"/>
        <v>9.7674418604651203E-2</v>
      </c>
      <c r="L20" s="26">
        <f t="shared" si="4"/>
        <v>7.9125847776940539E-2</v>
      </c>
      <c r="M20" s="26">
        <f t="shared" si="4"/>
        <v>8.903068975995132E-2</v>
      </c>
      <c r="N20" s="26">
        <f t="shared" si="4"/>
        <v>9.5923261390887249E-2</v>
      </c>
      <c r="O20" s="26">
        <f t="shared" si="4"/>
        <v>0.15357000398883136</v>
      </c>
      <c r="P20" s="26">
        <f t="shared" si="4"/>
        <v>7.3878627968337662E-2</v>
      </c>
      <c r="Q20" s="26">
        <f t="shared" si="4"/>
        <v>0.11581850087741286</v>
      </c>
      <c r="R20" s="26">
        <f t="shared" si="4"/>
        <v>0.10100778744846539</v>
      </c>
      <c r="S20" s="26">
        <f t="shared" si="4"/>
        <v>0.10069664344521845</v>
      </c>
      <c r="T20" s="26">
        <f t="shared" si="4"/>
        <v>7.8589227525397765E-2</v>
      </c>
      <c r="U20" s="26">
        <f t="shared" si="4"/>
        <v>0.10419137999209171</v>
      </c>
      <c r="V20" s="26">
        <f t="shared" si="4"/>
        <v>4.6921443736730462E-2</v>
      </c>
      <c r="W20" s="26">
        <f t="shared" si="4"/>
        <v>8.5050029429075913E-2</v>
      </c>
      <c r="X20" s="26">
        <f t="shared" si="4"/>
        <v>0.15726309226932667</v>
      </c>
      <c r="Y20" s="26">
        <f t="shared" si="4"/>
        <v>0.15035188739603322</v>
      </c>
      <c r="Z20" s="26">
        <f t="shared" si="4"/>
        <v>8.2217973231357488E-2</v>
      </c>
      <c r="AA20" s="26">
        <f t="shared" si="4"/>
        <v>6.1065197428833873E-2</v>
      </c>
      <c r="AB20" s="26">
        <f t="shared" si="4"/>
        <v>0.12085769980506822</v>
      </c>
      <c r="AC20" s="26">
        <f t="shared" si="4"/>
        <v>9.1277890466531453E-2</v>
      </c>
      <c r="AD20" s="26">
        <f t="shared" si="4"/>
        <v>0.10284677644432039</v>
      </c>
      <c r="AE20" s="26">
        <f t="shared" si="4"/>
        <v>0.10531697341513291</v>
      </c>
      <c r="AF20" s="26">
        <f t="shared" si="1"/>
        <v>0.1202618571792784</v>
      </c>
      <c r="AI20" s="1" t="s">
        <v>1054</v>
      </c>
      <c r="AJ20" s="140">
        <v>5</v>
      </c>
      <c r="AK20" s="140">
        <v>5</v>
      </c>
      <c r="AL20" s="140">
        <v>5</v>
      </c>
      <c r="AM20" s="140">
        <v>5</v>
      </c>
      <c r="AN20" s="140">
        <v>5</v>
      </c>
      <c r="AO20" s="140">
        <v>5</v>
      </c>
      <c r="AP20" s="140">
        <v>5</v>
      </c>
      <c r="AQ20" s="140">
        <v>5</v>
      </c>
      <c r="AR20" s="140">
        <v>5</v>
      </c>
      <c r="AS20" s="140">
        <v>5</v>
      </c>
      <c r="AT20" s="140">
        <v>5</v>
      </c>
      <c r="AU20" s="140">
        <v>5</v>
      </c>
      <c r="AV20" s="140">
        <v>5</v>
      </c>
      <c r="AW20" s="140">
        <v>5</v>
      </c>
      <c r="AX20" s="140">
        <v>5</v>
      </c>
      <c r="AY20" s="140">
        <v>5</v>
      </c>
      <c r="AZ20" s="140">
        <v>5</v>
      </c>
      <c r="BA20" s="140">
        <v>5</v>
      </c>
      <c r="BB20" s="140">
        <v>5</v>
      </c>
      <c r="BC20" s="140">
        <v>5</v>
      </c>
      <c r="BD20" s="140">
        <v>5</v>
      </c>
      <c r="BE20" s="140">
        <v>5</v>
      </c>
      <c r="BF20" s="140">
        <v>5</v>
      </c>
      <c r="BG20" s="140">
        <v>5</v>
      </c>
      <c r="BH20" s="140">
        <v>5</v>
      </c>
      <c r="BI20" s="140">
        <v>5</v>
      </c>
      <c r="BJ20" s="140">
        <v>5</v>
      </c>
      <c r="BK20" s="140">
        <v>5</v>
      </c>
    </row>
    <row r="21" spans="1:63">
      <c r="E21" s="1"/>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107"/>
    </row>
    <row r="22" spans="1:63">
      <c r="D22" t="s">
        <v>1060</v>
      </c>
      <c r="E22" s="1"/>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107"/>
    </row>
    <row r="23" spans="1:63" ht="15">
      <c r="D23" s="149" t="s">
        <v>558</v>
      </c>
      <c r="E23" s="149" t="s">
        <v>460</v>
      </c>
      <c r="F23" s="150" t="s">
        <v>433</v>
      </c>
      <c r="G23" s="150" t="s">
        <v>434</v>
      </c>
      <c r="H23" s="150" t="s">
        <v>435</v>
      </c>
      <c r="I23" s="150" t="s">
        <v>436</v>
      </c>
      <c r="J23" s="150" t="s">
        <v>437</v>
      </c>
      <c r="K23" s="150" t="s">
        <v>438</v>
      </c>
      <c r="L23" s="150" t="s">
        <v>439</v>
      </c>
      <c r="M23" s="150" t="s">
        <v>440</v>
      </c>
      <c r="N23" s="150" t="s">
        <v>441</v>
      </c>
      <c r="O23" s="150" t="s">
        <v>442</v>
      </c>
      <c r="P23" s="150" t="s">
        <v>443</v>
      </c>
      <c r="Q23" s="150" t="s">
        <v>444</v>
      </c>
      <c r="R23" s="150" t="s">
        <v>445</v>
      </c>
      <c r="S23" s="150" t="s">
        <v>446</v>
      </c>
      <c r="T23" s="150" t="s">
        <v>447</v>
      </c>
      <c r="U23" s="150" t="s">
        <v>448</v>
      </c>
      <c r="V23" s="150" t="s">
        <v>449</v>
      </c>
      <c r="W23" s="150" t="s">
        <v>450</v>
      </c>
      <c r="X23" s="150" t="s">
        <v>451</v>
      </c>
      <c r="Y23" s="150" t="s">
        <v>452</v>
      </c>
      <c r="Z23" s="150" t="s">
        <v>453</v>
      </c>
      <c r="AA23" s="150" t="s">
        <v>454</v>
      </c>
      <c r="AB23" s="150" t="s">
        <v>455</v>
      </c>
      <c r="AC23" s="150" t="s">
        <v>456</v>
      </c>
      <c r="AD23" s="150" t="s">
        <v>457</v>
      </c>
      <c r="AE23" s="150" t="s">
        <v>458</v>
      </c>
      <c r="AF23" s="26"/>
      <c r="AG23" s="26"/>
      <c r="AH23" s="107"/>
    </row>
    <row r="24" spans="1:63">
      <c r="C24" t="s">
        <v>1057</v>
      </c>
      <c r="D24">
        <v>2018</v>
      </c>
      <c r="E24" s="151">
        <f>SUM(F24:AE24)</f>
        <v>776.10435365928083</v>
      </c>
      <c r="F24" s="151">
        <v>9.0173696255538793</v>
      </c>
      <c r="G24" s="151">
        <v>299.73987494657928</v>
      </c>
      <c r="H24" s="151">
        <v>38.144204386107944</v>
      </c>
      <c r="I24" s="151">
        <v>12.508441600918088</v>
      </c>
      <c r="J24" s="151">
        <v>11.510583914522281</v>
      </c>
      <c r="K24" s="151">
        <v>4.7462770797513549</v>
      </c>
      <c r="L24" s="151">
        <v>24.289540001760251</v>
      </c>
      <c r="M24" s="151">
        <v>27.103374443441172</v>
      </c>
      <c r="N24" s="151">
        <v>10.239258420802399</v>
      </c>
      <c r="O24" s="151">
        <v>12.264197780781444</v>
      </c>
      <c r="P24" s="151">
        <v>18.38550107756636</v>
      </c>
      <c r="Q24" s="151">
        <v>23.167339151815657</v>
      </c>
      <c r="R24" s="151">
        <v>15.118989670799881</v>
      </c>
      <c r="S24" s="151">
        <v>91.446903647123108</v>
      </c>
      <c r="T24" s="151">
        <v>15.686699374231551</v>
      </c>
      <c r="U24" s="151">
        <v>31.695949118274743</v>
      </c>
      <c r="V24" s="151">
        <v>21.954232438086233</v>
      </c>
      <c r="W24" s="151">
        <v>21.769226916806353</v>
      </c>
      <c r="X24" s="151">
        <v>27.589465054026704</v>
      </c>
      <c r="Y24" s="151">
        <v>2.7377793125602312</v>
      </c>
      <c r="Z24" s="151">
        <v>12.519701036831018</v>
      </c>
      <c r="AA24" s="151">
        <v>5.3722948402948401</v>
      </c>
      <c r="AB24" s="151">
        <v>8.8895641738149855</v>
      </c>
      <c r="AC24" s="151">
        <v>7.7068792520168046</v>
      </c>
      <c r="AD24" s="151">
        <v>15.881582138278784</v>
      </c>
      <c r="AE24" s="151">
        <v>6.6191242565355708</v>
      </c>
      <c r="AF24" s="26"/>
      <c r="AG24" s="26"/>
      <c r="AH24" s="107"/>
    </row>
    <row r="25" spans="1:63">
      <c r="C25" t="s">
        <v>1058</v>
      </c>
      <c r="D25">
        <v>2018</v>
      </c>
      <c r="E25" s="151">
        <f>SUM(F25:AE25)</f>
        <v>729.49943220136686</v>
      </c>
      <c r="F25" s="151">
        <v>10.817005161415981</v>
      </c>
      <c r="G25" s="151">
        <v>56.159174425610253</v>
      </c>
      <c r="H25" s="151">
        <v>30.304517514538837</v>
      </c>
      <c r="I25" s="151">
        <v>20.891382011189211</v>
      </c>
      <c r="J25" s="151">
        <v>16.295614216511488</v>
      </c>
      <c r="K25" s="151">
        <v>9.7189087422298659</v>
      </c>
      <c r="L25" s="151">
        <v>18.866743201020949</v>
      </c>
      <c r="M25" s="151">
        <v>34.324098203443661</v>
      </c>
      <c r="N25" s="151">
        <v>15.966202026112715</v>
      </c>
      <c r="O25" s="151">
        <v>16.822932669034671</v>
      </c>
      <c r="P25" s="151">
        <v>33.878287885206944</v>
      </c>
      <c r="Q25" s="151">
        <v>22.529580764463226</v>
      </c>
      <c r="R25" s="151">
        <v>26.221499459384844</v>
      </c>
      <c r="S25" s="151">
        <v>88.706618668082697</v>
      </c>
      <c r="T25" s="151">
        <v>36.376580790193238</v>
      </c>
      <c r="U25" s="151">
        <v>32.750827361563516</v>
      </c>
      <c r="V25" s="151">
        <v>34.965040184897767</v>
      </c>
      <c r="W25" s="151">
        <v>19.142703253806058</v>
      </c>
      <c r="X25" s="151">
        <v>55.372585087977008</v>
      </c>
      <c r="Y25" s="151">
        <v>9.101160857693543</v>
      </c>
      <c r="Z25" s="151">
        <v>34.699308942923167</v>
      </c>
      <c r="AA25" s="151">
        <v>18.080993461874819</v>
      </c>
      <c r="AB25" s="151">
        <v>14.4942150134912</v>
      </c>
      <c r="AC25" s="151">
        <v>18.119875348525962</v>
      </c>
      <c r="AD25" s="151">
        <v>40.738467908725752</v>
      </c>
      <c r="AE25" s="151">
        <v>14.155109041449583</v>
      </c>
      <c r="AF25" s="26"/>
      <c r="AG25" s="26"/>
      <c r="AH25" s="107"/>
    </row>
    <row r="26" spans="1:63" ht="13.5" thickBot="1">
      <c r="C26" s="152" t="s">
        <v>1056</v>
      </c>
      <c r="D26" s="152">
        <v>2018</v>
      </c>
      <c r="E26" s="153">
        <f>SUM(F26:AE26)</f>
        <v>211.73948952455299</v>
      </c>
      <c r="F26" s="153">
        <v>1.272084432974631</v>
      </c>
      <c r="G26" s="153">
        <v>123.31467820831671</v>
      </c>
      <c r="H26" s="153">
        <v>7.3637968231969131</v>
      </c>
      <c r="I26" s="153">
        <v>1.7513817529766174</v>
      </c>
      <c r="J26" s="153">
        <v>1.4349997251520255</v>
      </c>
      <c r="K26" s="153">
        <v>0.69143208570294923</v>
      </c>
      <c r="L26" s="153">
        <v>3.0388153054039786</v>
      </c>
      <c r="M26" s="153">
        <v>5.4114225176697692</v>
      </c>
      <c r="N26" s="153">
        <v>1.1752936766265591</v>
      </c>
      <c r="O26" s="153">
        <v>2.8889605821519497</v>
      </c>
      <c r="P26" s="153">
        <v>2.6689797196485481</v>
      </c>
      <c r="Q26" s="153">
        <v>4.5131911767694204</v>
      </c>
      <c r="R26" s="153">
        <v>2.4912235846235253</v>
      </c>
      <c r="S26" s="153">
        <v>18.164569738528382</v>
      </c>
      <c r="T26" s="153">
        <v>2.9060721193547803</v>
      </c>
      <c r="U26" s="153">
        <v>7.461125800292038</v>
      </c>
      <c r="V26" s="153">
        <v>2.3822341251096568</v>
      </c>
      <c r="W26" s="153">
        <v>3.1991719442467104</v>
      </c>
      <c r="X26" s="153">
        <v>9.8815892011882625</v>
      </c>
      <c r="Y26" s="153">
        <v>0.54302409251525863</v>
      </c>
      <c r="Z26" s="153">
        <v>2.1413166117916522</v>
      </c>
      <c r="AA26" s="153">
        <v>0.67645175529921286</v>
      </c>
      <c r="AB26" s="153">
        <v>1.6760939551367242</v>
      </c>
      <c r="AC26" s="153">
        <v>1.271052567009926</v>
      </c>
      <c r="AD26" s="153">
        <v>2.3929923596273825</v>
      </c>
      <c r="AE26" s="153">
        <v>1.0275356632394301</v>
      </c>
      <c r="AF26" s="26"/>
      <c r="AG26" s="26"/>
      <c r="AH26" s="107"/>
    </row>
    <row r="27" spans="1:63">
      <c r="C27" t="s">
        <v>1057</v>
      </c>
      <c r="D27">
        <v>2070</v>
      </c>
      <c r="E27" s="151">
        <f>SUM(F27:AE27)</f>
        <v>1122.2809999999995</v>
      </c>
      <c r="F27" s="151">
        <v>14.882390276614156</v>
      </c>
      <c r="G27" s="151">
        <v>402.03345897252723</v>
      </c>
      <c r="H27" s="151">
        <v>67.808307000787423</v>
      </c>
      <c r="I27" s="151">
        <v>16.688301912557151</v>
      </c>
      <c r="J27" s="151">
        <v>17.247972890032759</v>
      </c>
      <c r="K27" s="151">
        <v>6.5298623171374564</v>
      </c>
      <c r="L27" s="151">
        <v>41.304301265798131</v>
      </c>
      <c r="M27" s="151">
        <v>45.537828356084404</v>
      </c>
      <c r="N27" s="151">
        <v>15.260943493810583</v>
      </c>
      <c r="O27" s="151">
        <v>16.337131829849692</v>
      </c>
      <c r="P27" s="151">
        <v>27.286005597994635</v>
      </c>
      <c r="Q27" s="151">
        <v>39.758297723116783</v>
      </c>
      <c r="R27" s="151">
        <v>22.938711105384279</v>
      </c>
      <c r="S27" s="151">
        <v>140.7040546457078</v>
      </c>
      <c r="T27" s="151">
        <v>22.146872015116621</v>
      </c>
      <c r="U27" s="151">
        <v>48.12978965082133</v>
      </c>
      <c r="V27" s="151">
        <v>28.16364936463507</v>
      </c>
      <c r="W27" s="151">
        <v>35.414319739634877</v>
      </c>
      <c r="X27" s="151">
        <v>36.950268861429137</v>
      </c>
      <c r="Y27" s="151">
        <v>3.5191547953984372</v>
      </c>
      <c r="Z27" s="151">
        <v>16.250978595128831</v>
      </c>
      <c r="AA27" s="151">
        <v>7.1456767325727188</v>
      </c>
      <c r="AB27" s="151">
        <v>11.578938384341431</v>
      </c>
      <c r="AC27" s="151">
        <v>9.9042613539071613</v>
      </c>
      <c r="AD27" s="151">
        <v>20.062930127534479</v>
      </c>
      <c r="AE27" s="151">
        <v>8.6965929920770897</v>
      </c>
      <c r="AF27" s="26"/>
      <c r="AG27" s="26"/>
      <c r="AH27" s="107"/>
    </row>
    <row r="28" spans="1:63">
      <c r="C28" t="s">
        <v>1058</v>
      </c>
      <c r="D28">
        <v>2070</v>
      </c>
      <c r="E28" s="151">
        <f>SUM(F28:AE28)</f>
        <v>866.16700000000014</v>
      </c>
      <c r="F28" s="151">
        <v>12.032722707781787</v>
      </c>
      <c r="G28" s="151">
        <v>48.70984961136773</v>
      </c>
      <c r="H28" s="151">
        <v>28.208379225008049</v>
      </c>
      <c r="I28" s="151">
        <v>27.539447326250585</v>
      </c>
      <c r="J28" s="151">
        <v>19.878085465856991</v>
      </c>
      <c r="K28" s="151">
        <v>12.759960973487379</v>
      </c>
      <c r="L28" s="151">
        <v>19.278864213619574</v>
      </c>
      <c r="M28" s="151">
        <v>35.515817008928728</v>
      </c>
      <c r="N28" s="151">
        <v>19.630052920557077</v>
      </c>
      <c r="O28" s="151">
        <v>22.341218020421906</v>
      </c>
      <c r="P28" s="151">
        <v>40.447310138522639</v>
      </c>
      <c r="Q28" s="151">
        <v>22.193179890079204</v>
      </c>
      <c r="R28" s="151">
        <v>31.907482535254491</v>
      </c>
      <c r="S28" s="151">
        <v>99.011987809730172</v>
      </c>
      <c r="T28" s="151">
        <v>46.255485480337946</v>
      </c>
      <c r="U28" s="151">
        <v>36.302392365935084</v>
      </c>
      <c r="V28" s="151">
        <v>47.813270495988277</v>
      </c>
      <c r="W28" s="151">
        <v>20.745363974030557</v>
      </c>
      <c r="X28" s="151">
        <v>71.267957221538254</v>
      </c>
      <c r="Y28" s="151">
        <v>12.512717561511474</v>
      </c>
      <c r="Z28" s="151">
        <v>47.500293410026877</v>
      </c>
      <c r="AA28" s="151">
        <v>24.394216806354176</v>
      </c>
      <c r="AB28" s="151">
        <v>18.468441736903159</v>
      </c>
      <c r="AC28" s="151">
        <v>25.283050650678849</v>
      </c>
      <c r="AD28" s="151">
        <v>56.911089228968514</v>
      </c>
      <c r="AE28" s="151">
        <v>19.258363220860605</v>
      </c>
      <c r="AF28" s="1"/>
      <c r="AG28" s="26"/>
      <c r="AH28" s="107"/>
    </row>
    <row r="29" spans="1:63">
      <c r="C29" t="s">
        <v>1056</v>
      </c>
      <c r="D29">
        <v>2070</v>
      </c>
      <c r="E29" s="151">
        <f t="shared" ref="E29" si="5">SUM(F29:AE29)</f>
        <v>922.35100000000023</v>
      </c>
      <c r="F29" s="151">
        <v>4.0186603783691712</v>
      </c>
      <c r="G29" s="151">
        <v>620.50199196256176</v>
      </c>
      <c r="H29" s="151">
        <v>25.305564931399218</v>
      </c>
      <c r="I29" s="151">
        <v>5.9205053345502074</v>
      </c>
      <c r="J29" s="151">
        <v>4.6404604939743432</v>
      </c>
      <c r="K29" s="151">
        <v>2.2613525897871352</v>
      </c>
      <c r="L29" s="151">
        <v>10.147070952912888</v>
      </c>
      <c r="M29" s="151">
        <v>18.153961512536338</v>
      </c>
      <c r="N29" s="151">
        <v>3.787940991335248</v>
      </c>
      <c r="O29" s="151">
        <v>9.6795391912830766</v>
      </c>
      <c r="P29" s="151">
        <v>9.0071231620397025</v>
      </c>
      <c r="Q29" s="151">
        <v>15.466397179696949</v>
      </c>
      <c r="R29" s="151">
        <v>7.9380983637827383</v>
      </c>
      <c r="S29" s="151">
        <v>63.45475264271635</v>
      </c>
      <c r="T29" s="151">
        <v>9.6238807976640821</v>
      </c>
      <c r="U29" s="151">
        <v>26.746885565340715</v>
      </c>
      <c r="V29" s="151">
        <v>7.9986840790696601</v>
      </c>
      <c r="W29" s="151">
        <v>10.682288217549727</v>
      </c>
      <c r="X29" s="151">
        <v>34.389509104069425</v>
      </c>
      <c r="Y29" s="151">
        <v>1.8040368759878767</v>
      </c>
      <c r="Z29" s="151">
        <v>7.0768268186437169</v>
      </c>
      <c r="AA29" s="151">
        <v>2.2176042656918158</v>
      </c>
      <c r="AB29" s="151">
        <v>6.1050926771343956</v>
      </c>
      <c r="AC29" s="151">
        <v>4.127236189159631</v>
      </c>
      <c r="AD29" s="151">
        <v>7.9183146925481021</v>
      </c>
      <c r="AE29" s="151">
        <v>3.3772210301960124</v>
      </c>
      <c r="AF29" s="26"/>
      <c r="AG29" s="26"/>
      <c r="AH29" s="107"/>
    </row>
    <row r="31" spans="1:63">
      <c r="A31" s="1" t="s">
        <v>1059</v>
      </c>
      <c r="D31" s="1"/>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row>
    <row r="32" spans="1:63" ht="15">
      <c r="D32" s="213" t="s">
        <v>1061</v>
      </c>
      <c r="E32" s="213"/>
    </row>
    <row r="33" spans="1:32" ht="15">
      <c r="C33" s="146" t="s">
        <v>0</v>
      </c>
      <c r="D33" s="146" t="s">
        <v>476</v>
      </c>
      <c r="E33" s="146" t="s">
        <v>460</v>
      </c>
      <c r="F33" s="146" t="s">
        <v>433</v>
      </c>
      <c r="G33" s="146" t="s">
        <v>434</v>
      </c>
      <c r="H33" s="146" t="s">
        <v>435</v>
      </c>
      <c r="I33" s="146" t="s">
        <v>436</v>
      </c>
      <c r="J33" s="146" t="s">
        <v>437</v>
      </c>
      <c r="K33" s="146" t="s">
        <v>438</v>
      </c>
      <c r="L33" s="146" t="s">
        <v>439</v>
      </c>
      <c r="M33" s="146" t="s">
        <v>440</v>
      </c>
      <c r="N33" s="146" t="s">
        <v>441</v>
      </c>
      <c r="O33" s="146" t="s">
        <v>442</v>
      </c>
      <c r="P33" s="146" t="s">
        <v>443</v>
      </c>
      <c r="Q33" s="146" t="s">
        <v>444</v>
      </c>
      <c r="R33" s="146" t="s">
        <v>445</v>
      </c>
      <c r="S33" s="146" t="s">
        <v>446</v>
      </c>
      <c r="T33" s="146" t="s">
        <v>447</v>
      </c>
      <c r="U33" s="146" t="s">
        <v>448</v>
      </c>
      <c r="V33" s="146" t="s">
        <v>449</v>
      </c>
      <c r="W33" s="146" t="s">
        <v>450</v>
      </c>
      <c r="X33" s="146" t="s">
        <v>451</v>
      </c>
      <c r="Y33" s="146" t="s">
        <v>452</v>
      </c>
      <c r="Z33" s="146" t="s">
        <v>453</v>
      </c>
      <c r="AA33" s="146" t="s">
        <v>454</v>
      </c>
      <c r="AB33" s="146" t="s">
        <v>455</v>
      </c>
      <c r="AC33" s="146" t="s">
        <v>456</v>
      </c>
      <c r="AD33" s="146" t="s">
        <v>457</v>
      </c>
      <c r="AE33" s="146" t="s">
        <v>458</v>
      </c>
      <c r="AF33" s="146" t="s">
        <v>463</v>
      </c>
    </row>
    <row r="34" spans="1:32">
      <c r="A34" s="22"/>
      <c r="C34" s="142" t="s">
        <v>465</v>
      </c>
      <c r="D34" s="142" t="s">
        <v>1052</v>
      </c>
      <c r="E34" s="147">
        <f>E9*(E27/SUM(E27:E29))/(E24/SUM(E24:E26))</f>
        <v>0.52350943859921484</v>
      </c>
      <c r="F34" s="147">
        <f t="shared" ref="F34:AE34" si="6">F9*(F27/SUM(F27:F29))/(F24/SUM(F24:F26))</f>
        <v>0.78215639480961552</v>
      </c>
      <c r="G34" s="147">
        <f t="shared" si="6"/>
        <v>0.34447933776862838</v>
      </c>
      <c r="H34" s="147">
        <f t="shared" si="6"/>
        <v>0.81502105091717858</v>
      </c>
      <c r="I34" s="147">
        <f>I9*(I27/SUM(I27:I29))/(I24/SUM(I24:I26))</f>
        <v>0.71115642232991916</v>
      </c>
      <c r="J34" s="147">
        <f t="shared" si="6"/>
        <v>0.62423371136672146</v>
      </c>
      <c r="K34" s="147">
        <f t="shared" si="6"/>
        <v>0.85217149386773261</v>
      </c>
      <c r="L34" s="147">
        <f t="shared" si="6"/>
        <v>0.90073833156140692</v>
      </c>
      <c r="M34" s="147">
        <f t="shared" si="6"/>
        <v>0.70289802072845897</v>
      </c>
      <c r="N34" s="147">
        <f t="shared" si="6"/>
        <v>0.82154140445217971</v>
      </c>
      <c r="O34" s="147">
        <f t="shared" si="6"/>
        <v>0.41404868962154889</v>
      </c>
      <c r="P34" s="147">
        <f t="shared" si="6"/>
        <v>0.78140527645244195</v>
      </c>
      <c r="Q34" s="147">
        <f t="shared" si="6"/>
        <v>0.79342565323926528</v>
      </c>
      <c r="R34" s="147">
        <f t="shared" si="6"/>
        <v>0.78862651137780204</v>
      </c>
      <c r="S34" s="147">
        <f t="shared" si="6"/>
        <v>0.68781650373091419</v>
      </c>
      <c r="T34" s="147">
        <f t="shared" si="6"/>
        <v>0.64209203281439564</v>
      </c>
      <c r="U34" s="147">
        <f t="shared" si="6"/>
        <v>0.58562689149414926</v>
      </c>
      <c r="V34" s="147">
        <f t="shared" si="6"/>
        <v>0.69819847486452713</v>
      </c>
      <c r="W34" s="147">
        <f t="shared" si="6"/>
        <v>0.69581743321234446</v>
      </c>
      <c r="X34" s="147">
        <f t="shared" si="6"/>
        <v>0.49284004343840748</v>
      </c>
      <c r="Y34" s="147">
        <f t="shared" si="6"/>
        <v>0.66074618471510216</v>
      </c>
      <c r="Z34" s="147">
        <f t="shared" si="6"/>
        <v>0.64975781822998291</v>
      </c>
      <c r="AA34" s="147">
        <f t="shared" si="6"/>
        <v>0.77022711530096766</v>
      </c>
      <c r="AB34" s="147">
        <f t="shared" si="6"/>
        <v>0.6071077083486105</v>
      </c>
      <c r="AC34" s="147">
        <f t="shared" si="6"/>
        <v>0.68893766176136007</v>
      </c>
      <c r="AD34" s="147">
        <f t="shared" si="6"/>
        <v>0.47900350541682468</v>
      </c>
      <c r="AE34" s="147">
        <f t="shared" si="6"/>
        <v>0.78612701979286226</v>
      </c>
      <c r="AF34" s="143">
        <f>E34</f>
        <v>0.52350943859921484</v>
      </c>
    </row>
    <row r="35" spans="1:32">
      <c r="C35" s="144"/>
      <c r="D35" s="1" t="s">
        <v>1053</v>
      </c>
      <c r="E35" s="154">
        <f>E10*(E28/SUM(E27:E29))/(E25/SUM(E24:E26))</f>
        <v>3.6030970152705268E-2</v>
      </c>
      <c r="F35" s="154">
        <f t="shared" ref="F35:AE35" si="7">F10*(F28/SUM(F27:F29))/(F25/SUM(F24:F26))</f>
        <v>5.648340611058926E-2</v>
      </c>
      <c r="G35" s="154">
        <f t="shared" si="7"/>
        <v>1.4719421629158016E-2</v>
      </c>
      <c r="H35" s="154">
        <f t="shared" si="7"/>
        <v>5.8653600970362263E-2</v>
      </c>
      <c r="I35" s="154">
        <f t="shared" si="7"/>
        <v>7.4128895282995919E-2</v>
      </c>
      <c r="J35" s="154">
        <f t="shared" si="7"/>
        <v>0.12942991005147181</v>
      </c>
      <c r="K35" s="154">
        <f t="shared" si="7"/>
        <v>4.6590713839087569E-2</v>
      </c>
      <c r="L35" s="154">
        <f t="shared" si="7"/>
        <v>4.2472196683606168E-2</v>
      </c>
      <c r="M35" s="154">
        <f t="shared" si="7"/>
        <v>8.3703525677148186E-2</v>
      </c>
      <c r="N35" s="154">
        <f t="shared" si="7"/>
        <v>3.4400931287354976E-2</v>
      </c>
      <c r="O35" s="154">
        <f t="shared" si="7"/>
        <v>3.4678093584650349E-2</v>
      </c>
      <c r="P35" s="154">
        <f t="shared" si="7"/>
        <v>8.4756160850936485E-2</v>
      </c>
      <c r="Q35" s="154">
        <f t="shared" si="7"/>
        <v>6.3273046174834563E-2</v>
      </c>
      <c r="R35" s="154">
        <f t="shared" si="7"/>
        <v>6.615427864509231E-2</v>
      </c>
      <c r="S35" s="154">
        <f t="shared" si="7"/>
        <v>4.5574776889838728E-2</v>
      </c>
      <c r="T35" s="154">
        <f t="shared" si="7"/>
        <v>7.5401163543538027E-2</v>
      </c>
      <c r="U35" s="154">
        <f t="shared" si="7"/>
        <v>2.9058186843155989E-2</v>
      </c>
      <c r="V35" s="154">
        <f t="shared" si="7"/>
        <v>6.9357237854175677E-2</v>
      </c>
      <c r="W35" s="154">
        <f t="shared" si="7"/>
        <v>4.6534910978852255E-2</v>
      </c>
      <c r="X35" s="154">
        <f t="shared" si="7"/>
        <v>6.228589629491213E-2</v>
      </c>
      <c r="Y35" s="154">
        <f t="shared" si="7"/>
        <v>8.0143911274272076E-2</v>
      </c>
      <c r="Z35" s="154">
        <f t="shared" si="7"/>
        <v>6.1548320755875789E-2</v>
      </c>
      <c r="AA35" s="154">
        <f t="shared" si="7"/>
        <v>2.4414615545888373E-2</v>
      </c>
      <c r="AB35" s="154">
        <f t="shared" si="7"/>
        <v>3.1725405616065717E-2</v>
      </c>
      <c r="AC35" s="154">
        <f t="shared" si="7"/>
        <v>6.1062498404548166E-2</v>
      </c>
      <c r="AD35" s="154">
        <f t="shared" si="7"/>
        <v>6.8348438844994086E-2</v>
      </c>
      <c r="AE35" s="154">
        <f t="shared" si="7"/>
        <v>6.2419052311484938E-2</v>
      </c>
      <c r="AF35" s="26">
        <f>E35</f>
        <v>3.6030970152705268E-2</v>
      </c>
    </row>
    <row r="36" spans="1:32">
      <c r="C36" s="148"/>
      <c r="D36" s="139" t="s">
        <v>1054</v>
      </c>
      <c r="E36" s="155">
        <f>1-(E34+E35)</f>
        <v>0.44045959124807987</v>
      </c>
      <c r="F36" s="155">
        <f t="shared" ref="F36:AE36" si="8">1-(F34+F35)</f>
        <v>0.16136019907979526</v>
      </c>
      <c r="G36" s="155">
        <f t="shared" si="8"/>
        <v>0.64080124060221366</v>
      </c>
      <c r="H36" s="155">
        <f t="shared" si="8"/>
        <v>0.1263253481124591</v>
      </c>
      <c r="I36" s="155">
        <f t="shared" si="8"/>
        <v>0.21471468238708491</v>
      </c>
      <c r="J36" s="155">
        <f t="shared" si="8"/>
        <v>0.24633637858180668</v>
      </c>
      <c r="K36" s="155">
        <f t="shared" si="8"/>
        <v>0.10123779229317986</v>
      </c>
      <c r="L36" s="155">
        <f t="shared" si="8"/>
        <v>5.6789471754986942E-2</v>
      </c>
      <c r="M36" s="155">
        <f t="shared" si="8"/>
        <v>0.2133984535943928</v>
      </c>
      <c r="N36" s="155">
        <f t="shared" si="8"/>
        <v>0.14405766426046529</v>
      </c>
      <c r="O36" s="155">
        <f t="shared" si="8"/>
        <v>0.55127321679380081</v>
      </c>
      <c r="P36" s="155">
        <f t="shared" si="8"/>
        <v>0.13383856269662153</v>
      </c>
      <c r="Q36" s="155">
        <f t="shared" si="8"/>
        <v>0.14330130058590018</v>
      </c>
      <c r="R36" s="155">
        <f t="shared" si="8"/>
        <v>0.14521920997710569</v>
      </c>
      <c r="S36" s="155">
        <f t="shared" si="8"/>
        <v>0.26660871937924713</v>
      </c>
      <c r="T36" s="155">
        <f t="shared" si="8"/>
        <v>0.28250680364206637</v>
      </c>
      <c r="U36" s="155">
        <f t="shared" si="8"/>
        <v>0.38531492166269476</v>
      </c>
      <c r="V36" s="155">
        <f t="shared" si="8"/>
        <v>0.23244428728129718</v>
      </c>
      <c r="W36" s="155">
        <f t="shared" si="8"/>
        <v>0.25764765580880333</v>
      </c>
      <c r="X36" s="155">
        <f t="shared" si="8"/>
        <v>0.44487406026668042</v>
      </c>
      <c r="Y36" s="155">
        <f t="shared" si="8"/>
        <v>0.25910990401062572</v>
      </c>
      <c r="Z36" s="155">
        <f t="shared" si="8"/>
        <v>0.2886938610141413</v>
      </c>
      <c r="AA36" s="155">
        <f t="shared" si="8"/>
        <v>0.20535826915314392</v>
      </c>
      <c r="AB36" s="155">
        <f t="shared" si="8"/>
        <v>0.36116688603532376</v>
      </c>
      <c r="AC36" s="155">
        <f t="shared" si="8"/>
        <v>0.2499998398340918</v>
      </c>
      <c r="AD36" s="155">
        <f t="shared" si="8"/>
        <v>0.45264805573818123</v>
      </c>
      <c r="AE36" s="155">
        <f t="shared" si="8"/>
        <v>0.15145392789565282</v>
      </c>
      <c r="AF36" s="141">
        <f>E36</f>
        <v>0.44045959124807987</v>
      </c>
    </row>
    <row r="37" spans="1:32">
      <c r="C37" s="144" t="s">
        <v>466</v>
      </c>
      <c r="D37" s="144" t="s">
        <v>1052</v>
      </c>
      <c r="E37" s="156">
        <f>E12*(E27/SUM(E27:E29))/(E24/SUM(E24:E26))</f>
        <v>0.52350943859921484</v>
      </c>
      <c r="F37" s="156">
        <f t="shared" ref="F37:AE37" si="9">F12*(F27/SUM(F27:F29))/(F24/SUM(F24:F26))</f>
        <v>0.78215639480961552</v>
      </c>
      <c r="G37" s="156">
        <f t="shared" si="9"/>
        <v>0.34447933776862838</v>
      </c>
      <c r="H37" s="156">
        <f t="shared" si="9"/>
        <v>0.81502105091717858</v>
      </c>
      <c r="I37" s="156">
        <f t="shared" si="9"/>
        <v>0.71115642232991916</v>
      </c>
      <c r="J37" s="156">
        <f t="shared" si="9"/>
        <v>0.62423371136672146</v>
      </c>
      <c r="K37" s="156">
        <f t="shared" si="9"/>
        <v>0.85217149386773261</v>
      </c>
      <c r="L37" s="156">
        <f t="shared" si="9"/>
        <v>0.90073833156140692</v>
      </c>
      <c r="M37" s="156">
        <f t="shared" si="9"/>
        <v>0.70289802072845897</v>
      </c>
      <c r="N37" s="156">
        <f t="shared" si="9"/>
        <v>0.82154140445217971</v>
      </c>
      <c r="O37" s="156">
        <f t="shared" si="9"/>
        <v>0.41404868962154889</v>
      </c>
      <c r="P37" s="156">
        <f t="shared" si="9"/>
        <v>0.78140527645244195</v>
      </c>
      <c r="Q37" s="156">
        <f t="shared" si="9"/>
        <v>0.79342565323926528</v>
      </c>
      <c r="R37" s="156">
        <f t="shared" si="9"/>
        <v>0.78862651137780204</v>
      </c>
      <c r="S37" s="156">
        <f t="shared" si="9"/>
        <v>0.68781650373091419</v>
      </c>
      <c r="T37" s="156">
        <f t="shared" si="9"/>
        <v>0.64209203281439564</v>
      </c>
      <c r="U37" s="156">
        <f t="shared" si="9"/>
        <v>0.58562689149414926</v>
      </c>
      <c r="V37" s="156">
        <f t="shared" si="9"/>
        <v>0.69819847486452713</v>
      </c>
      <c r="W37" s="156">
        <f t="shared" si="9"/>
        <v>0.69581743321234446</v>
      </c>
      <c r="X37" s="156">
        <f t="shared" si="9"/>
        <v>0.49284004343840748</v>
      </c>
      <c r="Y37" s="156">
        <f t="shared" si="9"/>
        <v>0.66074618471510216</v>
      </c>
      <c r="Z37" s="156">
        <f t="shared" si="9"/>
        <v>0.64975781822998291</v>
      </c>
      <c r="AA37" s="156">
        <f t="shared" si="9"/>
        <v>0.77022711530096766</v>
      </c>
      <c r="AB37" s="156">
        <f t="shared" si="9"/>
        <v>0.6071077083486105</v>
      </c>
      <c r="AC37" s="156">
        <f t="shared" si="9"/>
        <v>0.68893766176136007</v>
      </c>
      <c r="AD37" s="156">
        <f t="shared" si="9"/>
        <v>0.47900350541682468</v>
      </c>
      <c r="AE37" s="156">
        <f t="shared" si="9"/>
        <v>0.78612701979286226</v>
      </c>
      <c r="AF37" s="26">
        <f t="shared" ref="AF37:AF45" si="10">E37</f>
        <v>0.52350943859921484</v>
      </c>
    </row>
    <row r="38" spans="1:32">
      <c r="C38" s="144"/>
      <c r="D38" s="1" t="s">
        <v>1053</v>
      </c>
      <c r="E38" s="154">
        <f>E13*(E28/SUM(E27:E29))/(E25/SUM(E24:E26))</f>
        <v>3.6030970152705268E-2</v>
      </c>
      <c r="F38" s="154">
        <f t="shared" ref="F38:AE38" si="11">F13*(F28/SUM(F27:F29))/(F25/SUM(F24:F26))</f>
        <v>5.648340611058926E-2</v>
      </c>
      <c r="G38" s="154">
        <f t="shared" si="11"/>
        <v>1.4719421629158016E-2</v>
      </c>
      <c r="H38" s="154">
        <f t="shared" si="11"/>
        <v>5.8653600970362263E-2</v>
      </c>
      <c r="I38" s="154">
        <f t="shared" si="11"/>
        <v>7.4128895282995919E-2</v>
      </c>
      <c r="J38" s="154">
        <f t="shared" si="11"/>
        <v>0.12942991005147181</v>
      </c>
      <c r="K38" s="154">
        <f t="shared" si="11"/>
        <v>4.6590713839087569E-2</v>
      </c>
      <c r="L38" s="154">
        <f t="shared" si="11"/>
        <v>4.2472196683606168E-2</v>
      </c>
      <c r="M38" s="154">
        <f t="shared" si="11"/>
        <v>8.3703525677148186E-2</v>
      </c>
      <c r="N38" s="154">
        <f t="shared" si="11"/>
        <v>3.4400931287354976E-2</v>
      </c>
      <c r="O38" s="154">
        <f t="shared" si="11"/>
        <v>3.4678093584650349E-2</v>
      </c>
      <c r="P38" s="154">
        <f t="shared" si="11"/>
        <v>8.4756160850936485E-2</v>
      </c>
      <c r="Q38" s="154">
        <f t="shared" si="11"/>
        <v>6.3273046174834563E-2</v>
      </c>
      <c r="R38" s="154">
        <f t="shared" si="11"/>
        <v>6.615427864509231E-2</v>
      </c>
      <c r="S38" s="154">
        <f t="shared" si="11"/>
        <v>4.5574776889838728E-2</v>
      </c>
      <c r="T38" s="154">
        <f t="shared" si="11"/>
        <v>7.5401163543538027E-2</v>
      </c>
      <c r="U38" s="154">
        <f t="shared" si="11"/>
        <v>2.9058186843155989E-2</v>
      </c>
      <c r="V38" s="154">
        <f t="shared" si="11"/>
        <v>6.9357237854175677E-2</v>
      </c>
      <c r="W38" s="154">
        <f t="shared" si="11"/>
        <v>4.6534910978852255E-2</v>
      </c>
      <c r="X38" s="154">
        <f t="shared" si="11"/>
        <v>6.228589629491213E-2</v>
      </c>
      <c r="Y38" s="154">
        <f t="shared" si="11"/>
        <v>8.0143911274272076E-2</v>
      </c>
      <c r="Z38" s="154">
        <f t="shared" si="11"/>
        <v>6.1548320755875789E-2</v>
      </c>
      <c r="AA38" s="154">
        <f t="shared" si="11"/>
        <v>2.4414615545888373E-2</v>
      </c>
      <c r="AB38" s="154">
        <f t="shared" si="11"/>
        <v>3.1725405616065717E-2</v>
      </c>
      <c r="AC38" s="154">
        <f t="shared" si="11"/>
        <v>6.1062498404548166E-2</v>
      </c>
      <c r="AD38" s="154">
        <f t="shared" si="11"/>
        <v>6.8348438844994086E-2</v>
      </c>
      <c r="AE38" s="154">
        <f t="shared" si="11"/>
        <v>6.2419052311484938E-2</v>
      </c>
      <c r="AF38" s="26">
        <f t="shared" si="10"/>
        <v>3.6030970152705268E-2</v>
      </c>
    </row>
    <row r="39" spans="1:32">
      <c r="C39" s="144"/>
      <c r="D39" s="1" t="s">
        <v>1054</v>
      </c>
      <c r="E39" s="155">
        <f>1-(E37+E38)</f>
        <v>0.44045959124807987</v>
      </c>
      <c r="F39" s="154">
        <f t="shared" ref="F39:AE39" si="12">1-(F37+F38)</f>
        <v>0.16136019907979526</v>
      </c>
      <c r="G39" s="154">
        <f t="shared" si="12"/>
        <v>0.64080124060221366</v>
      </c>
      <c r="H39" s="154">
        <f t="shared" si="12"/>
        <v>0.1263253481124591</v>
      </c>
      <c r="I39" s="154">
        <f t="shared" si="12"/>
        <v>0.21471468238708491</v>
      </c>
      <c r="J39" s="154">
        <f t="shared" si="12"/>
        <v>0.24633637858180668</v>
      </c>
      <c r="K39" s="154">
        <f t="shared" si="12"/>
        <v>0.10123779229317986</v>
      </c>
      <c r="L39" s="154">
        <f t="shared" si="12"/>
        <v>5.6789471754986942E-2</v>
      </c>
      <c r="M39" s="154">
        <f t="shared" si="12"/>
        <v>0.2133984535943928</v>
      </c>
      <c r="N39" s="154">
        <f t="shared" si="12"/>
        <v>0.14405766426046529</v>
      </c>
      <c r="O39" s="154">
        <f t="shared" si="12"/>
        <v>0.55127321679380081</v>
      </c>
      <c r="P39" s="154">
        <f t="shared" si="12"/>
        <v>0.13383856269662153</v>
      </c>
      <c r="Q39" s="154">
        <f t="shared" si="12"/>
        <v>0.14330130058590018</v>
      </c>
      <c r="R39" s="154">
        <f t="shared" si="12"/>
        <v>0.14521920997710569</v>
      </c>
      <c r="S39" s="154">
        <f t="shared" si="12"/>
        <v>0.26660871937924713</v>
      </c>
      <c r="T39" s="154">
        <f t="shared" si="12"/>
        <v>0.28250680364206637</v>
      </c>
      <c r="U39" s="154">
        <f t="shared" si="12"/>
        <v>0.38531492166269476</v>
      </c>
      <c r="V39" s="154">
        <f t="shared" si="12"/>
        <v>0.23244428728129718</v>
      </c>
      <c r="W39" s="154">
        <f t="shared" si="12"/>
        <v>0.25764765580880333</v>
      </c>
      <c r="X39" s="154">
        <f t="shared" si="12"/>
        <v>0.44487406026668042</v>
      </c>
      <c r="Y39" s="154">
        <f t="shared" si="12"/>
        <v>0.25910990401062572</v>
      </c>
      <c r="Z39" s="154">
        <f t="shared" si="12"/>
        <v>0.2886938610141413</v>
      </c>
      <c r="AA39" s="154">
        <f t="shared" si="12"/>
        <v>0.20535826915314392</v>
      </c>
      <c r="AB39" s="154">
        <f t="shared" si="12"/>
        <v>0.36116688603532376</v>
      </c>
      <c r="AC39" s="154">
        <f t="shared" si="12"/>
        <v>0.2499998398340918</v>
      </c>
      <c r="AD39" s="154">
        <f t="shared" si="12"/>
        <v>0.45264805573818123</v>
      </c>
      <c r="AE39" s="154">
        <f t="shared" si="12"/>
        <v>0.15145392789565282</v>
      </c>
      <c r="AF39" s="26">
        <f t="shared" si="10"/>
        <v>0.44045959124807987</v>
      </c>
    </row>
    <row r="40" spans="1:32">
      <c r="C40" s="142" t="s">
        <v>467</v>
      </c>
      <c r="D40" s="142" t="s">
        <v>1052</v>
      </c>
      <c r="E40" s="157">
        <f>E15*(E27/SUM(E27:E29))/(E24/SUM(E24:E26))</f>
        <v>0.57742321760565796</v>
      </c>
      <c r="F40" s="157">
        <f t="shared" ref="F40:AE40" si="13">F15*(F27/SUM(F27:F29))/(F24/SUM(F24:F26))</f>
        <v>0.81222374890677329</v>
      </c>
      <c r="G40" s="157">
        <f t="shared" si="13"/>
        <v>0.41297113164246352</v>
      </c>
      <c r="H40" s="157">
        <f t="shared" si="13"/>
        <v>0.72265960868150048</v>
      </c>
      <c r="I40" s="157">
        <f t="shared" si="13"/>
        <v>0.65250979314817992</v>
      </c>
      <c r="J40" s="157">
        <f t="shared" si="13"/>
        <v>0.72488529085011122</v>
      </c>
      <c r="K40" s="157">
        <f t="shared" si="13"/>
        <v>0.61965393156595983</v>
      </c>
      <c r="L40" s="157">
        <f t="shared" si="13"/>
        <v>0.78741224654586039</v>
      </c>
      <c r="M40" s="157">
        <f t="shared" si="13"/>
        <v>0.73849017271826278</v>
      </c>
      <c r="N40" s="157">
        <f t="shared" si="13"/>
        <v>0.75897141384269273</v>
      </c>
      <c r="O40" s="157">
        <f t="shared" si="13"/>
        <v>0.5688368788891659</v>
      </c>
      <c r="P40" s="157">
        <f t="shared" si="13"/>
        <v>0.70907686886754251</v>
      </c>
      <c r="Q40" s="157">
        <f t="shared" si="13"/>
        <v>0.71474494368380859</v>
      </c>
      <c r="R40" s="157">
        <f t="shared" si="13"/>
        <v>0.63163356304211316</v>
      </c>
      <c r="S40" s="157">
        <f t="shared" si="13"/>
        <v>0.68696277571274889</v>
      </c>
      <c r="T40" s="157">
        <f t="shared" si="13"/>
        <v>0.63155252837450693</v>
      </c>
      <c r="U40" s="157">
        <f t="shared" si="13"/>
        <v>0.72596257411958864</v>
      </c>
      <c r="V40" s="157">
        <f t="shared" si="13"/>
        <v>0.7030751096156268</v>
      </c>
      <c r="W40" s="157">
        <f t="shared" si="13"/>
        <v>0.74322493532003486</v>
      </c>
      <c r="X40" s="157">
        <f t="shared" si="13"/>
        <v>0.50819554167129766</v>
      </c>
      <c r="Y40" s="157">
        <f t="shared" si="13"/>
        <v>0.5396412444580414</v>
      </c>
      <c r="Z40" s="157">
        <f t="shared" si="13"/>
        <v>0.58616648588139586</v>
      </c>
      <c r="AA40" s="157">
        <f t="shared" si="13"/>
        <v>0.63012610614595488</v>
      </c>
      <c r="AB40" s="157">
        <f t="shared" si="13"/>
        <v>0.55152717201255597</v>
      </c>
      <c r="AC40" s="157">
        <f t="shared" si="13"/>
        <v>0.60980627204002646</v>
      </c>
      <c r="AD40" s="157">
        <f t="shared" si="13"/>
        <v>0.57121577757432263</v>
      </c>
      <c r="AE40" s="157">
        <f t="shared" si="13"/>
        <v>0.6894102979841662</v>
      </c>
      <c r="AF40" s="143">
        <f t="shared" si="10"/>
        <v>0.57742321760565796</v>
      </c>
    </row>
    <row r="41" spans="1:32">
      <c r="C41" s="144"/>
      <c r="D41" s="1" t="s">
        <v>1053</v>
      </c>
      <c r="E41" s="156">
        <f>E16*(E28/SUM(E27:E29))/(E25/SUM(E24:E26))</f>
        <v>0.11818748941869427</v>
      </c>
      <c r="F41" s="156">
        <f t="shared" ref="F41:AE41" si="14">F16*(F28/SUM(F27:F29))/(F25/SUM(F24:F26))</f>
        <v>0.10663933736855953</v>
      </c>
      <c r="G41" s="156">
        <f t="shared" si="14"/>
        <v>4.9435471226084993E-2</v>
      </c>
      <c r="H41" s="156">
        <f t="shared" si="14"/>
        <v>0.12374485038918974</v>
      </c>
      <c r="I41" s="156">
        <f t="shared" si="14"/>
        <v>0.15922051451629404</v>
      </c>
      <c r="J41" s="156">
        <f t="shared" si="14"/>
        <v>0.21905899477722016</v>
      </c>
      <c r="K41" s="156">
        <f t="shared" si="14"/>
        <v>0.15841141331807276</v>
      </c>
      <c r="L41" s="156">
        <f t="shared" si="14"/>
        <v>0.10764705080133653</v>
      </c>
      <c r="M41" s="156">
        <f t="shared" si="14"/>
        <v>0.15780588894578812</v>
      </c>
      <c r="N41" s="156">
        <f t="shared" si="14"/>
        <v>0.15568211741268989</v>
      </c>
      <c r="O41" s="156">
        <f t="shared" si="14"/>
        <v>0.13232228815884037</v>
      </c>
      <c r="P41" s="156">
        <f t="shared" si="14"/>
        <v>0.16417333216368798</v>
      </c>
      <c r="Q41" s="156">
        <f t="shared" si="14"/>
        <v>0.16983796103766488</v>
      </c>
      <c r="R41" s="156">
        <f t="shared" si="14"/>
        <v>0.19081893481441484</v>
      </c>
      <c r="S41" s="156">
        <f t="shared" si="14"/>
        <v>0.14116760937094175</v>
      </c>
      <c r="T41" s="156">
        <f t="shared" si="14"/>
        <v>0.16902286098127356</v>
      </c>
      <c r="U41" s="156">
        <f t="shared" si="14"/>
        <v>0.10529919698886503</v>
      </c>
      <c r="V41" s="156">
        <f t="shared" si="14"/>
        <v>0.13899298650517539</v>
      </c>
      <c r="W41" s="156">
        <f t="shared" si="14"/>
        <v>0.13841585710312662</v>
      </c>
      <c r="X41" s="156">
        <f t="shared" si="14"/>
        <v>0.1825184619514304</v>
      </c>
      <c r="Y41" s="156">
        <f t="shared" si="14"/>
        <v>0.28670958700921761</v>
      </c>
      <c r="Z41" s="156">
        <f t="shared" si="14"/>
        <v>0.17582671631179672</v>
      </c>
      <c r="AA41" s="156">
        <f t="shared" si="14"/>
        <v>0.11467254611660434</v>
      </c>
      <c r="AB41" s="156">
        <f t="shared" si="14"/>
        <v>0.13462708844153301</v>
      </c>
      <c r="AC41" s="156">
        <f t="shared" si="14"/>
        <v>0.12275403259668087</v>
      </c>
      <c r="AD41" s="156">
        <f t="shared" si="14"/>
        <v>0.19988964350757418</v>
      </c>
      <c r="AE41" s="156">
        <f t="shared" si="14"/>
        <v>6.6512104922074114E-2</v>
      </c>
      <c r="AF41" s="26">
        <f t="shared" si="10"/>
        <v>0.11818748941869427</v>
      </c>
    </row>
    <row r="42" spans="1:32">
      <c r="C42" s="148"/>
      <c r="D42" s="139" t="s">
        <v>1054</v>
      </c>
      <c r="E42" s="155">
        <f>1-(E40+E41)</f>
        <v>0.30438929297564776</v>
      </c>
      <c r="F42" s="155">
        <f t="shared" ref="F42:AE42" si="15">1-(F40+F41)</f>
        <v>8.1136913724667137E-2</v>
      </c>
      <c r="G42" s="155">
        <f t="shared" si="15"/>
        <v>0.53759339713145149</v>
      </c>
      <c r="H42" s="155">
        <f t="shared" si="15"/>
        <v>0.15359554092930983</v>
      </c>
      <c r="I42" s="155">
        <f t="shared" si="15"/>
        <v>0.18826969233552604</v>
      </c>
      <c r="J42" s="155">
        <f t="shared" si="15"/>
        <v>5.6055714372668652E-2</v>
      </c>
      <c r="K42" s="155">
        <f t="shared" si="15"/>
        <v>0.22193465511596744</v>
      </c>
      <c r="L42" s="155">
        <f t="shared" si="15"/>
        <v>0.10494070265280309</v>
      </c>
      <c r="M42" s="155">
        <f t="shared" si="15"/>
        <v>0.10370393833594904</v>
      </c>
      <c r="N42" s="155">
        <f t="shared" si="15"/>
        <v>8.5346468744617376E-2</v>
      </c>
      <c r="O42" s="155">
        <f t="shared" si="15"/>
        <v>0.29884083295199371</v>
      </c>
      <c r="P42" s="155">
        <f t="shared" si="15"/>
        <v>0.12674979896876948</v>
      </c>
      <c r="Q42" s="155">
        <f t="shared" si="15"/>
        <v>0.1154170952785265</v>
      </c>
      <c r="R42" s="155">
        <f t="shared" si="15"/>
        <v>0.17754750214347204</v>
      </c>
      <c r="S42" s="155">
        <f t="shared" si="15"/>
        <v>0.17186961491630937</v>
      </c>
      <c r="T42" s="155">
        <f t="shared" si="15"/>
        <v>0.19942461064421946</v>
      </c>
      <c r="U42" s="155">
        <f t="shared" si="15"/>
        <v>0.16873822889154633</v>
      </c>
      <c r="V42" s="155">
        <f t="shared" si="15"/>
        <v>0.15793190387919775</v>
      </c>
      <c r="W42" s="155">
        <f t="shared" si="15"/>
        <v>0.11835920757683849</v>
      </c>
      <c r="X42" s="155">
        <f t="shared" si="15"/>
        <v>0.30928599637727194</v>
      </c>
      <c r="Y42" s="155">
        <f t="shared" si="15"/>
        <v>0.17364916853274104</v>
      </c>
      <c r="Z42" s="155">
        <f t="shared" si="15"/>
        <v>0.23800679780680745</v>
      </c>
      <c r="AA42" s="155">
        <f t="shared" si="15"/>
        <v>0.25520134773744074</v>
      </c>
      <c r="AB42" s="155">
        <f t="shared" si="15"/>
        <v>0.313845739545911</v>
      </c>
      <c r="AC42" s="155">
        <f t="shared" si="15"/>
        <v>0.26743969536329271</v>
      </c>
      <c r="AD42" s="155">
        <f t="shared" si="15"/>
        <v>0.22889457891810316</v>
      </c>
      <c r="AE42" s="155">
        <f t="shared" si="15"/>
        <v>0.24407759709375965</v>
      </c>
      <c r="AF42" s="141">
        <f t="shared" si="10"/>
        <v>0.30438929297564776</v>
      </c>
    </row>
    <row r="43" spans="1:32">
      <c r="C43" s="144" t="s">
        <v>468</v>
      </c>
      <c r="D43" s="144" t="s">
        <v>1052</v>
      </c>
      <c r="E43" s="156">
        <f>E18*(E27/SUM(E27:E29))/(E24/SUM(E24:E26))</f>
        <v>0.47006046168036297</v>
      </c>
      <c r="F43" s="156">
        <f t="shared" ref="F43:AE43" si="16">F18*(F27/SUM(F27:F29))/(F24/SUM(F24:F26))</f>
        <v>0.6147036173371152</v>
      </c>
      <c r="G43" s="156">
        <f t="shared" si="16"/>
        <v>0.33301453273608916</v>
      </c>
      <c r="H43" s="156">
        <f t="shared" si="16"/>
        <v>0.61893146434896451</v>
      </c>
      <c r="I43" s="156">
        <f t="shared" si="16"/>
        <v>0.57776991893407004</v>
      </c>
      <c r="J43" s="156">
        <f t="shared" si="16"/>
        <v>0.66132498889385127</v>
      </c>
      <c r="K43" s="156">
        <f t="shared" si="16"/>
        <v>0.52128756070696114</v>
      </c>
      <c r="L43" s="156">
        <f t="shared" si="16"/>
        <v>0.63998237428202764</v>
      </c>
      <c r="M43" s="156">
        <f t="shared" si="16"/>
        <v>0.66521468367094483</v>
      </c>
      <c r="N43" s="156">
        <f t="shared" si="16"/>
        <v>0.67302211149037472</v>
      </c>
      <c r="O43" s="156">
        <f t="shared" si="16"/>
        <v>0.53124170553951233</v>
      </c>
      <c r="P43" s="156">
        <f t="shared" si="16"/>
        <v>0.46951265721442792</v>
      </c>
      <c r="Q43" s="156">
        <f t="shared" si="16"/>
        <v>0.55525260172606217</v>
      </c>
      <c r="R43" s="156">
        <f t="shared" si="16"/>
        <v>0.62082648459175271</v>
      </c>
      <c r="S43" s="156">
        <f t="shared" si="16"/>
        <v>0.53635940188830833</v>
      </c>
      <c r="T43" s="156">
        <f t="shared" si="16"/>
        <v>0.47720038459656861</v>
      </c>
      <c r="U43" s="156">
        <f t="shared" si="16"/>
        <v>0.632027481703476</v>
      </c>
      <c r="V43" s="156">
        <f t="shared" si="16"/>
        <v>0.60220647883927436</v>
      </c>
      <c r="W43" s="156">
        <f t="shared" si="16"/>
        <v>0.59397617787809276</v>
      </c>
      <c r="X43" s="156">
        <f t="shared" si="16"/>
        <v>0.38418893210628502</v>
      </c>
      <c r="Y43" s="156">
        <f t="shared" si="16"/>
        <v>0.42476447056659955</v>
      </c>
      <c r="Z43" s="156">
        <f t="shared" si="16"/>
        <v>0.49597494467382525</v>
      </c>
      <c r="AA43" s="156">
        <f t="shared" si="16"/>
        <v>0.557004520566451</v>
      </c>
      <c r="AB43" s="156">
        <f t="shared" si="16"/>
        <v>0.4994869656870829</v>
      </c>
      <c r="AC43" s="156">
        <f t="shared" si="16"/>
        <v>0.52014693645877241</v>
      </c>
      <c r="AD43" s="156">
        <f t="shared" si="16"/>
        <v>0.42450343218910336</v>
      </c>
      <c r="AE43" s="156">
        <f t="shared" si="16"/>
        <v>0.60807649437985034</v>
      </c>
      <c r="AF43" s="26">
        <f t="shared" si="10"/>
        <v>0.47006046168036297</v>
      </c>
    </row>
    <row r="44" spans="1:32">
      <c r="C44" s="144"/>
      <c r="D44" s="1" t="s">
        <v>1053</v>
      </c>
      <c r="E44" s="156">
        <f>E19*(E28/SUM(E27:E29))/(E25/SUM(E24:E26))</f>
        <v>0.23030975583422722</v>
      </c>
      <c r="F44" s="156">
        <f t="shared" ref="F44:AE44" si="17">F19*(F28/SUM(F27:F29))/(F25/SUM(F24:F26))</f>
        <v>0.28070657763711171</v>
      </c>
      <c r="G44" s="156">
        <f t="shared" si="17"/>
        <v>7.4141665807000393E-2</v>
      </c>
      <c r="H44" s="156">
        <f t="shared" si="17"/>
        <v>0.17557540823794976</v>
      </c>
      <c r="I44" s="156">
        <f t="shared" si="17"/>
        <v>0.28886315550397168</v>
      </c>
      <c r="J44" s="156">
        <f t="shared" si="17"/>
        <v>0.25889004299204543</v>
      </c>
      <c r="K44" s="156">
        <f t="shared" si="17"/>
        <v>0.33569610742325517</v>
      </c>
      <c r="L44" s="156">
        <f t="shared" si="17"/>
        <v>0.23000497388695704</v>
      </c>
      <c r="M44" s="156">
        <f t="shared" si="17"/>
        <v>0.22538276805653143</v>
      </c>
      <c r="N44" s="156">
        <f t="shared" si="17"/>
        <v>0.23167418545390642</v>
      </c>
      <c r="O44" s="156">
        <f t="shared" si="17"/>
        <v>0.21366760313714911</v>
      </c>
      <c r="P44" s="156">
        <f t="shared" si="17"/>
        <v>0.41378263356503253</v>
      </c>
      <c r="Q44" s="156">
        <f t="shared" si="17"/>
        <v>0.24616493578727572</v>
      </c>
      <c r="R44" s="156">
        <f t="shared" si="17"/>
        <v>0.265790482147368</v>
      </c>
      <c r="S44" s="156">
        <f t="shared" si="17"/>
        <v>0.26752826049753725</v>
      </c>
      <c r="T44" s="156">
        <f t="shared" si="17"/>
        <v>0.39562429749176298</v>
      </c>
      <c r="U44" s="156">
        <f t="shared" si="17"/>
        <v>0.18085828661796655</v>
      </c>
      <c r="V44" s="156">
        <f t="shared" si="17"/>
        <v>0.27842349093713337</v>
      </c>
      <c r="W44" s="156">
        <f t="shared" si="17"/>
        <v>0.25866934014153725</v>
      </c>
      <c r="X44" s="156">
        <f t="shared" si="17"/>
        <v>0.33694881650299274</v>
      </c>
      <c r="Y44" s="156">
        <f t="shared" si="17"/>
        <v>0.35661779725044551</v>
      </c>
      <c r="Z44" s="156">
        <f t="shared" si="17"/>
        <v>0.35250535618380774</v>
      </c>
      <c r="AA44" s="156">
        <f t="shared" si="17"/>
        <v>0.34049869353265938</v>
      </c>
      <c r="AB44" s="156">
        <f t="shared" si="17"/>
        <v>0.28786928047004345</v>
      </c>
      <c r="AC44" s="156">
        <f t="shared" si="17"/>
        <v>0.30919856887353742</v>
      </c>
      <c r="AD44" s="156">
        <f t="shared" si="17"/>
        <v>0.40180897246728736</v>
      </c>
      <c r="AE44" s="156">
        <f t="shared" si="17"/>
        <v>0.21731254757966625</v>
      </c>
      <c r="AF44" s="26">
        <f t="shared" si="10"/>
        <v>0.23030975583422722</v>
      </c>
    </row>
    <row r="45" spans="1:32">
      <c r="D45" s="1" t="s">
        <v>1054</v>
      </c>
      <c r="E45" s="156">
        <f>1-(E43+E44)</f>
        <v>0.29962978248540983</v>
      </c>
      <c r="F45" s="156">
        <f t="shared" ref="F45:AE45" si="18">1-(F43+F44)</f>
        <v>0.10458980502577309</v>
      </c>
      <c r="G45" s="156">
        <f t="shared" si="18"/>
        <v>0.5928438014569104</v>
      </c>
      <c r="H45" s="156">
        <f t="shared" si="18"/>
        <v>0.20549312741308579</v>
      </c>
      <c r="I45" s="156">
        <f t="shared" si="18"/>
        <v>0.13336692556195828</v>
      </c>
      <c r="J45" s="156">
        <f t="shared" si="18"/>
        <v>7.9784968114103294E-2</v>
      </c>
      <c r="K45" s="156">
        <f t="shared" si="18"/>
        <v>0.14301633186978369</v>
      </c>
      <c r="L45" s="156">
        <f t="shared" si="18"/>
        <v>0.13001265183101529</v>
      </c>
      <c r="M45" s="156">
        <f t="shared" si="18"/>
        <v>0.10940254827252371</v>
      </c>
      <c r="N45" s="156">
        <f t="shared" si="18"/>
        <v>9.5303703055718891E-2</v>
      </c>
      <c r="O45" s="156">
        <f t="shared" si="18"/>
        <v>0.25509069132333861</v>
      </c>
      <c r="P45" s="156">
        <f t="shared" si="18"/>
        <v>0.11670470922053955</v>
      </c>
      <c r="Q45" s="156">
        <f t="shared" si="18"/>
        <v>0.19858246248666211</v>
      </c>
      <c r="R45" s="156">
        <f t="shared" si="18"/>
        <v>0.11338303326087928</v>
      </c>
      <c r="S45" s="156">
        <f t="shared" si="18"/>
        <v>0.19611233761415447</v>
      </c>
      <c r="T45" s="156">
        <f t="shared" si="18"/>
        <v>0.12717531791166836</v>
      </c>
      <c r="U45" s="156">
        <f t="shared" si="18"/>
        <v>0.18711423167855745</v>
      </c>
      <c r="V45" s="156">
        <f t="shared" si="18"/>
        <v>0.11937003022359227</v>
      </c>
      <c r="W45" s="156">
        <f t="shared" si="18"/>
        <v>0.14735448198037004</v>
      </c>
      <c r="X45" s="156">
        <f t="shared" si="18"/>
        <v>0.27886225139072218</v>
      </c>
      <c r="Y45" s="156">
        <f t="shared" si="18"/>
        <v>0.21861773218295499</v>
      </c>
      <c r="Z45" s="156">
        <f t="shared" si="18"/>
        <v>0.15151969914236707</v>
      </c>
      <c r="AA45" s="156">
        <f t="shared" si="18"/>
        <v>0.10249678590088962</v>
      </c>
      <c r="AB45" s="156">
        <f t="shared" si="18"/>
        <v>0.2126437538428736</v>
      </c>
      <c r="AC45" s="156">
        <f t="shared" si="18"/>
        <v>0.17065449466769023</v>
      </c>
      <c r="AD45" s="156">
        <f t="shared" si="18"/>
        <v>0.17368759534360922</v>
      </c>
      <c r="AE45" s="156">
        <f t="shared" si="18"/>
        <v>0.17461095804048343</v>
      </c>
      <c r="AF45" s="26">
        <f t="shared" si="10"/>
        <v>0.29962978248540983</v>
      </c>
    </row>
    <row r="47" spans="1:32" ht="15">
      <c r="C47" s="23" t="s">
        <v>1055</v>
      </c>
    </row>
    <row r="48" spans="1:32" ht="15.75" thickBot="1">
      <c r="C48" s="24" t="s">
        <v>0</v>
      </c>
      <c r="D48" s="24" t="s">
        <v>460</v>
      </c>
      <c r="E48" s="24" t="s">
        <v>433</v>
      </c>
      <c r="F48" s="24" t="s">
        <v>434</v>
      </c>
      <c r="G48" s="24" t="s">
        <v>435</v>
      </c>
      <c r="H48" s="24" t="s">
        <v>436</v>
      </c>
      <c r="I48" s="24" t="s">
        <v>437</v>
      </c>
      <c r="J48" s="24" t="s">
        <v>438</v>
      </c>
      <c r="K48" s="24" t="s">
        <v>439</v>
      </c>
      <c r="L48" s="24" t="s">
        <v>440</v>
      </c>
      <c r="M48" s="24" t="s">
        <v>441</v>
      </c>
      <c r="N48" s="24" t="s">
        <v>442</v>
      </c>
      <c r="O48" s="24" t="s">
        <v>443</v>
      </c>
      <c r="P48" s="24" t="s">
        <v>444</v>
      </c>
      <c r="Q48" s="24" t="s">
        <v>445</v>
      </c>
      <c r="R48" s="24" t="s">
        <v>446</v>
      </c>
      <c r="S48" s="24" t="s">
        <v>447</v>
      </c>
      <c r="T48" s="24" t="s">
        <v>448</v>
      </c>
      <c r="U48" s="24" t="s">
        <v>449</v>
      </c>
      <c r="V48" s="24" t="s">
        <v>450</v>
      </c>
      <c r="W48" s="24" t="s">
        <v>451</v>
      </c>
      <c r="X48" s="24" t="s">
        <v>452</v>
      </c>
      <c r="Y48" s="24" t="s">
        <v>453</v>
      </c>
      <c r="Z48" s="24" t="s">
        <v>454</v>
      </c>
      <c r="AA48" s="24" t="s">
        <v>455</v>
      </c>
      <c r="AB48" s="24" t="s">
        <v>456</v>
      </c>
      <c r="AC48" s="24" t="s">
        <v>457</v>
      </c>
      <c r="AD48" s="24" t="s">
        <v>458</v>
      </c>
      <c r="AE48" s="24" t="s">
        <v>463</v>
      </c>
    </row>
    <row r="49" spans="1:31">
      <c r="A49">
        <v>0</v>
      </c>
      <c r="C49" s="25" t="s">
        <v>465</v>
      </c>
      <c r="D49" s="26">
        <f>SUMIFS(Table1[SumHD_TJ],Table1[Group],A49)/1000*$C$5</f>
        <v>19.132728000000004</v>
      </c>
      <c r="E49" s="26">
        <f>SUMIFS(Table1[SumHD_TJ],Table1[Region],$E$48,Table1[Group],A49)/1000*$C$5</f>
        <v>0</v>
      </c>
      <c r="F49" s="26">
        <f>SUMIFS(Table1[SumHD_TJ],Table1[Region],$F$48,Table1[Group],A49)/1000*$C$5</f>
        <v>12.594144</v>
      </c>
      <c r="G49" s="26">
        <f>SUMIFS(Table1[SumHD_TJ],Table1[Region],$G$48,Table1[Group],A49)/1000*$C$5</f>
        <v>0</v>
      </c>
      <c r="H49" s="26">
        <f>SUMIFS(Table1[SumHD_TJ],Table1[Region],$H$48,Table1[Group],A49)/1000*$C$5</f>
        <v>0</v>
      </c>
      <c r="I49" s="26">
        <f>SUMIFS(Table1[SumHD_TJ],Table1[Region],$I$48,Table1[Group],A49)/1000*$C$5</f>
        <v>0</v>
      </c>
      <c r="J49" s="26">
        <f>SUMIFS(Table1[SumHD_TJ],Table1[Region],$J$48,Table1[Group],A49)/1000*$C$5</f>
        <v>0</v>
      </c>
      <c r="K49" s="26">
        <f>SUMIFS(Table1[SumHD_TJ],Table1[Region],$K$48,Table1[Group],A49)/1000*$C$5</f>
        <v>0</v>
      </c>
      <c r="L49" s="26">
        <f>SUMIFS(Table1[SumHD_TJ],Table1[Region],$L$48,Table1[Group],A49)/1000*$C$5</f>
        <v>0</v>
      </c>
      <c r="M49" s="26">
        <f>SUMIFS(Table1[SumHD_TJ],Table1[Region],$M$48,Table1[Group],A49)/1000*$C$5</f>
        <v>0</v>
      </c>
      <c r="N49">
        <f>SUMIFS(Table1[SumHD_TJ],Table1[Region],$N$48,Table1[Group],A49)/1000*$C$5</f>
        <v>0</v>
      </c>
      <c r="O49">
        <f>SUMIFS(Table1[SumHD_TJ],Table1[Region],$O$48,Table1[Group],A49)/1000*$C$5</f>
        <v>0</v>
      </c>
      <c r="P49">
        <f>SUMIFS(Table1[SumHD_TJ],Table1[Region],$P$48,Table1[Group],A49)/1000*$C$5</f>
        <v>0</v>
      </c>
      <c r="Q49">
        <f>SUMIFS(Table1[SumHD_TJ],Table1[Region],$Q$48,Table1[Group],A49)/1000*$C$5</f>
        <v>0</v>
      </c>
      <c r="R49">
        <f>SUMIFS(Table1[SumHD_TJ],Table1[Region],$R$48,Table1[Group],A49)/1000*$C$5</f>
        <v>2.7547260000000002</v>
      </c>
      <c r="S49">
        <f>SUMIFS(Table1[SumHD_TJ],Table1[Region],$S$48,Table1[Group],A49)/1000*$C$5</f>
        <v>0</v>
      </c>
      <c r="T49">
        <f>SUMIFS(Table1[SumHD_TJ],Table1[Region],$T$48,Table1[Group],A49)/1000*$C$5</f>
        <v>1.402428</v>
      </c>
      <c r="U49">
        <f>SUMIFS(Table1[SumHD_TJ],Table1[Region],$U$48,Table1[Group],A49)/1000*$C$5</f>
        <v>0</v>
      </c>
      <c r="V49">
        <f>SUMIFS(Table1[SumHD_TJ],Table1[Region],$V$48,Table1[Group],A49)/1000*$C$5</f>
        <v>0.83192399999999989</v>
      </c>
      <c r="W49">
        <f>SUMIFS(Table1[SumHD_TJ],Table1[Region],$W$48,Table1[Group],A49)/1000*$C$5</f>
        <v>1.549506</v>
      </c>
      <c r="X49">
        <f>SUMIFS(Table1[SumHD_TJ],Table1[Region],$X$48,Table1[Group],A49)/1000*$C$5</f>
        <v>0</v>
      </c>
      <c r="Y49">
        <f>SUMIFS(Table1[SumHD_TJ],Table1[Region],$Y$48,Table1[Group],A49)/1000*$C$5</f>
        <v>0</v>
      </c>
      <c r="Z49">
        <f>SUMIFS(Table1[SumHD_TJ],Table1[Region],$Z$48,Table1[Group],A49)/1000*$C$5</f>
        <v>0</v>
      </c>
      <c r="AA49">
        <f>SUMIFS(Table1[SumHD_TJ],Table1[Region],$AA$48,Table1[Group],A49)/1000*$C$5</f>
        <v>0</v>
      </c>
      <c r="AB49">
        <f>SUMIFS(Table1[SumHD_TJ],Table1[Region],$AB$48,Table1[Group],A49)/1000*$C$5</f>
        <v>0</v>
      </c>
      <c r="AC49">
        <f>SUMIFS(Table1[SumHD_TJ],Table1[Region],$AC$48,Table1[Group],A49)/1000*$C$5</f>
        <v>0</v>
      </c>
      <c r="AD49">
        <f>SUMIFS(Table1[SumHD_TJ],Table1[Region],$AD$48,Table1[Group],A49)/1000*$C$5</f>
        <v>0</v>
      </c>
      <c r="AE49" s="26">
        <f>D49</f>
        <v>19.132728000000004</v>
      </c>
    </row>
    <row r="50" spans="1:31">
      <c r="A50">
        <v>1</v>
      </c>
      <c r="C50" s="25" t="s">
        <v>466</v>
      </c>
      <c r="D50" s="26">
        <f>SUMIFS(Table1[SumHD_TJ],Table1[Group],A50)/1000*$C$5</f>
        <v>14.431685999999996</v>
      </c>
      <c r="E50" s="26">
        <f>SUMIFS(Table1[SumHD_TJ],Table1[Region],$E$48,Table1[Group],A50)/1000*$C$5</f>
        <v>0</v>
      </c>
      <c r="F50" s="26">
        <f>SUMIFS(Table1[SumHD_TJ],Table1[Region],$F$48,Table1[Group],A50)/1000*$C$5</f>
        <v>1.6856340000000001</v>
      </c>
      <c r="G50" s="26">
        <f>SUMIFS(Table1[SumHD_TJ],Table1[Region],$G$48,Table1[Group],A50)/1000*$C$5</f>
        <v>1.6015560000000002</v>
      </c>
      <c r="H50" s="26">
        <f>SUMIFS(Table1[SumHD_TJ],Table1[Region],$H$48,Table1[Group],A50)/1000*$C$5</f>
        <v>0.78573599999999988</v>
      </c>
      <c r="I50" s="26">
        <f>SUMIFS(Table1[SumHD_TJ],Table1[Region],$I$48,Table1[Group],A50)/1000*$C$5</f>
        <v>0.44572799999999996</v>
      </c>
      <c r="J50" s="26">
        <f>SUMIFS(Table1[SumHD_TJ],Table1[Region],$J$48,Table1[Group],A50)/1000*$C$5</f>
        <v>0.24961799999999995</v>
      </c>
      <c r="K50" s="26">
        <f>SUMIFS(Table1[SumHD_TJ],Table1[Region],$K$48,Table1[Group],A50)/1000*$C$5</f>
        <v>0.96936</v>
      </c>
      <c r="L50" s="26">
        <f>SUMIFS(Table1[SumHD_TJ],Table1[Region],$L$48,Table1[Group],A50)/1000*$C$5</f>
        <v>1.10118</v>
      </c>
      <c r="M50" s="26">
        <f>SUMIFS(Table1[SumHD_TJ],Table1[Region],$M$48,Table1[Group],A50)/1000*$C$5</f>
        <v>0.44381999999999999</v>
      </c>
      <c r="N50">
        <f>SUMIFS(Table1[SumHD_TJ],Table1[Region],$N$48,Table1[Group],A50)/1000*$C$5</f>
        <v>0.303282</v>
      </c>
      <c r="O50">
        <f>SUMIFS(Table1[SumHD_TJ],Table1[Region],$O$48,Table1[Group],A50)/1000*$C$5</f>
        <v>0.77135999999999993</v>
      </c>
      <c r="P50">
        <f>SUMIFS(Table1[SumHD_TJ],Table1[Region],$P$48,Table1[Group],A50)/1000*$C$5</f>
        <v>0.70641599999999993</v>
      </c>
      <c r="Q50">
        <f>SUMIFS(Table1[SumHD_TJ],Table1[Region],$Q$48,Table1[Group],A50)/1000*$C$5</f>
        <v>0.57931200000000005</v>
      </c>
      <c r="R50">
        <f>SUMIFS(Table1[SumHD_TJ],Table1[Region],$R$48,Table1[Group],A50)/1000*$C$5</f>
        <v>1.0060379999999998</v>
      </c>
      <c r="S50">
        <f>SUMIFS(Table1[SumHD_TJ],Table1[Region],$S$48,Table1[Group],A50)/1000*$C$5</f>
        <v>0</v>
      </c>
      <c r="T50">
        <f>SUMIFS(Table1[SumHD_TJ],Table1[Region],$T$48,Table1[Group],A50)/1000*$C$5</f>
        <v>3.1949999999999999E-2</v>
      </c>
      <c r="U50">
        <f>SUMIFS(Table1[SumHD_TJ],Table1[Region],$U$48,Table1[Group],A50)/1000*$C$5</f>
        <v>0.69735599999999998</v>
      </c>
      <c r="V50">
        <f>SUMIFS(Table1[SumHD_TJ],Table1[Region],$V$48,Table1[Group],A50)/1000*$C$5</f>
        <v>0.19029599999999997</v>
      </c>
      <c r="W50">
        <f>SUMIFS(Table1[SumHD_TJ],Table1[Region],$W$48,Table1[Group],A50)/1000*$C$5</f>
        <v>0.19239599999999996</v>
      </c>
      <c r="X50">
        <f>SUMIFS(Table1[SumHD_TJ],Table1[Region],$X$48,Table1[Group],A50)/1000*$C$5</f>
        <v>0.12723000000000001</v>
      </c>
      <c r="Y50">
        <f>SUMIFS(Table1[SumHD_TJ],Table1[Region],$Y$48,Table1[Group],A50)/1000*$C$5</f>
        <v>0.35235</v>
      </c>
      <c r="Z50">
        <f>SUMIFS(Table1[SumHD_TJ],Table1[Region],$Z$48,Table1[Group],A50)/1000*$C$5</f>
        <v>0.58315799999999995</v>
      </c>
      <c r="AA50">
        <f>SUMIFS(Table1[SumHD_TJ],Table1[Region],$AA$48,Table1[Group],A50)/1000*$C$5</f>
        <v>0.46268999999999999</v>
      </c>
      <c r="AB50">
        <f>SUMIFS(Table1[SumHD_TJ],Table1[Region],$AB$48,Table1[Group],A50)/1000*$C$5</f>
        <v>0.30500999999999995</v>
      </c>
      <c r="AC50">
        <f>SUMIFS(Table1[SumHD_TJ],Table1[Region],$AC$48,Table1[Group],A50)/1000*$C$5</f>
        <v>0.69593399999999994</v>
      </c>
      <c r="AD50">
        <f>SUMIFS(Table1[SumHD_TJ],Table1[Region],$AD$48,Table1[Group],A50)/1000*$C$5</f>
        <v>0.14427599999999999</v>
      </c>
      <c r="AE50" s="26">
        <f t="shared" ref="AE50:AE52" si="19">D50</f>
        <v>14.431685999999996</v>
      </c>
    </row>
    <row r="51" spans="1:31">
      <c r="A51">
        <v>2</v>
      </c>
      <c r="C51" s="25" t="s">
        <v>467</v>
      </c>
      <c r="D51" s="26">
        <f>SUMIFS(Table1[SumHD_TJ],Table1[Group],A51)/1000*$C$5</f>
        <v>6.1748459999999978</v>
      </c>
      <c r="E51" s="26">
        <f>SUMIFS(Table1[SumHD_TJ],Table1[Region],$E$48,Table1[Group],A51)/1000*$C$5</f>
        <v>0.33651599999999998</v>
      </c>
      <c r="F51" s="26">
        <f>SUMIFS(Table1[SumHD_TJ],Table1[Region],$F$48,Table1[Group],A51)/1000*$C$5</f>
        <v>0.46932599999999997</v>
      </c>
      <c r="G51" s="26">
        <f>SUMIFS(Table1[SumHD_TJ],Table1[Region],$G$48,Table1[Group],A51)/1000*$C$5</f>
        <v>0.45262800000000003</v>
      </c>
      <c r="H51" s="26">
        <f>SUMIFS(Table1[SumHD_TJ],Table1[Region],$H$48,Table1[Group],A51)/1000*$C$5</f>
        <v>8.6255999999999999E-2</v>
      </c>
      <c r="I51" s="26">
        <f>SUMIFS(Table1[SumHD_TJ],Table1[Region],$I$48,Table1[Group],A51)/1000*$C$5</f>
        <v>2.4971999999999998E-2</v>
      </c>
      <c r="J51" s="26">
        <f>SUMIFS(Table1[SumHD_TJ],Table1[Region],$J$48,Table1[Group],A51)/1000*$C$5</f>
        <v>4.827E-2</v>
      </c>
      <c r="K51" s="26">
        <f>SUMIFS(Table1[SumHD_TJ],Table1[Region],$K$48,Table1[Group],A51)/1000*$C$5</f>
        <v>3.8291999999999993E-2</v>
      </c>
      <c r="L51" s="26">
        <f>SUMIFS(Table1[SumHD_TJ],Table1[Region],$L$48,Table1[Group],A51)/1000*$C$5</f>
        <v>0.8579819999999998</v>
      </c>
      <c r="M51" s="26">
        <f>SUMIFS(Table1[SumHD_TJ],Table1[Region],$M$48,Table1[Group],A51)/1000*$C$5</f>
        <v>0.124866</v>
      </c>
      <c r="N51">
        <f>SUMIFS(Table1[SumHD_TJ],Table1[Region],$N$48,Table1[Group],A51)/1000*$C$5</f>
        <v>0</v>
      </c>
      <c r="O51">
        <f>SUMIFS(Table1[SumHD_TJ],Table1[Region],$O$48,Table1[Group],A51)/1000*$C$5</f>
        <v>0.15550800000000001</v>
      </c>
      <c r="P51">
        <f>SUMIFS(Table1[SumHD_TJ],Table1[Region],$P$48,Table1[Group],A51)/1000*$C$5</f>
        <v>0.40150199999999997</v>
      </c>
      <c r="Q51">
        <f>SUMIFS(Table1[SumHD_TJ],Table1[Region],$Q$48,Table1[Group],A51)/1000*$C$5</f>
        <v>7.0691999999999991E-2</v>
      </c>
      <c r="R51">
        <f>SUMIFS(Table1[SumHD_TJ],Table1[Region],$R$48,Table1[Group],A51)/1000*$C$5</f>
        <v>0.66862799999999989</v>
      </c>
      <c r="S51">
        <f>SUMIFS(Table1[SumHD_TJ],Table1[Region],$S$48,Table1[Group],A51)/1000*$C$5</f>
        <v>0.54047400000000001</v>
      </c>
      <c r="T51">
        <f>SUMIFS(Table1[SumHD_TJ],Table1[Region],$T$48,Table1[Group],A51)/1000*$C$5</f>
        <v>0.31374000000000007</v>
      </c>
      <c r="U51">
        <f>SUMIFS(Table1[SumHD_TJ],Table1[Region],$U$48,Table1[Group],A51)/1000*$C$5</f>
        <v>0.15889800000000001</v>
      </c>
      <c r="V51">
        <f>SUMIFS(Table1[SumHD_TJ],Table1[Region],$V$48,Table1[Group],A51)/1000*$C$5</f>
        <v>0.18608399999999997</v>
      </c>
      <c r="W51">
        <f>SUMIFS(Table1[SumHD_TJ],Table1[Region],$W$48,Table1[Group],A51)/1000*$C$5</f>
        <v>0.38371799999999995</v>
      </c>
      <c r="X51">
        <f>SUMIFS(Table1[SumHD_TJ],Table1[Region],$X$48,Table1[Group],A51)/1000*$C$5</f>
        <v>2.3531999999999997E-2</v>
      </c>
      <c r="Y51">
        <f>SUMIFS(Table1[SumHD_TJ],Table1[Region],$Y$48,Table1[Group],A51)/1000*$C$5</f>
        <v>0.29723999999999995</v>
      </c>
      <c r="Z51">
        <f>SUMIFS(Table1[SumHD_TJ],Table1[Region],$Z$48,Table1[Group],A51)/1000*$C$5</f>
        <v>6.0360000000000004E-2</v>
      </c>
      <c r="AA51">
        <f>SUMIFS(Table1[SumHD_TJ],Table1[Region],$AA$48,Table1[Group],A51)/1000*$C$5</f>
        <v>7.2893999999999987E-2</v>
      </c>
      <c r="AB51">
        <f>SUMIFS(Table1[SumHD_TJ],Table1[Region],$AB$48,Table1[Group],A51)/1000*$C$5</f>
        <v>0.12728399999999998</v>
      </c>
      <c r="AC51">
        <f>SUMIFS(Table1[SumHD_TJ],Table1[Region],$AC$48,Table1[Group],A51)/1000*$C$5</f>
        <v>7.4345999999999995E-2</v>
      </c>
      <c r="AD51">
        <f>SUMIFS(Table1[SumHD_TJ],Table1[Region],$AD$48,Table1[Group],A51)/1000*$C$5</f>
        <v>0.20083800000000002</v>
      </c>
      <c r="AE51" s="26">
        <f t="shared" si="19"/>
        <v>6.1748459999999978</v>
      </c>
    </row>
    <row r="52" spans="1:31">
      <c r="A52">
        <v>3</v>
      </c>
      <c r="C52" s="25" t="s">
        <v>468</v>
      </c>
      <c r="D52" s="26">
        <f>SUMIFS(Table1[SumHD_TJ],Table1[Group],A52)/1000*$C$5</f>
        <v>1.5217860000000003</v>
      </c>
      <c r="E52" s="26">
        <f>SUMIFS(Table1[SumHD_TJ],Table1[Region],$E$48,Table1[Group],A52)/1000*$C$5</f>
        <v>4.6457999999999999E-2</v>
      </c>
      <c r="F52" s="26">
        <f>SUMIFS(Table1[SumHD_TJ],Table1[Region],$F$48,Table1[Group],A52)/1000*$C$5</f>
        <v>7.5839999999999996E-3</v>
      </c>
      <c r="G52" s="26">
        <f>SUMIFS(Table1[SumHD_TJ],Table1[Region],$G$48,Table1[Group],A52)/1000*$C$5</f>
        <v>6.0912000000000015E-2</v>
      </c>
      <c r="H52" s="26">
        <f>SUMIFS(Table1[SumHD_TJ],Table1[Region],$H$48,Table1[Group],A52)/1000*$C$5</f>
        <v>3.1301999999999996E-2</v>
      </c>
      <c r="I52" s="26">
        <f>SUMIFS(Table1[SumHD_TJ],Table1[Region],$I$48,Table1[Group],A52)/1000*$C$5</f>
        <v>4.3115999999999988E-2</v>
      </c>
      <c r="J52" s="26">
        <f>SUMIFS(Table1[SumHD_TJ],Table1[Region],$J$48,Table1[Group],A52)/1000*$C$5</f>
        <v>1.4555999999999998E-2</v>
      </c>
      <c r="K52" s="26">
        <f>SUMIFS(Table1[SumHD_TJ],Table1[Region],$K$48,Table1[Group],A52)/1000*$C$5</f>
        <v>5.8817999999999995E-2</v>
      </c>
      <c r="L52" s="26">
        <f>SUMIFS(Table1[SumHD_TJ],Table1[Region],$L$48,Table1[Group],A52)/1000*$C$5</f>
        <v>2.0567999999999999E-2</v>
      </c>
      <c r="M52" s="26">
        <f>SUMIFS(Table1[SumHD_TJ],Table1[Region],$M$48,Table1[Group],A52)/1000*$C$5</f>
        <v>4.5786E-2</v>
      </c>
      <c r="N52">
        <f>SUMIFS(Table1[SumHD_TJ],Table1[Region],$N$48,Table1[Group],A52)/1000*$C$5</f>
        <v>2.0531999999999998E-2</v>
      </c>
      <c r="O52">
        <f>SUMIFS(Table1[SumHD_TJ],Table1[Region],$O$48,Table1[Group],A52)/1000*$C$5</f>
        <v>7.4741999999999989E-2</v>
      </c>
      <c r="P52">
        <f>SUMIFS(Table1[SumHD_TJ],Table1[Region],$P$48,Table1[Group],A52)/1000*$C$5</f>
        <v>8.5739999999999997E-2</v>
      </c>
      <c r="Q52">
        <f>SUMIFS(Table1[SumHD_TJ],Table1[Region],$Q$48,Table1[Group],A52)/1000*$C$5</f>
        <v>5.4011999999999998E-2</v>
      </c>
      <c r="R52">
        <f>SUMIFS(Table1[SumHD_TJ],Table1[Region],$R$48,Table1[Group],A52)/1000*$C$5</f>
        <v>0.16747800000000002</v>
      </c>
      <c r="S52">
        <f>SUMIFS(Table1[SumHD_TJ],Table1[Region],$S$48,Table1[Group],A52)/1000*$C$5</f>
        <v>0.10767</v>
      </c>
      <c r="T52">
        <f>SUMIFS(Table1[SumHD_TJ],Table1[Region],$T$48,Table1[Group],A52)/1000*$C$5</f>
        <v>0.13069199999999997</v>
      </c>
      <c r="U52">
        <f>SUMIFS(Table1[SumHD_TJ],Table1[Region],$U$48,Table1[Group],A52)/1000*$C$5</f>
        <v>2.6472000000000002E-2</v>
      </c>
      <c r="V52">
        <f>SUMIFS(Table1[SumHD_TJ],Table1[Region],$V$48,Table1[Group],A52)/1000*$C$5</f>
        <v>4.6061999999999992E-2</v>
      </c>
      <c r="W52">
        <f>SUMIFS(Table1[SumHD_TJ],Table1[Region],$W$48,Table1[Group],A52)/1000*$C$5</f>
        <v>7.3133999999999991E-2</v>
      </c>
      <c r="X52">
        <f>SUMIFS(Table1[SumHD_TJ],Table1[Region],$X$48,Table1[Group],A52)/1000*$C$5</f>
        <v>3.3671999999999994E-2</v>
      </c>
      <c r="Y52">
        <f>SUMIFS(Table1[SumHD_TJ],Table1[Region],$Y$48,Table1[Group],A52)/1000*$C$5</f>
        <v>6.222599999999999E-2</v>
      </c>
      <c r="Z52">
        <f>SUMIFS(Table1[SumHD_TJ],Table1[Region],$Z$48,Table1[Group],A52)/1000*$C$5</f>
        <v>2.7671999999999995E-2</v>
      </c>
      <c r="AA52">
        <f>SUMIFS(Table1[SumHD_TJ],Table1[Region],$AA$48,Table1[Group],A52)/1000*$C$5</f>
        <v>5.8968E-2</v>
      </c>
      <c r="AB52">
        <f>SUMIFS(Table1[SumHD_TJ],Table1[Region],$AB$48,Table1[Group],A52)/1000*$C$5</f>
        <v>2.8799999999999999E-2</v>
      </c>
      <c r="AC52">
        <f>SUMIFS(Table1[SumHD_TJ],Table1[Region],$AC$48,Table1[Group],A52)/1000*$C$5</f>
        <v>0.17214000000000002</v>
      </c>
      <c r="AD52">
        <f>SUMIFS(Table1[SumHD_TJ],Table1[Region],$AD$48,Table1[Group],A52)/1000*$C$5</f>
        <v>2.2673999999999996E-2</v>
      </c>
      <c r="AE52" s="26">
        <f t="shared" si="19"/>
        <v>1.5217860000000003</v>
      </c>
    </row>
    <row r="53" spans="1:31">
      <c r="C53" s="25"/>
      <c r="D53" s="26"/>
      <c r="E53" s="26"/>
      <c r="F53" s="26"/>
      <c r="G53" s="26"/>
      <c r="H53" s="26"/>
      <c r="I53" s="26"/>
      <c r="J53" s="26"/>
      <c r="K53" s="26"/>
      <c r="L53" s="26"/>
      <c r="M53" s="26"/>
    </row>
    <row r="54" spans="1:31" ht="15">
      <c r="C54" s="23" t="s">
        <v>1055</v>
      </c>
    </row>
    <row r="55" spans="1:31" ht="15.75" thickBot="1">
      <c r="C55" s="24" t="s">
        <v>0</v>
      </c>
      <c r="D55" s="24" t="s">
        <v>460</v>
      </c>
      <c r="E55" s="24" t="s">
        <v>433</v>
      </c>
      <c r="F55" s="24" t="s">
        <v>434</v>
      </c>
      <c r="G55" s="24" t="s">
        <v>435</v>
      </c>
      <c r="H55" s="24" t="s">
        <v>436</v>
      </c>
      <c r="I55" s="24" t="s">
        <v>437</v>
      </c>
      <c r="J55" s="24" t="s">
        <v>438</v>
      </c>
      <c r="K55" s="24" t="s">
        <v>439</v>
      </c>
      <c r="L55" s="24" t="s">
        <v>440</v>
      </c>
      <c r="M55" s="24" t="s">
        <v>441</v>
      </c>
      <c r="N55" s="24" t="s">
        <v>442</v>
      </c>
      <c r="O55" s="24" t="s">
        <v>443</v>
      </c>
      <c r="P55" s="24" t="s">
        <v>444</v>
      </c>
      <c r="Q55" s="24" t="s">
        <v>445</v>
      </c>
      <c r="R55" s="24" t="s">
        <v>446</v>
      </c>
      <c r="S55" s="24" t="s">
        <v>447</v>
      </c>
      <c r="T55" s="24" t="s">
        <v>448</v>
      </c>
      <c r="U55" s="24" t="s">
        <v>449</v>
      </c>
      <c r="V55" s="24" t="s">
        <v>450</v>
      </c>
      <c r="W55" s="24" t="s">
        <v>451</v>
      </c>
      <c r="X55" s="24" t="s">
        <v>452</v>
      </c>
      <c r="Y55" s="24" t="s">
        <v>453</v>
      </c>
      <c r="Z55" s="24" t="s">
        <v>454</v>
      </c>
      <c r="AA55" s="24" t="s">
        <v>455</v>
      </c>
      <c r="AB55" s="24" t="s">
        <v>456</v>
      </c>
      <c r="AC55" s="24" t="s">
        <v>457</v>
      </c>
      <c r="AD55" s="24" t="s">
        <v>458</v>
      </c>
      <c r="AE55" s="24" t="s">
        <v>463</v>
      </c>
    </row>
    <row r="56" spans="1:31">
      <c r="A56">
        <v>0</v>
      </c>
      <c r="C56" s="25" t="s">
        <v>469</v>
      </c>
      <c r="D56" s="26">
        <f>SUMIFS(Table1[SumHD_TJ],Table1[Group],A56)/1000*(1-$C$5)</f>
        <v>12.755152000000002</v>
      </c>
      <c r="E56" s="26">
        <f>SUMIFS(Table1[SumHD_TJ],Table1[Region],$E$48,Table1[Group],A56)/1000*(1-$C$5)</f>
        <v>0</v>
      </c>
      <c r="F56" s="26">
        <f>SUMIFS(Table1[SumHD_TJ],Table1[Region],$F$48,Table1[Group],A56)/1000*(1-$C$5)</f>
        <v>8.396096</v>
      </c>
      <c r="G56" s="26">
        <f>SUMIFS(Table1[SumHD_TJ],Table1[Region],$G$48,Table1[Group],A56)/1000*(1-$C$5)</f>
        <v>0</v>
      </c>
      <c r="H56" s="26">
        <f>SUMIFS(Table1[SumHD_TJ],Table1[Region],$H$48,Table1[Group],A56)/1000*(1-$C$5)</f>
        <v>0</v>
      </c>
      <c r="I56" s="26">
        <f>SUMIFS(Table1[SumHD_TJ],Table1[Region],$I$48,Table1[Group],A56)/1000*(1-$C$5)</f>
        <v>0</v>
      </c>
      <c r="J56" s="26">
        <f>SUMIFS(Table1[SumHD_TJ],Table1[Region],$J$48,Table1[Group],A56)/1000*(1-$C$5)</f>
        <v>0</v>
      </c>
      <c r="K56" s="26">
        <f>SUMIFS(Table1[SumHD_TJ],Table1[Region],$K$48,Table1[Group],A56)/1000*(1-$C$5)</f>
        <v>0</v>
      </c>
      <c r="L56" s="26">
        <f>SUMIFS(Table1[SumHD_TJ],Table1[Region],$L$48,Table1[Group],A56)/1000*(1-$C$5)</f>
        <v>0</v>
      </c>
      <c r="M56" s="26">
        <f>SUMIFS(Table1[SumHD_TJ],Table1[Region],$M$48,Table1[Group],A56)/1000*(1-$C$5)</f>
        <v>0</v>
      </c>
      <c r="N56">
        <f>SUMIFS(Table1[SumHD_TJ],Table1[Region],$N$48,Table1[Group],A56)/1000*(1-$C$5)</f>
        <v>0</v>
      </c>
      <c r="O56">
        <f>SUMIFS(Table1[SumHD_TJ],Table1[Region],$O$48,Table1[Group],A56)/1000*(1-$C$5)</f>
        <v>0</v>
      </c>
      <c r="P56">
        <f>SUMIFS(Table1[SumHD_TJ],Table1[Region],$P$48,Table1[Group],A56)/1000*(1-$C$5)</f>
        <v>0</v>
      </c>
      <c r="Q56">
        <f>SUMIFS(Table1[SumHD_TJ],Table1[Region],$Q$48,Table1[Group],A56)/1000*(1-$C$5)</f>
        <v>0</v>
      </c>
      <c r="R56">
        <f>SUMIFS(Table1[SumHD_TJ],Table1[Region],$R$48,Table1[Group],A56)/1000*(1-$C$5)</f>
        <v>1.8364840000000002</v>
      </c>
      <c r="S56">
        <f>SUMIFS(Table1[SumHD_TJ],Table1[Region],$S$48,Table1[Group],A56)/1000*(1-$C$5)</f>
        <v>0</v>
      </c>
      <c r="T56">
        <f>SUMIFS(Table1[SumHD_TJ],Table1[Region],$T$48,Table1[Group],A56)/1000*(1-$C$5)</f>
        <v>0.93495200000000001</v>
      </c>
      <c r="U56">
        <f>SUMIFS(Table1[SumHD_TJ],Table1[Region],$U$48,Table1[Group],A56)/1000*(1-$C$5)</f>
        <v>0</v>
      </c>
      <c r="V56">
        <f>SUMIFS(Table1[SumHD_TJ],Table1[Region],$V$48,Table1[Group],A56)/1000*(1-$C$5)</f>
        <v>0.554616</v>
      </c>
      <c r="W56">
        <f>SUMIFS(Table1[SumHD_TJ],Table1[Region],$W$48,Table1[Group],A56)/1000*(1-$C$5)</f>
        <v>1.033004</v>
      </c>
      <c r="X56">
        <f>SUMIFS(Table1[SumHD_TJ],Table1[Region],$X$48,Table1[Group],A56)/1000*(1-$C$5)</f>
        <v>0</v>
      </c>
      <c r="Y56">
        <f>SUMIFS(Table1[SumHD_TJ],Table1[Region],$Y$48,Table1[Group],A56)/1000*(1-$C$5)</f>
        <v>0</v>
      </c>
      <c r="Z56">
        <f>SUMIFS(Table1[SumHD_TJ],Table1[Region],$Z$48,Table1[Group],A56)/1000*(1-$C$5)</f>
        <v>0</v>
      </c>
      <c r="AA56">
        <f>SUMIFS(Table1[SumHD_TJ],Table1[Region],$AA$48,Table1[Group],A56)/1000*(1-$C$5)</f>
        <v>0</v>
      </c>
      <c r="AB56">
        <f>SUMIFS(Table1[SumHD_TJ],Table1[Region],$AB$48,Table1[Group],A56)/1000*(1-$C$5)</f>
        <v>0</v>
      </c>
      <c r="AC56">
        <f>SUMIFS(Table1[SumHD_TJ],Table1[Region],$AC$48,Table1[Group],A56)/1000*(1-$C$5)</f>
        <v>0</v>
      </c>
      <c r="AD56">
        <f>SUMIFS(Table1[SumHD_TJ],Table1[Region],$AD$48,Table1[Group],A56)/1000*(1-$C$5)</f>
        <v>0</v>
      </c>
      <c r="AE56" s="26">
        <f>D56</f>
        <v>12.755152000000002</v>
      </c>
    </row>
    <row r="57" spans="1:31">
      <c r="A57">
        <v>1</v>
      </c>
      <c r="C57" s="25" t="s">
        <v>470</v>
      </c>
      <c r="D57" s="26">
        <f>SUMIFS(Table1[SumHD_TJ],Table1[Group],A57)/1000*(1-$C$5)</f>
        <v>9.6211239999999982</v>
      </c>
      <c r="E57" s="26">
        <f>SUMIFS(Table1[SumHD_TJ],Table1[Region],$E$48,Table1[Group],A57)/1000*(1-$C$5)</f>
        <v>0</v>
      </c>
      <c r="F57" s="26">
        <f>SUMIFS(Table1[SumHD_TJ],Table1[Region],$F$48,Table1[Group],A57)/1000*(1-$C$5)</f>
        <v>1.123756</v>
      </c>
      <c r="G57" s="26">
        <f>SUMIFS(Table1[SumHD_TJ],Table1[Region],$G$48,Table1[Group],A57)/1000*(1-$C$5)</f>
        <v>1.0677040000000002</v>
      </c>
      <c r="H57" s="26">
        <f>SUMIFS(Table1[SumHD_TJ],Table1[Region],$H$48,Table1[Group],A57)/1000*(1-$C$5)</f>
        <v>0.52382399999999996</v>
      </c>
      <c r="I57" s="26">
        <f>SUMIFS(Table1[SumHD_TJ],Table1[Region],$I$48,Table1[Group],A57)/1000*(1-$C$5)</f>
        <v>0.29715200000000003</v>
      </c>
      <c r="J57" s="26">
        <f>SUMIFS(Table1[SumHD_TJ],Table1[Region],$J$48,Table1[Group],A57)/1000*(1-$C$5)</f>
        <v>0.166412</v>
      </c>
      <c r="K57" s="26">
        <f>SUMIFS(Table1[SumHD_TJ],Table1[Region],$K$48,Table1[Group],A57)/1000*(1-$C$5)</f>
        <v>0.64624000000000015</v>
      </c>
      <c r="L57" s="26">
        <f>SUMIFS(Table1[SumHD_TJ],Table1[Region],$L$48,Table1[Group],A57)/1000*(1-$C$5)</f>
        <v>0.73412000000000011</v>
      </c>
      <c r="M57" s="26">
        <f>SUMIFS(Table1[SumHD_TJ],Table1[Region],$M$48,Table1[Group],A57)/1000*(1-$C$5)</f>
        <v>0.29588000000000003</v>
      </c>
      <c r="N57">
        <f>SUMIFS(Table1[SumHD_TJ],Table1[Region],$N$48,Table1[Group],A57)/1000*(1-$C$5)</f>
        <v>0.20218800000000001</v>
      </c>
      <c r="O57">
        <f>SUMIFS(Table1[SumHD_TJ],Table1[Region],$O$48,Table1[Group],A57)/1000*(1-$C$5)</f>
        <v>0.51423999999999992</v>
      </c>
      <c r="P57">
        <f>SUMIFS(Table1[SumHD_TJ],Table1[Region],$P$48,Table1[Group],A57)/1000*(1-$C$5)</f>
        <v>0.47094400000000003</v>
      </c>
      <c r="Q57">
        <f>SUMIFS(Table1[SumHD_TJ],Table1[Region],$Q$48,Table1[Group],A57)/1000*(1-$C$5)</f>
        <v>0.38620800000000005</v>
      </c>
      <c r="R57">
        <f>SUMIFS(Table1[SumHD_TJ],Table1[Region],$R$48,Table1[Group],A57)/1000*(1-$C$5)</f>
        <v>0.67069199999999995</v>
      </c>
      <c r="S57">
        <f>SUMIFS(Table1[SumHD_TJ],Table1[Region],$S$48,Table1[Group],A57)/1000*(1-$C$5)</f>
        <v>0</v>
      </c>
      <c r="T57">
        <f>SUMIFS(Table1[SumHD_TJ],Table1[Region],$T$48,Table1[Group],A57)/1000*(1-$C$5)</f>
        <v>2.1299999999999999E-2</v>
      </c>
      <c r="U57">
        <f>SUMIFS(Table1[SumHD_TJ],Table1[Region],$U$48,Table1[Group],A57)/1000*(1-$C$5)</f>
        <v>0.46490400000000004</v>
      </c>
      <c r="V57">
        <f>SUMIFS(Table1[SumHD_TJ],Table1[Region],$V$48,Table1[Group],A57)/1000*(1-$C$5)</f>
        <v>0.12686399999999998</v>
      </c>
      <c r="W57">
        <f>SUMIFS(Table1[SumHD_TJ],Table1[Region],$W$48,Table1[Group],A57)/1000*(1-$C$5)</f>
        <v>0.12826399999999999</v>
      </c>
      <c r="X57">
        <f>SUMIFS(Table1[SumHD_TJ],Table1[Region],$X$48,Table1[Group],A57)/1000*(1-$C$5)</f>
        <v>8.4820000000000007E-2</v>
      </c>
      <c r="Y57">
        <f>SUMIFS(Table1[SumHD_TJ],Table1[Region],$Y$48,Table1[Group],A57)/1000*(1-$C$5)</f>
        <v>0.23490000000000003</v>
      </c>
      <c r="Z57">
        <f>SUMIFS(Table1[SumHD_TJ],Table1[Region],$Z$48,Table1[Group],A57)/1000*(1-$C$5)</f>
        <v>0.38877200000000001</v>
      </c>
      <c r="AA57">
        <f>SUMIFS(Table1[SumHD_TJ],Table1[Region],$AA$48,Table1[Group],A57)/1000*(1-$C$5)</f>
        <v>0.30846000000000001</v>
      </c>
      <c r="AB57">
        <f>SUMIFS(Table1[SumHD_TJ],Table1[Region],$AB$48,Table1[Group],A57)/1000*(1-$C$5)</f>
        <v>0.20333999999999999</v>
      </c>
      <c r="AC57">
        <f>SUMIFS(Table1[SumHD_TJ],Table1[Region],$AC$48,Table1[Group],A57)/1000*(1-$C$5)</f>
        <v>0.46395599999999998</v>
      </c>
      <c r="AD57">
        <f>SUMIFS(Table1[SumHD_TJ],Table1[Region],$AD$48,Table1[Group],A57)/1000*(1-$C$5)</f>
        <v>9.6183999999999992E-2</v>
      </c>
      <c r="AE57" s="26">
        <f t="shared" ref="AE57:AE59" si="20">D57</f>
        <v>9.6211239999999982</v>
      </c>
    </row>
    <row r="58" spans="1:31">
      <c r="A58">
        <v>2</v>
      </c>
      <c r="C58" s="25" t="s">
        <v>471</v>
      </c>
      <c r="D58" s="26">
        <f>SUMIFS(Table1[SumHD_TJ],Table1[Group],A58)/1000*(1-$C$5)</f>
        <v>4.1165639999999994</v>
      </c>
      <c r="E58" s="26">
        <f>SUMIFS(Table1[SumHD_TJ],Table1[Region],$E$48,Table1[Group],A58)/1000*(1-$C$5)</f>
        <v>0.22434400000000002</v>
      </c>
      <c r="F58" s="26">
        <f>SUMIFS(Table1[SumHD_TJ],Table1[Region],$F$48,Table1[Group],A58)/1000*(1-$C$5)</f>
        <v>0.312884</v>
      </c>
      <c r="G58" s="26">
        <f>SUMIFS(Table1[SumHD_TJ],Table1[Region],$G$48,Table1[Group],A58)/1000*(1-$C$5)</f>
        <v>0.30175200000000002</v>
      </c>
      <c r="H58" s="26">
        <f>SUMIFS(Table1[SumHD_TJ],Table1[Region],$H$48,Table1[Group],A58)/1000*(1-$C$5)</f>
        <v>5.7504E-2</v>
      </c>
      <c r="I58" s="26">
        <f>SUMIFS(Table1[SumHD_TJ],Table1[Region],$I$48,Table1[Group],A58)/1000*(1-$C$5)</f>
        <v>1.6648E-2</v>
      </c>
      <c r="J58" s="26">
        <f>SUMIFS(Table1[SumHD_TJ],Table1[Region],$J$48,Table1[Group],A58)/1000*(1-$C$5)</f>
        <v>3.2180000000000007E-2</v>
      </c>
      <c r="K58" s="26">
        <f>SUMIFS(Table1[SumHD_TJ],Table1[Region],$K$48,Table1[Group],A58)/1000*(1-$C$5)</f>
        <v>2.5527999999999995E-2</v>
      </c>
      <c r="L58" s="26">
        <f>SUMIFS(Table1[SumHD_TJ],Table1[Region],$L$48,Table1[Group],A58)/1000*(1-$C$5)</f>
        <v>0.57198799999999994</v>
      </c>
      <c r="M58" s="26">
        <f>SUMIFS(Table1[SumHD_TJ],Table1[Region],$M$48,Table1[Group],A58)/1000*(1-$C$5)</f>
        <v>8.3244000000000012E-2</v>
      </c>
      <c r="N58">
        <f>SUMIFS(Table1[SumHD_TJ],Table1[Region],$N$48,Table1[Group],A58)/1000*(1-$C$5)</f>
        <v>0</v>
      </c>
      <c r="O58">
        <f>SUMIFS(Table1[SumHD_TJ],Table1[Region],$O$48,Table1[Group],A58)/1000*(1-$C$5)</f>
        <v>0.10367200000000001</v>
      </c>
      <c r="P58">
        <f>SUMIFS(Table1[SumHD_TJ],Table1[Region],$P$48,Table1[Group],A58)/1000*(1-$C$5)</f>
        <v>0.26766799999999996</v>
      </c>
      <c r="Q58">
        <f>SUMIFS(Table1[SumHD_TJ],Table1[Region],$Q$48,Table1[Group],A58)/1000*(1-$C$5)</f>
        <v>4.7128000000000003E-2</v>
      </c>
      <c r="R58">
        <f>SUMIFS(Table1[SumHD_TJ],Table1[Region],$R$48,Table1[Group],A58)/1000*(1-$C$5)</f>
        <v>0.44575199999999998</v>
      </c>
      <c r="S58">
        <f>SUMIFS(Table1[SumHD_TJ],Table1[Region],$S$48,Table1[Group],A58)/1000*(1-$C$5)</f>
        <v>0.36031600000000008</v>
      </c>
      <c r="T58">
        <f>SUMIFS(Table1[SumHD_TJ],Table1[Region],$T$48,Table1[Group],A58)/1000*(1-$C$5)</f>
        <v>0.20916000000000007</v>
      </c>
      <c r="U58">
        <f>SUMIFS(Table1[SumHD_TJ],Table1[Region],$U$48,Table1[Group],A58)/1000*(1-$C$5)</f>
        <v>0.10593200000000001</v>
      </c>
      <c r="V58">
        <f>SUMIFS(Table1[SumHD_TJ],Table1[Region],$V$48,Table1[Group],A58)/1000*(1-$C$5)</f>
        <v>0.124056</v>
      </c>
      <c r="W58">
        <f>SUMIFS(Table1[SumHD_TJ],Table1[Region],$W$48,Table1[Group],A58)/1000*(1-$C$5)</f>
        <v>0.25581199999999998</v>
      </c>
      <c r="X58">
        <f>SUMIFS(Table1[SumHD_TJ],Table1[Region],$X$48,Table1[Group],A58)/1000*(1-$C$5)</f>
        <v>1.5688000000000001E-2</v>
      </c>
      <c r="Y58">
        <f>SUMIFS(Table1[SumHD_TJ],Table1[Region],$Y$48,Table1[Group],A58)/1000*(1-$C$5)</f>
        <v>0.19816</v>
      </c>
      <c r="Z58">
        <f>SUMIFS(Table1[SumHD_TJ],Table1[Region],$Z$48,Table1[Group],A58)/1000*(1-$C$5)</f>
        <v>4.0240000000000005E-2</v>
      </c>
      <c r="AA58">
        <f>SUMIFS(Table1[SumHD_TJ],Table1[Region],$AA$48,Table1[Group],A58)/1000*(1-$C$5)</f>
        <v>4.8596E-2</v>
      </c>
      <c r="AB58">
        <f>SUMIFS(Table1[SumHD_TJ],Table1[Region],$AB$48,Table1[Group],A58)/1000*(1-$C$5)</f>
        <v>8.4856000000000001E-2</v>
      </c>
      <c r="AC58">
        <f>SUMIFS(Table1[SumHD_TJ],Table1[Region],$AC$48,Table1[Group],A58)/1000*(1-$C$5)</f>
        <v>4.9563999999999997E-2</v>
      </c>
      <c r="AD58">
        <f>SUMIFS(Table1[SumHD_TJ],Table1[Region],$AD$48,Table1[Group],A58)/1000*(1-$C$5)</f>
        <v>0.13389200000000001</v>
      </c>
      <c r="AE58" s="26">
        <f t="shared" si="20"/>
        <v>4.1165639999999994</v>
      </c>
    </row>
    <row r="59" spans="1:31">
      <c r="A59">
        <v>3</v>
      </c>
      <c r="C59" s="25" t="s">
        <v>472</v>
      </c>
      <c r="D59" s="26">
        <f>SUMIFS(Table1[SumHD_TJ],Table1[Group],A59)/1000*(1-$C$5)</f>
        <v>1.0145240000000004</v>
      </c>
      <c r="E59" s="26">
        <f>SUMIFS(Table1[SumHD_TJ],Table1[Region],$E$48,Table1[Group],A59)/1000*(1-$C$5)</f>
        <v>3.0972E-2</v>
      </c>
      <c r="F59" s="26">
        <f>SUMIFS(Table1[SumHD_TJ],Table1[Region],$F$48,Table1[Group],A59)/1000*(1-$C$5)</f>
        <v>5.0560000000000006E-3</v>
      </c>
      <c r="G59" s="26">
        <f>SUMIFS(Table1[SumHD_TJ],Table1[Region],$G$48,Table1[Group],A59)/1000*(1-$C$5)</f>
        <v>4.0608000000000012E-2</v>
      </c>
      <c r="H59" s="26">
        <f>SUMIFS(Table1[SumHD_TJ],Table1[Region],$H$48,Table1[Group],A59)/1000*(1-$C$5)</f>
        <v>2.0868000000000001E-2</v>
      </c>
      <c r="I59" s="26">
        <f>SUMIFS(Table1[SumHD_TJ],Table1[Region],$I$48,Table1[Group],A59)/1000*(1-$C$5)</f>
        <v>2.8743999999999992E-2</v>
      </c>
      <c r="J59" s="26">
        <f>SUMIFS(Table1[SumHD_TJ],Table1[Region],$J$48,Table1[Group],A59)/1000*(1-$C$5)</f>
        <v>9.7039999999999991E-3</v>
      </c>
      <c r="K59" s="26">
        <f>SUMIFS(Table1[SumHD_TJ],Table1[Region],$K$48,Table1[Group],A59)/1000*(1-$C$5)</f>
        <v>3.9211999999999997E-2</v>
      </c>
      <c r="L59" s="26">
        <f>SUMIFS(Table1[SumHD_TJ],Table1[Region],$L$48,Table1[Group],A59)/1000*(1-$C$5)</f>
        <v>1.3712E-2</v>
      </c>
      <c r="M59" s="26">
        <f>SUMIFS(Table1[SumHD_TJ],Table1[Region],$M$48,Table1[Group],A59)/1000*(1-$C$5)</f>
        <v>3.0524000000000003E-2</v>
      </c>
      <c r="N59">
        <f>SUMIFS(Table1[SumHD_TJ],Table1[Region],$N$48,Table1[Group],A59)/1000*(1-$C$5)</f>
        <v>1.3688000000000001E-2</v>
      </c>
      <c r="O59">
        <f>SUMIFS(Table1[SumHD_TJ],Table1[Region],$O$48,Table1[Group],A59)/1000*(1-$C$5)</f>
        <v>4.9827999999999997E-2</v>
      </c>
      <c r="P59">
        <f>SUMIFS(Table1[SumHD_TJ],Table1[Region],$P$48,Table1[Group],A59)/1000*(1-$C$5)</f>
        <v>5.7160000000000002E-2</v>
      </c>
      <c r="Q59">
        <f>SUMIFS(Table1[SumHD_TJ],Table1[Region],$Q$48,Table1[Group],A59)/1000*(1-$C$5)</f>
        <v>3.6008000000000005E-2</v>
      </c>
      <c r="R59">
        <f>SUMIFS(Table1[SumHD_TJ],Table1[Region],$R$48,Table1[Group],A59)/1000*(1-$C$5)</f>
        <v>0.11165200000000003</v>
      </c>
      <c r="S59">
        <f>SUMIFS(Table1[SumHD_TJ],Table1[Region],$S$48,Table1[Group],A59)/1000*(1-$C$5)</f>
        <v>7.1779999999999997E-2</v>
      </c>
      <c r="T59">
        <f>SUMIFS(Table1[SumHD_TJ],Table1[Region],$T$48,Table1[Group],A59)/1000*(1-$C$5)</f>
        <v>8.7127999999999983E-2</v>
      </c>
      <c r="U59">
        <f>SUMIFS(Table1[SumHD_TJ],Table1[Region],$U$48,Table1[Group],A59)/1000*(1-$C$5)</f>
        <v>1.7648000000000004E-2</v>
      </c>
      <c r="V59">
        <f>SUMIFS(Table1[SumHD_TJ],Table1[Region],$V$48,Table1[Group],A59)/1000*(1-$C$5)</f>
        <v>3.0707999999999999E-2</v>
      </c>
      <c r="W59">
        <f>SUMIFS(Table1[SumHD_TJ],Table1[Region],$W$48,Table1[Group],A59)/1000*(1-$C$5)</f>
        <v>4.8755999999999994E-2</v>
      </c>
      <c r="X59">
        <f>SUMIFS(Table1[SumHD_TJ],Table1[Region],$X$48,Table1[Group],A59)/1000*(1-$C$5)</f>
        <v>2.2447999999999999E-2</v>
      </c>
      <c r="Y59">
        <f>SUMIFS(Table1[SumHD_TJ],Table1[Region],$Y$48,Table1[Group],A59)/1000*(1-$C$5)</f>
        <v>4.1483999999999993E-2</v>
      </c>
      <c r="Z59">
        <f>SUMIFS(Table1[SumHD_TJ],Table1[Region],$Z$48,Table1[Group],A59)/1000*(1-$C$5)</f>
        <v>1.8447999999999999E-2</v>
      </c>
      <c r="AA59">
        <f>SUMIFS(Table1[SumHD_TJ],Table1[Region],$AA$48,Table1[Group],A59)/1000*(1-$C$5)</f>
        <v>3.9312000000000007E-2</v>
      </c>
      <c r="AB59">
        <f>SUMIFS(Table1[SumHD_TJ],Table1[Region],$AB$48,Table1[Group],A59)/1000*(1-$C$5)</f>
        <v>1.9200000000000002E-2</v>
      </c>
      <c r="AC59">
        <f>SUMIFS(Table1[SumHD_TJ],Table1[Region],$AC$48,Table1[Group],A59)/1000*(1-$C$5)</f>
        <v>0.11476000000000003</v>
      </c>
      <c r="AD59">
        <f>SUMIFS(Table1[SumHD_TJ],Table1[Region],$AD$48,Table1[Group],A59)/1000*(1-$C$5)</f>
        <v>1.5115999999999999E-2</v>
      </c>
      <c r="AE59" s="26">
        <f t="shared" si="20"/>
        <v>1.0145240000000004</v>
      </c>
    </row>
    <row r="61" spans="1:31" ht="15">
      <c r="C61" s="23" t="s">
        <v>461</v>
      </c>
    </row>
    <row r="62" spans="1:31" ht="15.75" thickBot="1">
      <c r="C62" s="24" t="s">
        <v>0</v>
      </c>
      <c r="D62" s="24" t="s">
        <v>460</v>
      </c>
      <c r="E62" s="24" t="s">
        <v>433</v>
      </c>
      <c r="F62" s="24" t="s">
        <v>434</v>
      </c>
      <c r="G62" s="24" t="s">
        <v>435</v>
      </c>
      <c r="H62" s="24" t="s">
        <v>436</v>
      </c>
      <c r="I62" s="24" t="s">
        <v>437</v>
      </c>
      <c r="J62" s="24" t="s">
        <v>438</v>
      </c>
      <c r="K62" s="24" t="s">
        <v>439</v>
      </c>
      <c r="L62" s="24" t="s">
        <v>440</v>
      </c>
      <c r="M62" s="24" t="s">
        <v>441</v>
      </c>
      <c r="N62" s="24" t="s">
        <v>442</v>
      </c>
      <c r="O62" s="24" t="s">
        <v>443</v>
      </c>
      <c r="P62" s="24" t="s">
        <v>444</v>
      </c>
      <c r="Q62" s="24" t="s">
        <v>445</v>
      </c>
      <c r="R62" s="24" t="s">
        <v>446</v>
      </c>
      <c r="S62" s="24" t="s">
        <v>447</v>
      </c>
      <c r="T62" s="24" t="s">
        <v>448</v>
      </c>
      <c r="U62" s="24" t="s">
        <v>449</v>
      </c>
      <c r="V62" s="24" t="s">
        <v>450</v>
      </c>
      <c r="W62" s="24" t="s">
        <v>451</v>
      </c>
      <c r="X62" s="24" t="s">
        <v>452</v>
      </c>
      <c r="Y62" s="24" t="s">
        <v>453</v>
      </c>
      <c r="Z62" s="24" t="s">
        <v>454</v>
      </c>
      <c r="AA62" s="24" t="s">
        <v>455</v>
      </c>
      <c r="AB62" s="24" t="s">
        <v>456</v>
      </c>
      <c r="AC62" s="24" t="s">
        <v>457</v>
      </c>
      <c r="AD62" s="24" t="s">
        <v>458</v>
      </c>
      <c r="AE62" s="24" t="s">
        <v>463</v>
      </c>
    </row>
    <row r="63" spans="1:31">
      <c r="A63">
        <v>0</v>
      </c>
      <c r="C63" s="25" t="s">
        <v>465</v>
      </c>
      <c r="D63" s="26" cm="1">
        <f t="array" ref="D63">IFERROR(SUMPRODUCT((Table1[Group]=A63)*(Table1[Avg_DCCH_50percDH])*(Table1[SumHD_TJ]/((D49+D56)*1000))),0)</f>
        <v>3.0407225378419636</v>
      </c>
      <c r="E63" s="26" cm="1">
        <f t="array" ref="E63">IFERROR(SUMPRODUCT((Table1[Region]=E$62)*(Table1[Group]=$A63)*(Table1[Avg_DCCH_50percDH])*(Table1[SumHD_TJ]/((E49+E56)*1000))),0)</f>
        <v>0</v>
      </c>
      <c r="F63" s="26" cm="1">
        <f t="array" ref="F63">IFERROR(SUMPRODUCT((Table1[Region]=F$62)*(Table1[Group]=$A63)*(Table1[Avg_DCCH_50percDH])*(Table1[SumHD_TJ]/((F49+F56)*1000))),0)</f>
        <v>3.13</v>
      </c>
      <c r="G63" s="26" cm="1">
        <f t="array" ref="G63">IFERROR(SUMPRODUCT((Table1[Region]=G$62)*(Table1[Group]=$A63)*(Table1[Avg_DCCH_50percDH])*(Table1[SumHD_TJ]/((G49+G56)*1000))),0)</f>
        <v>0</v>
      </c>
      <c r="H63" s="26" cm="1">
        <f t="array" ref="H63">IFERROR(SUMPRODUCT((Table1[Region]=H$62)*(Table1[Group]=$A63)*(Table1[Avg_DCCH_50percDH])*(Table1[SumHD_TJ]/((H49+H56)*1000))),0)</f>
        <v>0</v>
      </c>
      <c r="I63" s="26" cm="1">
        <f t="array" ref="I63">IFERROR(SUMPRODUCT((Table1[Region]=I$62)*(Table1[Group]=$A63)*(Table1[Avg_DCCH_50percDH])*(Table1[SumHD_TJ]/((I49+I56)*1000))),0)</f>
        <v>0</v>
      </c>
      <c r="J63" s="26" cm="1">
        <f t="array" ref="J63">IFERROR(SUMPRODUCT((Table1[Region]=J$62)*(Table1[Group]=$A63)*(Table1[Avg_DCCH_50percDH])*(Table1[SumHD_TJ]/((J49+J56)*1000))),0)</f>
        <v>0</v>
      </c>
      <c r="K63" s="26" cm="1">
        <f t="array" ref="K63">IFERROR(SUMPRODUCT((Table1[Region]=K$62)*(Table1[Group]=$A63)*(Table1[Avg_DCCH_50percDH])*(Table1[SumHD_TJ]/((K49+K56)*1000))),0)</f>
        <v>0</v>
      </c>
      <c r="L63" s="26" cm="1">
        <f t="array" ref="L63">IFERROR(SUMPRODUCT((Table1[Region]=L$62)*(Table1[Group]=$A63)*(Table1[Avg_DCCH_50percDH])*(Table1[SumHD_TJ]/((L49+L56)*1000))),0)</f>
        <v>0</v>
      </c>
      <c r="M63" s="26" cm="1">
        <f t="array" ref="M63">IFERROR(SUMPRODUCT((Table1[Region]=M$62)*(Table1[Group]=$A63)*(Table1[Avg_DCCH_50percDH])*(Table1[SumHD_TJ]/((M49+M56)*1000))),0)</f>
        <v>0</v>
      </c>
      <c r="N63" s="26" cm="1">
        <f t="array" ref="N63">IFERROR(SUMPRODUCT((Table1[Region]=N$62)*(Table1[Group]=$A63)*(Table1[Avg_DCCH_50percDH])*(Table1[SumHD_TJ]/((N49+N56)*1000))),0)</f>
        <v>0</v>
      </c>
      <c r="O63" s="26" cm="1">
        <f t="array" ref="O63">IFERROR(SUMPRODUCT((Table1[Region]=O$62)*(Table1[Group]=$A63)*(Table1[Avg_DCCH_50percDH])*(Table1[SumHD_TJ]/((O49+O56)*1000))),0)</f>
        <v>0</v>
      </c>
      <c r="P63" s="26" cm="1">
        <f t="array" ref="P63">IFERROR(SUMPRODUCT((Table1[Region]=P$62)*(Table1[Group]=$A63)*(Table1[Avg_DCCH_50percDH])*(Table1[SumHD_TJ]/((P49+P56)*1000))),0)</f>
        <v>0</v>
      </c>
      <c r="Q63" s="26" cm="1">
        <f t="array" ref="Q63">IFERROR(SUMPRODUCT((Table1[Region]=Q$62)*(Table1[Group]=$A63)*(Table1[Avg_DCCH_50percDH])*(Table1[SumHD_TJ]/((Q49+Q56)*1000))),0)</f>
        <v>0</v>
      </c>
      <c r="R63" s="26" cm="1">
        <f t="array" ref="R63">IFERROR(SUMPRODUCT((Table1[Region]=R$62)*(Table1[Group]=$A63)*(Table1[Avg_DCCH_50percDH])*(Table1[SumHD_TJ]/((R49+R56)*1000))),0)</f>
        <v>2.94</v>
      </c>
      <c r="S63" s="26" cm="1">
        <f t="array" ref="S63">IFERROR(SUMPRODUCT((Table1[Region]=S$62)*(Table1[Group]=$A63)*(Table1[Avg_DCCH_50percDH])*(Table1[SumHD_TJ]/((S49+S56)*1000))),0)</f>
        <v>0</v>
      </c>
      <c r="T63" s="26" cm="1">
        <f t="array" ref="T63">IFERROR(SUMPRODUCT((Table1[Region]=T$62)*(Table1[Group]=$A63)*(Table1[Avg_DCCH_50percDH])*(Table1[SumHD_TJ]/((T49+T56)*1000))),0)</f>
        <v>3.23</v>
      </c>
      <c r="U63" s="26" cm="1">
        <f t="array" ref="U63">IFERROR(SUMPRODUCT((Table1[Region]=U$62)*(Table1[Group]=$A63)*(Table1[Avg_DCCH_50percDH])*(Table1[SumHD_TJ]/((U49+U56)*1000))),0)</f>
        <v>0</v>
      </c>
      <c r="V63" s="26" cm="1">
        <f t="array" ref="V63">IFERROR(SUMPRODUCT((Table1[Region]=V$62)*(Table1[Group]=$A63)*(Table1[Avg_DCCH_50percDH])*(Table1[SumHD_TJ]/((V49+V56)*1000))),0)</f>
        <v>2.4500000000000002</v>
      </c>
      <c r="W63" s="26" cm="1">
        <f t="array" ref="W63">IFERROR(SUMPRODUCT((Table1[Region]=W$62)*(Table1[Group]=$A63)*(Table1[Avg_DCCH_50percDH])*(Table1[SumHD_TJ]/((W49+W56)*1000))),0)</f>
        <v>2.64</v>
      </c>
      <c r="X63" s="26" cm="1">
        <f t="array" ref="X63">IFERROR(SUMPRODUCT((Table1[Region]=X$62)*(Table1[Group]=$A63)*(Table1[Avg_DCCH_50percDH])*(Table1[SumHD_TJ]/((X49+X56)*1000))),0)</f>
        <v>0</v>
      </c>
      <c r="Y63" s="26" cm="1">
        <f t="array" ref="Y63">IFERROR(SUMPRODUCT((Table1[Region]=Y$62)*(Table1[Group]=$A63)*(Table1[Avg_DCCH_50percDH])*(Table1[SumHD_TJ]/((Y49+Y56)*1000))),0)</f>
        <v>0</v>
      </c>
      <c r="Z63" s="26" cm="1">
        <f t="array" ref="Z63">IFERROR(SUMPRODUCT((Table1[Region]=Z$62)*(Table1[Group]=$A63)*(Table1[Avg_DCCH_50percDH])*(Table1[SumHD_TJ]/((Z49+Z56)*1000))),0)</f>
        <v>0</v>
      </c>
      <c r="AA63" s="26" cm="1">
        <f t="array" ref="AA63">IFERROR(SUMPRODUCT((Table1[Region]=AA$62)*(Table1[Group]=$A63)*(Table1[Avg_DCCH_50percDH])*(Table1[SumHD_TJ]/((AA49+AA56)*1000))),0)</f>
        <v>0</v>
      </c>
      <c r="AB63" s="26" cm="1">
        <f t="array" ref="AB63">IFERROR(SUMPRODUCT((Table1[Region]=AB$62)*(Table1[Group]=$A63)*(Table1[Avg_DCCH_50percDH])*(Table1[SumHD_TJ]/((AB49+AB56)*1000))),0)</f>
        <v>0</v>
      </c>
      <c r="AC63" s="26" cm="1">
        <f t="array" ref="AC63">IFERROR(SUMPRODUCT((Table1[Region]=AC$62)*(Table1[Group]=$A63)*(Table1[Avg_DCCH_50percDH])*(Table1[SumHD_TJ]/((AC49+AC56)*1000))),0)</f>
        <v>0</v>
      </c>
      <c r="AD63" s="26" cm="1">
        <f t="array" ref="AD63">IFERROR(SUMPRODUCT((Table1[Region]=AD$62)*(Table1[Group]=$A63)*(Table1[Avg_DCCH_50percDH])*(Table1[SumHD_TJ]/((AD49+AD56)*1000))),0)</f>
        <v>0</v>
      </c>
      <c r="AE63" s="26">
        <f>D63</f>
        <v>3.0407225378419636</v>
      </c>
    </row>
    <row r="64" spans="1:31">
      <c r="A64">
        <v>1</v>
      </c>
      <c r="C64" s="25" t="s">
        <v>466</v>
      </c>
      <c r="D64" s="26" cm="1">
        <f t="array" ref="D64">IFERROR(SUMPRODUCT((Table1[Group]=A64)*(Table1[Avg_DCCH_50percDH])*(Table1[SumHD_TJ]/((D50+D57)*1000))),0)</f>
        <v>3.2309865999024647</v>
      </c>
      <c r="E64" s="26" cm="1">
        <f t="array" ref="E64">IFERROR(SUMPRODUCT((Table1[Region]=E$62)*(Table1[Group]=$A64)*(Table1[Avg_DCCH_50percDH])*(Table1[SumHD_TJ]/((E50+E57)*1000))),0)</f>
        <v>0</v>
      </c>
      <c r="F64" s="26" cm="1">
        <f t="array" ref="F64">IFERROR(SUMPRODUCT((Table1[Region]=F$62)*(Table1[Group]=$A64)*(Table1[Avg_DCCH_50percDH])*(Table1[SumHD_TJ]/((F50+F57)*1000))),0)</f>
        <v>4.3617632297402631</v>
      </c>
      <c r="G64" s="26" cm="1">
        <f t="array" ref="G64">IFERROR(SUMPRODUCT((Table1[Region]=G$62)*(Table1[Group]=$A64)*(Table1[Avg_DCCH_50percDH])*(Table1[SumHD_TJ]/((G50+G57)*1000))),0)</f>
        <v>2.4503708143830121</v>
      </c>
      <c r="H64" s="26" cm="1">
        <f t="array" ref="H64">IFERROR(SUMPRODUCT((Table1[Region]=H$62)*(Table1[Group]=$A64)*(Table1[Avg_DCCH_50percDH])*(Table1[SumHD_TJ]/((H50+H57)*1000))),0)</f>
        <v>2.5445523687345375</v>
      </c>
      <c r="I64" s="26" cm="1">
        <f t="array" ref="I64">IFERROR(SUMPRODUCT((Table1[Region]=I$62)*(Table1[Group]=$A64)*(Table1[Avg_DCCH_50percDH])*(Table1[SumHD_TJ]/((I50+I57)*1000))),0)</f>
        <v>2.5751231692870986</v>
      </c>
      <c r="J64" s="26" cm="1">
        <f t="array" ref="J64">IFERROR(SUMPRODUCT((Table1[Region]=J$62)*(Table1[Group]=$A64)*(Table1[Avg_DCCH_50percDH])*(Table1[SumHD_TJ]/((J50+J57)*1000))),0)</f>
        <v>3.3725810638655869</v>
      </c>
      <c r="K64" s="26" cm="1">
        <f t="array" ref="K64">IFERROR(SUMPRODUCT((Table1[Region]=K$62)*(Table1[Group]=$A64)*(Table1[Avg_DCCH_50percDH])*(Table1[SumHD_TJ]/((K50+K57)*1000))),0)</f>
        <v>2.7560777420153499</v>
      </c>
      <c r="L64" s="26" cm="1">
        <f t="array" ref="L64">IFERROR(SUMPRODUCT((Table1[Region]=L$62)*(Table1[Group]=$A64)*(Table1[Avg_DCCH_50percDH])*(Table1[SumHD_TJ]/((L50+L57)*1000))),0)</f>
        <v>2.6909484008064073</v>
      </c>
      <c r="M64" s="26" cm="1">
        <f t="array" ref="M64">IFERROR(SUMPRODUCT((Table1[Region]=M$62)*(Table1[Group]=$A64)*(Table1[Avg_DCCH_50percDH])*(Table1[SumHD_TJ]/((M50+M57)*1000))),0)</f>
        <v>2.8990957144788427</v>
      </c>
      <c r="N64" s="26" cm="1">
        <f t="array" ref="N64">IFERROR(SUMPRODUCT((Table1[Region]=N$62)*(Table1[Group]=$A64)*(Table1[Avg_DCCH_50percDH])*(Table1[SumHD_TJ]/((N50+N57)*1000))),0)</f>
        <v>2.8066876372485012</v>
      </c>
      <c r="O64" s="26" cm="1">
        <f t="array" ref="O64">IFERROR(SUMPRODUCT((Table1[Region]=O$62)*(Table1[Group]=$A64)*(Table1[Avg_DCCH_50percDH])*(Table1[SumHD_TJ]/((O50+O57)*1000))),0)</f>
        <v>3.2700493932794021</v>
      </c>
      <c r="P64" s="26" cm="1">
        <f t="array" ref="P64">IFERROR(SUMPRODUCT((Table1[Region]=P$62)*(Table1[Group]=$A64)*(Table1[Avg_DCCH_50percDH])*(Table1[SumHD_TJ]/((P50+P57)*1000))),0)</f>
        <v>3.3485069137731882</v>
      </c>
      <c r="Q64" s="26" cm="1">
        <f t="array" ref="Q64">IFERROR(SUMPRODUCT((Table1[Region]=Q$62)*(Table1[Group]=$A64)*(Table1[Avg_DCCH_50percDH])*(Table1[SumHD_TJ]/((Q50+Q57)*1000))),0)</f>
        <v>4.3774391001739978</v>
      </c>
      <c r="R64" s="26" cm="1">
        <f t="array" ref="R64">IFERROR(SUMPRODUCT((Table1[Region]=R$62)*(Table1[Group]=$A64)*(Table1[Avg_DCCH_50percDH])*(Table1[SumHD_TJ]/((R50+R57)*1000))),0)</f>
        <v>3.2276063528415433</v>
      </c>
      <c r="S64" s="26" cm="1">
        <f t="array" ref="S64">IFERROR(SUMPRODUCT((Table1[Region]=S$62)*(Table1[Group]=$A64)*(Table1[Avg_DCCH_50percDH])*(Table1[SumHD_TJ]/((S50+S57)*1000))),0)</f>
        <v>0</v>
      </c>
      <c r="T64" s="26" cm="1">
        <f t="array" ref="T64">IFERROR(SUMPRODUCT((Table1[Region]=T$62)*(Table1[Group]=$A64)*(Table1[Avg_DCCH_50percDH])*(Table1[SumHD_TJ]/((T50+T57)*1000))),0)</f>
        <v>1.2500882629107981</v>
      </c>
      <c r="U64" s="26" cm="1">
        <f t="array" ref="U64">IFERROR(SUMPRODUCT((Table1[Region]=U$62)*(Table1[Group]=$A64)*(Table1[Avg_DCCH_50percDH])*(Table1[SumHD_TJ]/((U50+U57)*1000))),0)</f>
        <v>4.2940457384750399</v>
      </c>
      <c r="V64" s="26" cm="1">
        <f t="array" ref="V64">IFERROR(SUMPRODUCT((Table1[Region]=V$62)*(Table1[Group]=$A64)*(Table1[Avg_DCCH_50percDH])*(Table1[SumHD_TJ]/((V50+V57)*1000))),0)</f>
        <v>3.0074170765544208</v>
      </c>
      <c r="W64" s="26" cm="1">
        <f t="array" ref="W64">IFERROR(SUMPRODUCT((Table1[Region]=W$62)*(Table1[Group]=$A64)*(Table1[Avg_DCCH_50percDH])*(Table1[SumHD_TJ]/((W50+W57)*1000))),0)</f>
        <v>3.6103879498534273</v>
      </c>
      <c r="X64" s="26" cm="1">
        <f t="array" ref="X64">IFERROR(SUMPRODUCT((Table1[Region]=X$62)*(Table1[Group]=$A64)*(Table1[Avg_DCCH_50percDH])*(Table1[SumHD_TJ]/((X50+X57)*1000))),0)</f>
        <v>3.6</v>
      </c>
      <c r="Y64" s="26" cm="1">
        <f t="array" ref="Y64">IFERROR(SUMPRODUCT((Table1[Region]=Y$62)*(Table1[Group]=$A64)*(Table1[Avg_DCCH_50percDH])*(Table1[SumHD_TJ]/((Y50+Y57)*1000))),0)</f>
        <v>2.9590503192848017</v>
      </c>
      <c r="Z64" s="26" cm="1">
        <f t="array" ref="Z64">IFERROR(SUMPRODUCT((Table1[Region]=Z$62)*(Table1[Group]=$A64)*(Table1[Avg_DCCH_50percDH])*(Table1[SumHD_TJ]/((Z50+Z57)*1000))),0)</f>
        <v>3.7756996903069151</v>
      </c>
      <c r="AA64" s="26" cm="1">
        <f t="array" ref="AA64">IFERROR(SUMPRODUCT((Table1[Region]=AA$62)*(Table1[Group]=$A64)*(Table1[Avg_DCCH_50percDH])*(Table1[SumHD_TJ]/((AA50+AA57)*1000))),0)</f>
        <v>2.917711210529728</v>
      </c>
      <c r="AB64" s="26" cm="1">
        <f t="array" ref="AB64">IFERROR(SUMPRODUCT((Table1[Region]=AB$62)*(Table1[Group]=$A64)*(Table1[Avg_DCCH_50percDH])*(Table1[SumHD_TJ]/((AB50+AB57)*1000))),0)</f>
        <v>2.4883257598111537</v>
      </c>
      <c r="AC64" s="26" cm="1">
        <f t="array" ref="AC64">IFERROR(SUMPRODUCT((Table1[Region]=AC$62)*(Table1[Group]=$A64)*(Table1[Avg_DCCH_50percDH])*(Table1[SumHD_TJ]/((AC50+AC57)*1000))),0)</f>
        <v>3.2851475570959323</v>
      </c>
      <c r="AD64" s="26" cm="1">
        <f t="array" ref="AD64">IFERROR(SUMPRODUCT((Table1[Region]=AD$62)*(Table1[Group]=$A64)*(Table1[Avg_DCCH_50percDH])*(Table1[SumHD_TJ]/((AD50+AD57)*1000))),0)</f>
        <v>3.6058670880811783</v>
      </c>
      <c r="AE64" s="26">
        <f t="shared" ref="AE64:AE66" si="21">D64</f>
        <v>3.2309865999024647</v>
      </c>
    </row>
    <row r="65" spans="1:31">
      <c r="A65">
        <v>2</v>
      </c>
      <c r="C65" s="25" t="s">
        <v>467</v>
      </c>
      <c r="D65" s="26" cm="1">
        <f t="array" ref="D65">IFERROR(SUMPRODUCT((Table1[Group]=A65)*(Table1[Avg_DCCH_50percDH])*(Table1[SumHD_TJ]/((D51+D58)*1000))),0)</f>
        <v>5.675035529631022</v>
      </c>
      <c r="E65" s="26" cm="1">
        <f t="array" ref="E65">IFERROR(SUMPRODUCT((Table1[Region]=E$62)*(Table1[Group]=$A65)*(Table1[Avg_DCCH_50percDH])*(Table1[SumHD_TJ]/((E51+E58)*1000))),0)</f>
        <v>4.0793470741361482</v>
      </c>
      <c r="F65" s="26" cm="1">
        <f t="array" ref="F65">IFERROR(SUMPRODUCT((Table1[Region]=F$62)*(Table1[Group]=$A65)*(Table1[Avg_DCCH_50percDH])*(Table1[SumHD_TJ]/((F51+F58)*1000))),0)</f>
        <v>6.6593508137201018</v>
      </c>
      <c r="G65" s="26" cm="1">
        <f t="array" ref="G65">IFERROR(SUMPRODUCT((Table1[Region]=G$62)*(Table1[Group]=$A65)*(Table1[Avg_DCCH_50percDH])*(Table1[SumHD_TJ]/((G51+G58)*1000))),0)</f>
        <v>5.9571859010047978</v>
      </c>
      <c r="H65" s="26" cm="1">
        <f t="array" ref="H65">IFERROR(SUMPRODUCT((Table1[Region]=H$62)*(Table1[Group]=$A65)*(Table1[Avg_DCCH_50percDH])*(Table1[SumHD_TJ]/((H51+H58)*1000))),0)</f>
        <v>8.9177191151919875</v>
      </c>
      <c r="I65" s="26" cm="1">
        <f t="array" ref="I65">IFERROR(SUMPRODUCT((Table1[Region]=I$62)*(Table1[Group]=$A65)*(Table1[Avg_DCCH_50percDH])*(Table1[SumHD_TJ]/((I51+I58)*1000))),0)</f>
        <v>5.2124891878904371</v>
      </c>
      <c r="J65" s="26" cm="1">
        <f t="array" ref="J65">IFERROR(SUMPRODUCT((Table1[Region]=J$62)*(Table1[Group]=$A65)*(Table1[Avg_DCCH_50percDH])*(Table1[SumHD_TJ]/((J51+J58)*1000))),0)</f>
        <v>7.2922635177128647</v>
      </c>
      <c r="K65" s="26" cm="1">
        <f t="array" ref="K65">IFERROR(SUMPRODUCT((Table1[Region]=K$62)*(Table1[Group]=$A65)*(Table1[Avg_DCCH_50percDH])*(Table1[SumHD_TJ]/((K51+K58)*1000))),0)</f>
        <v>5.6395863365716092</v>
      </c>
      <c r="L65" s="26" cm="1">
        <f t="array" ref="L65">IFERROR(SUMPRODUCT((Table1[Region]=L$62)*(Table1[Group]=$A65)*(Table1[Avg_DCCH_50percDH])*(Table1[SumHD_TJ]/((L51+L58)*1000))),0)</f>
        <v>5.3160711763183865</v>
      </c>
      <c r="M65" s="26" cm="1">
        <f t="array" ref="M65">IFERROR(SUMPRODUCT((Table1[Region]=M$62)*(Table1[Group]=$A65)*(Table1[Avg_DCCH_50percDH])*(Table1[SumHD_TJ]/((M51+M58)*1000))),0)</f>
        <v>5.7256993897458068</v>
      </c>
      <c r="N65" s="26" cm="1">
        <f t="array" ref="N65">IFERROR(SUMPRODUCT((Table1[Region]=N$62)*(Table1[Group]=$A65)*(Table1[Avg_DCCH_50percDH])*(Table1[SumHD_TJ]/((N51+N58)*1000))),0)</f>
        <v>0</v>
      </c>
      <c r="O65" s="26" cm="1">
        <f t="array" ref="O65">IFERROR(SUMPRODUCT((Table1[Region]=O$62)*(Table1[Group]=$A65)*(Table1[Avg_DCCH_50percDH])*(Table1[SumHD_TJ]/((O51+O58)*1000))),0)</f>
        <v>7.0201994752681536</v>
      </c>
      <c r="P65" s="26" cm="1">
        <f t="array" ref="P65">IFERROR(SUMPRODUCT((Table1[Region]=P$62)*(Table1[Group]=$A65)*(Table1[Avg_DCCH_50percDH])*(Table1[SumHD_TJ]/((P51+P58)*1000))),0)</f>
        <v>5.8743219211859472</v>
      </c>
      <c r="Q65" s="26" cm="1">
        <f t="array" ref="Q65">IFERROR(SUMPRODUCT((Table1[Region]=Q$62)*(Table1[Group]=$A65)*(Table1[Avg_DCCH_50percDH])*(Table1[SumHD_TJ]/((Q51+Q58)*1000))),0)</f>
        <v>7.9187124427092179</v>
      </c>
      <c r="R65" s="26" cm="1">
        <f t="array" ref="R65">IFERROR(SUMPRODUCT((Table1[Region]=R$62)*(Table1[Group]=$A65)*(Table1[Avg_DCCH_50percDH])*(Table1[SumHD_TJ]/((R51+R58)*1000))),0)</f>
        <v>5.7904222976004593</v>
      </c>
      <c r="S65" s="26" cm="1">
        <f t="array" ref="S65">IFERROR(SUMPRODUCT((Table1[Region]=S$62)*(Table1[Group]=$A65)*(Table1[Avg_DCCH_50percDH])*(Table1[SumHD_TJ]/((S51+S58)*1000))),0)</f>
        <v>3.7254368942816862</v>
      </c>
      <c r="T65" s="26" cm="1">
        <f t="array" ref="T65">IFERROR(SUMPRODUCT((Table1[Region]=T$62)*(Table1[Group]=$A65)*(Table1[Avg_DCCH_50percDH])*(Table1[SumHD_TJ]/((T51+T58)*1000))),0)</f>
        <v>5.6967699368904174</v>
      </c>
      <c r="U65" s="26" cm="1">
        <f t="array" ref="U65">IFERROR(SUMPRODUCT((Table1[Region]=U$62)*(Table1[Group]=$A65)*(Table1[Avg_DCCH_50percDH])*(Table1[SumHD_TJ]/((U51+U58)*1000))),0)</f>
        <v>6.0029456632556739</v>
      </c>
      <c r="V65" s="26" cm="1">
        <f t="array" ref="V65">IFERROR(SUMPRODUCT((Table1[Region]=V$62)*(Table1[Group]=$A65)*(Table1[Avg_DCCH_50percDH])*(Table1[SumHD_TJ]/((V51+V58)*1000))),0)</f>
        <v>7.3234358676726643</v>
      </c>
      <c r="W65" s="26" cm="1">
        <f t="array" ref="W65">IFERROR(SUMPRODUCT((Table1[Region]=W$62)*(Table1[Group]=$A65)*(Table1[Avg_DCCH_50percDH])*(Table1[SumHD_TJ]/((W51+W58)*1000))),0)</f>
        <v>5.6935064813222214</v>
      </c>
      <c r="X65" s="26" cm="1">
        <f t="array" ref="X65">IFERROR(SUMPRODUCT((Table1[Region]=X$62)*(Table1[Group]=$A65)*(Table1[Avg_DCCH_50percDH])*(Table1[SumHD_TJ]/((X51+X58)*1000))),0)</f>
        <v>6.9997118816930151</v>
      </c>
      <c r="Y65" s="26" cm="1">
        <f t="array" ref="Y65">IFERROR(SUMPRODUCT((Table1[Region]=Y$62)*(Table1[Group]=$A65)*(Table1[Avg_DCCH_50percDH])*(Table1[SumHD_TJ]/((Y51+Y58)*1000))),0)</f>
        <v>5.5836077916834883</v>
      </c>
      <c r="Z65" s="26" cm="1">
        <f t="array" ref="Z65">IFERROR(SUMPRODUCT((Table1[Region]=Z$62)*(Table1[Group]=$A65)*(Table1[Avg_DCCH_50percDH])*(Table1[SumHD_TJ]/((Z51+Z58)*1000))),0)</f>
        <v>6.1848518886679926</v>
      </c>
      <c r="AA65" s="26" cm="1">
        <f t="array" ref="AA65">IFERROR(SUMPRODUCT((Table1[Region]=AA$62)*(Table1[Group]=$A65)*(Table1[Avg_DCCH_50percDH])*(Table1[SumHD_TJ]/((AA51+AA58)*1000))),0)</f>
        <v>5.9208650917771024</v>
      </c>
      <c r="AB65" s="26" cm="1">
        <f t="array" ref="AB65">IFERROR(SUMPRODUCT((Table1[Region]=AB$62)*(Table1[Group]=$A65)*(Table1[Avg_DCCH_50percDH])*(Table1[SumHD_TJ]/((AB51+AB58)*1000))),0)</f>
        <v>6.2626256245875371</v>
      </c>
      <c r="AC65" s="26" cm="1">
        <f t="array" ref="AC65">IFERROR(SUMPRODUCT((Table1[Region]=AC$62)*(Table1[Group]=$A65)*(Table1[Avg_DCCH_50percDH])*(Table1[SumHD_TJ]/((AC51+AC58)*1000))),0)</f>
        <v>6.5033419417319021</v>
      </c>
      <c r="AD65" s="26" cm="1">
        <f t="array" ref="AD65">IFERROR(SUMPRODUCT((Table1[Region]=AD$62)*(Table1[Group]=$A65)*(Table1[Avg_DCCH_50percDH])*(Table1[SumHD_TJ]/((AD51+AD58)*1000))),0)</f>
        <v>5.0329253428136109</v>
      </c>
      <c r="AE65" s="26">
        <f t="shared" si="21"/>
        <v>5.675035529631022</v>
      </c>
    </row>
    <row r="66" spans="1:31">
      <c r="A66">
        <v>3</v>
      </c>
      <c r="C66" s="25" t="s">
        <v>468</v>
      </c>
      <c r="D66" s="26" cm="1">
        <f t="array" ref="D66">IFERROR(SUMPRODUCT((Table1[Group]=A66)*(Table1[Avg_DCCH_50percDH])*(Table1[SumHD_TJ]/((D52+D59)*1000))),0)</f>
        <v>12.177971699043084</v>
      </c>
      <c r="E66" s="26" cm="1">
        <f t="array" ref="E66">IFERROR(SUMPRODUCT((Table1[Region]=E$62)*(Table1[Group]=$A66)*(Table1[Avg_DCCH_50percDH])*(Table1[SumHD_TJ]/((E52+E59)*1000))),0)</f>
        <v>10.637242670799434</v>
      </c>
      <c r="F66" s="26" cm="1">
        <f t="array" ref="F66">IFERROR(SUMPRODUCT((Table1[Region]=F$62)*(Table1[Group]=$A66)*(Table1[Avg_DCCH_50percDH])*(Table1[SumHD_TJ]/((F52+F59)*1000))),0)</f>
        <v>20.5</v>
      </c>
      <c r="G66" s="26" cm="1">
        <f t="array" ref="G66">IFERROR(SUMPRODUCT((Table1[Region]=G$62)*(Table1[Group]=$A66)*(Table1[Avg_DCCH_50percDH])*(Table1[SumHD_TJ]/((G52+G59)*1000))),0)</f>
        <v>13.795917060677695</v>
      </c>
      <c r="H66" s="26" cm="1">
        <f t="array" ref="H66">IFERROR(SUMPRODUCT((Table1[Region]=H$62)*(Table1[Group]=$A66)*(Table1[Avg_DCCH_50percDH])*(Table1[SumHD_TJ]/((H52+H59)*1000))),0)</f>
        <v>12.430990990990992</v>
      </c>
      <c r="I66" s="26" cm="1">
        <f t="array" ref="I66">IFERROR(SUMPRODUCT((Table1[Region]=I$62)*(Table1[Group]=$A66)*(Table1[Avg_DCCH_50percDH])*(Table1[SumHD_TJ]/((I52+I59)*1000))),0)</f>
        <v>12.07431533537434</v>
      </c>
      <c r="J66" s="26" cm="1">
        <f t="array" ref="J66">IFERROR(SUMPRODUCT((Table1[Region]=J$62)*(Table1[Group]=$A66)*(Table1[Avg_DCCH_50percDH])*(Table1[SumHD_TJ]/((J52+J59)*1000))),0)</f>
        <v>15.338120362737019</v>
      </c>
      <c r="K66" s="26" cm="1">
        <f t="array" ref="K66">IFERROR(SUMPRODUCT((Table1[Region]=K$62)*(Table1[Group]=$A66)*(Table1[Avg_DCCH_50percDH])*(Table1[SumHD_TJ]/((K52+K59)*1000))),0)</f>
        <v>12.942052432928698</v>
      </c>
      <c r="L66" s="26" cm="1">
        <f t="array" ref="L66">IFERROR(SUMPRODUCT((Table1[Region]=L$62)*(Table1[Group]=$A66)*(Table1[Avg_DCCH_50percDH])*(Table1[SumHD_TJ]/((L52+L59)*1000))),0)</f>
        <v>14.145046674445741</v>
      </c>
      <c r="M66" s="26" cm="1">
        <f t="array" ref="M66">IFERROR(SUMPRODUCT((Table1[Region]=M$62)*(Table1[Group]=$A66)*(Table1[Avg_DCCH_50percDH])*(Table1[SumHD_TJ]/((M52+M59)*1000))),0)</f>
        <v>11.669644869610797</v>
      </c>
      <c r="N66" s="26" cm="1">
        <f t="array" ref="N66">IFERROR(SUMPRODUCT((Table1[Region]=N$62)*(Table1[Group]=$A66)*(Table1[Avg_DCCH_50percDH])*(Table1[SumHD_TJ]/((N52+N59)*1000))),0)</f>
        <v>11.782901811805962</v>
      </c>
      <c r="O66" s="26" cm="1">
        <f t="array" ref="O66">IFERROR(SUMPRODUCT((Table1[Region]=O$62)*(Table1[Group]=$A66)*(Table1[Avg_DCCH_50percDH])*(Table1[SumHD_TJ]/((O52+O59)*1000))),0)</f>
        <v>11.749842658746088</v>
      </c>
      <c r="P66" s="26" cm="1">
        <f t="array" ref="P66">IFERROR(SUMPRODUCT((Table1[Region]=P$62)*(Table1[Group]=$A66)*(Table1[Avg_DCCH_50percDH])*(Table1[SumHD_TJ]/((P52+P59)*1000))),0)</f>
        <v>14.2956011196641</v>
      </c>
      <c r="Q66" s="26" cm="1">
        <f t="array" ref="Q66">IFERROR(SUMPRODUCT((Table1[Region]=Q$62)*(Table1[Group]=$A66)*(Table1[Avg_DCCH_50percDH])*(Table1[SumHD_TJ]/((Q52+Q59)*1000))),0)</f>
        <v>13.219953343701402</v>
      </c>
      <c r="R66" s="26" cm="1">
        <f t="array" ref="R66">IFERROR(SUMPRODUCT((Table1[Region]=R$62)*(Table1[Group]=$A66)*(Table1[Avg_DCCH_50percDH])*(Table1[SumHD_TJ]/((R52+R59)*1000))),0)</f>
        <v>9.9402787231755809</v>
      </c>
      <c r="S66" s="26" cm="1">
        <f t="array" ref="S66">IFERROR(SUMPRODUCT((Table1[Region]=S$62)*(Table1[Group]=$A66)*(Table1[Avg_DCCH_50percDH])*(Table1[SumHD_TJ]/((S52+S59)*1000))),0)</f>
        <v>11.532456951797158</v>
      </c>
      <c r="T66" s="26" cm="1">
        <f t="array" ref="T66">IFERROR(SUMPRODUCT((Table1[Region]=T$62)*(Table1[Group]=$A66)*(Table1[Avg_DCCH_50percDH])*(Table1[SumHD_TJ]/((T52+T59)*1000))),0)</f>
        <v>12.009080892480032</v>
      </c>
      <c r="U66" s="26" cm="1">
        <f t="array" ref="U66">IFERROR(SUMPRODUCT((Table1[Region]=U$62)*(Table1[Group]=$A66)*(Table1[Avg_DCCH_50percDH])*(Table1[SumHD_TJ]/((U52+U59)*1000))),0)</f>
        <v>12.407495466908431</v>
      </c>
      <c r="V66" s="26" cm="1">
        <f t="array" ref="V66">IFERROR(SUMPRODUCT((Table1[Region]=V$62)*(Table1[Group]=$A66)*(Table1[Avg_DCCH_50percDH])*(Table1[SumHD_TJ]/((V52+V59)*1000))),0)</f>
        <v>11.674048456428292</v>
      </c>
      <c r="W66" s="26" cm="1">
        <f t="array" ref="W66">IFERROR(SUMPRODUCT((Table1[Region]=W$62)*(Table1[Group]=$A66)*(Table1[Avg_DCCH_50percDH])*(Table1[SumHD_TJ]/((W52+W59)*1000))),0)</f>
        <v>12.172261875461484</v>
      </c>
      <c r="X66" s="26" cm="1">
        <f t="array" ref="X66">IFERROR(SUMPRODUCT((Table1[Region]=X$62)*(Table1[Group]=$A66)*(Table1[Avg_DCCH_50percDH])*(Table1[SumHD_TJ]/((X52+X59)*1000))),0)</f>
        <v>10.700547042052746</v>
      </c>
      <c r="Y66" s="26" cm="1">
        <f t="array" ref="Y66">IFERROR(SUMPRODUCT((Table1[Region]=Y$62)*(Table1[Group]=$A66)*(Table1[Avg_DCCH_50percDH])*(Table1[SumHD_TJ]/((Y52+Y59)*1000))),0)</f>
        <v>13.994888631761647</v>
      </c>
      <c r="Z66" s="26" cm="1">
        <f t="array" ref="Z66">IFERROR(SUMPRODUCT((Table1[Region]=Z$62)*(Table1[Group]=$A66)*(Table1[Avg_DCCH_50percDH])*(Table1[SumHD_TJ]/((Z52+Z59)*1000))),0)</f>
        <v>11.458100607111882</v>
      </c>
      <c r="AA66" s="26" cm="1">
        <f t="array" ref="AA66">IFERROR(SUMPRODUCT((Table1[Region]=AA$62)*(Table1[Group]=$A66)*(Table1[Avg_DCCH_50percDH])*(Table1[SumHD_TJ]/((AA52+AA59)*1000))),0)</f>
        <v>12.163822751322751</v>
      </c>
      <c r="AB66" s="26" cm="1">
        <f t="array" ref="AB66">IFERROR(SUMPRODUCT((Table1[Region]=AB$62)*(Table1[Group]=$A66)*(Table1[Avg_DCCH_50percDH])*(Table1[SumHD_TJ]/((AB52+AB59)*1000))),0)</f>
        <v>12.729979166666666</v>
      </c>
      <c r="AC66" s="26" cm="1">
        <f t="array" ref="AC66">IFERROR(SUMPRODUCT((Table1[Region]=AC$62)*(Table1[Group]=$A66)*(Table1[Avg_DCCH_50percDH])*(Table1[SumHD_TJ]/((AC52+AC59)*1000))),0)</f>
        <v>12.328911118856743</v>
      </c>
      <c r="AD66" s="26" cm="1">
        <f t="array" ref="AD66">IFERROR(SUMPRODUCT((Table1[Region]=AD$62)*(Table1[Group]=$A66)*(Table1[Avg_DCCH_50percDH])*(Table1[SumHD_TJ]/((AD52+AD59)*1000))),0)</f>
        <v>12.18051336332363</v>
      </c>
      <c r="AE66" s="26">
        <f t="shared" si="21"/>
        <v>12.177971699043084</v>
      </c>
    </row>
    <row r="67" spans="1:31">
      <c r="C67" s="25"/>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row>
    <row r="68" spans="1:31" ht="15">
      <c r="C68" s="23" t="s">
        <v>461</v>
      </c>
    </row>
    <row r="69" spans="1:31" ht="15.75" thickBot="1">
      <c r="C69" s="24" t="s">
        <v>0</v>
      </c>
      <c r="D69" s="24" t="s">
        <v>460</v>
      </c>
      <c r="E69" s="24" t="s">
        <v>433</v>
      </c>
      <c r="F69" s="24" t="s">
        <v>434</v>
      </c>
      <c r="G69" s="24" t="s">
        <v>435</v>
      </c>
      <c r="H69" s="24" t="s">
        <v>436</v>
      </c>
      <c r="I69" s="24" t="s">
        <v>437</v>
      </c>
      <c r="J69" s="24" t="s">
        <v>438</v>
      </c>
      <c r="K69" s="24" t="s">
        <v>439</v>
      </c>
      <c r="L69" s="24" t="s">
        <v>440</v>
      </c>
      <c r="M69" s="24" t="s">
        <v>441</v>
      </c>
      <c r="N69" s="24" t="s">
        <v>442</v>
      </c>
      <c r="O69" s="24" t="s">
        <v>443</v>
      </c>
      <c r="P69" s="24" t="s">
        <v>444</v>
      </c>
      <c r="Q69" s="24" t="s">
        <v>445</v>
      </c>
      <c r="R69" s="24" t="s">
        <v>446</v>
      </c>
      <c r="S69" s="24" t="s">
        <v>447</v>
      </c>
      <c r="T69" s="24" t="s">
        <v>448</v>
      </c>
      <c r="U69" s="24" t="s">
        <v>449</v>
      </c>
      <c r="V69" s="24" t="s">
        <v>450</v>
      </c>
      <c r="W69" s="24" t="s">
        <v>451</v>
      </c>
      <c r="X69" s="24" t="s">
        <v>452</v>
      </c>
      <c r="Y69" s="24" t="s">
        <v>453</v>
      </c>
      <c r="Z69" s="24" t="s">
        <v>454</v>
      </c>
      <c r="AA69" s="24" t="s">
        <v>455</v>
      </c>
      <c r="AB69" s="24" t="s">
        <v>456</v>
      </c>
      <c r="AC69" s="24" t="s">
        <v>457</v>
      </c>
      <c r="AD69" s="24" t="s">
        <v>458</v>
      </c>
      <c r="AE69" s="24" t="s">
        <v>463</v>
      </c>
    </row>
    <row r="70" spans="1:31">
      <c r="A70">
        <v>0</v>
      </c>
      <c r="C70" s="25" t="s">
        <v>469</v>
      </c>
      <c r="D70" s="26">
        <f>D63</f>
        <v>3.0407225378419636</v>
      </c>
      <c r="E70" s="26">
        <f t="shared" ref="E70:AD73" si="22">E63</f>
        <v>0</v>
      </c>
      <c r="F70" s="26">
        <f t="shared" si="22"/>
        <v>3.13</v>
      </c>
      <c r="G70" s="26">
        <f t="shared" si="22"/>
        <v>0</v>
      </c>
      <c r="H70" s="26">
        <f t="shared" si="22"/>
        <v>0</v>
      </c>
      <c r="I70" s="26">
        <f t="shared" si="22"/>
        <v>0</v>
      </c>
      <c r="J70" s="26">
        <f t="shared" si="22"/>
        <v>0</v>
      </c>
      <c r="K70" s="26">
        <f t="shared" si="22"/>
        <v>0</v>
      </c>
      <c r="L70" s="26">
        <f t="shared" si="22"/>
        <v>0</v>
      </c>
      <c r="M70" s="26">
        <f t="shared" si="22"/>
        <v>0</v>
      </c>
      <c r="N70" s="26">
        <f t="shared" si="22"/>
        <v>0</v>
      </c>
      <c r="O70" s="26">
        <f t="shared" si="22"/>
        <v>0</v>
      </c>
      <c r="P70" s="26">
        <f t="shared" si="22"/>
        <v>0</v>
      </c>
      <c r="Q70" s="26">
        <f t="shared" si="22"/>
        <v>0</v>
      </c>
      <c r="R70" s="26">
        <f t="shared" si="22"/>
        <v>2.94</v>
      </c>
      <c r="S70" s="26">
        <f t="shared" si="22"/>
        <v>0</v>
      </c>
      <c r="T70" s="26">
        <f t="shared" si="22"/>
        <v>3.23</v>
      </c>
      <c r="U70" s="26">
        <f t="shared" si="22"/>
        <v>0</v>
      </c>
      <c r="V70" s="26">
        <f t="shared" si="22"/>
        <v>2.4500000000000002</v>
      </c>
      <c r="W70" s="26">
        <f t="shared" si="22"/>
        <v>2.64</v>
      </c>
      <c r="X70" s="26">
        <f t="shared" si="22"/>
        <v>0</v>
      </c>
      <c r="Y70" s="26">
        <f t="shared" si="22"/>
        <v>0</v>
      </c>
      <c r="Z70" s="26">
        <f t="shared" si="22"/>
        <v>0</v>
      </c>
      <c r="AA70" s="26">
        <f t="shared" si="22"/>
        <v>0</v>
      </c>
      <c r="AB70" s="26">
        <f t="shared" si="22"/>
        <v>0</v>
      </c>
      <c r="AC70" s="26">
        <f t="shared" si="22"/>
        <v>0</v>
      </c>
      <c r="AD70" s="26">
        <f t="shared" si="22"/>
        <v>0</v>
      </c>
      <c r="AE70" s="26">
        <f>D70</f>
        <v>3.0407225378419636</v>
      </c>
    </row>
    <row r="71" spans="1:31">
      <c r="A71">
        <v>1</v>
      </c>
      <c r="C71" s="25" t="s">
        <v>470</v>
      </c>
      <c r="D71" s="26">
        <f t="shared" ref="D71:S73" si="23">D64</f>
        <v>3.2309865999024647</v>
      </c>
      <c r="E71" s="26">
        <f t="shared" si="23"/>
        <v>0</v>
      </c>
      <c r="F71" s="26">
        <f t="shared" si="23"/>
        <v>4.3617632297402631</v>
      </c>
      <c r="G71" s="26">
        <f t="shared" si="23"/>
        <v>2.4503708143830121</v>
      </c>
      <c r="H71" s="26">
        <f t="shared" si="23"/>
        <v>2.5445523687345375</v>
      </c>
      <c r="I71" s="26">
        <f t="shared" si="23"/>
        <v>2.5751231692870986</v>
      </c>
      <c r="J71" s="26">
        <f t="shared" si="23"/>
        <v>3.3725810638655869</v>
      </c>
      <c r="K71" s="26">
        <f t="shared" si="23"/>
        <v>2.7560777420153499</v>
      </c>
      <c r="L71" s="26">
        <f t="shared" si="23"/>
        <v>2.6909484008064073</v>
      </c>
      <c r="M71" s="26">
        <f t="shared" si="23"/>
        <v>2.8990957144788427</v>
      </c>
      <c r="N71" s="26">
        <f t="shared" si="23"/>
        <v>2.8066876372485012</v>
      </c>
      <c r="O71" s="26">
        <f t="shared" si="23"/>
        <v>3.2700493932794021</v>
      </c>
      <c r="P71" s="26">
        <f t="shared" si="23"/>
        <v>3.3485069137731882</v>
      </c>
      <c r="Q71" s="26">
        <f t="shared" si="23"/>
        <v>4.3774391001739978</v>
      </c>
      <c r="R71" s="26">
        <f t="shared" si="23"/>
        <v>3.2276063528415433</v>
      </c>
      <c r="S71" s="26">
        <f t="shared" si="23"/>
        <v>0</v>
      </c>
      <c r="T71" s="26">
        <f t="shared" si="22"/>
        <v>1.2500882629107981</v>
      </c>
      <c r="U71" s="26">
        <f t="shared" si="22"/>
        <v>4.2940457384750399</v>
      </c>
      <c r="V71" s="26">
        <f t="shared" si="22"/>
        <v>3.0074170765544208</v>
      </c>
      <c r="W71" s="26">
        <f t="shared" si="22"/>
        <v>3.6103879498534273</v>
      </c>
      <c r="X71" s="26">
        <f t="shared" si="22"/>
        <v>3.6</v>
      </c>
      <c r="Y71" s="26">
        <f t="shared" si="22"/>
        <v>2.9590503192848017</v>
      </c>
      <c r="Z71" s="26">
        <f t="shared" si="22"/>
        <v>3.7756996903069151</v>
      </c>
      <c r="AA71" s="26">
        <f t="shared" si="22"/>
        <v>2.917711210529728</v>
      </c>
      <c r="AB71" s="26">
        <f t="shared" si="22"/>
        <v>2.4883257598111537</v>
      </c>
      <c r="AC71" s="26">
        <f t="shared" si="22"/>
        <v>3.2851475570959323</v>
      </c>
      <c r="AD71" s="26">
        <f t="shared" si="22"/>
        <v>3.6058670880811783</v>
      </c>
      <c r="AE71" s="26">
        <f t="shared" ref="AE71:AE73" si="24">D71</f>
        <v>3.2309865999024647</v>
      </c>
    </row>
    <row r="72" spans="1:31">
      <c r="A72">
        <v>2</v>
      </c>
      <c r="C72" s="25" t="s">
        <v>471</v>
      </c>
      <c r="D72" s="26">
        <f t="shared" si="23"/>
        <v>5.675035529631022</v>
      </c>
      <c r="E72" s="26">
        <f t="shared" si="22"/>
        <v>4.0793470741361482</v>
      </c>
      <c r="F72" s="26">
        <f t="shared" si="22"/>
        <v>6.6593508137201018</v>
      </c>
      <c r="G72" s="26">
        <f t="shared" si="22"/>
        <v>5.9571859010047978</v>
      </c>
      <c r="H72" s="26">
        <f t="shared" si="22"/>
        <v>8.9177191151919875</v>
      </c>
      <c r="I72" s="26">
        <f t="shared" si="22"/>
        <v>5.2124891878904371</v>
      </c>
      <c r="J72" s="26">
        <f t="shared" si="22"/>
        <v>7.2922635177128647</v>
      </c>
      <c r="K72" s="26">
        <f t="shared" si="22"/>
        <v>5.6395863365716092</v>
      </c>
      <c r="L72" s="26">
        <f t="shared" si="22"/>
        <v>5.3160711763183865</v>
      </c>
      <c r="M72" s="26">
        <f t="shared" si="22"/>
        <v>5.7256993897458068</v>
      </c>
      <c r="N72" s="26">
        <f t="shared" si="22"/>
        <v>0</v>
      </c>
      <c r="O72" s="26">
        <f t="shared" si="22"/>
        <v>7.0201994752681536</v>
      </c>
      <c r="P72" s="26">
        <f t="shared" si="22"/>
        <v>5.8743219211859472</v>
      </c>
      <c r="Q72" s="26">
        <f t="shared" si="22"/>
        <v>7.9187124427092179</v>
      </c>
      <c r="R72" s="26">
        <f t="shared" si="22"/>
        <v>5.7904222976004593</v>
      </c>
      <c r="S72" s="26">
        <f t="shared" si="22"/>
        <v>3.7254368942816862</v>
      </c>
      <c r="T72" s="26">
        <f t="shared" si="22"/>
        <v>5.6967699368904174</v>
      </c>
      <c r="U72" s="26">
        <f t="shared" si="22"/>
        <v>6.0029456632556739</v>
      </c>
      <c r="V72" s="26">
        <f t="shared" si="22"/>
        <v>7.3234358676726643</v>
      </c>
      <c r="W72" s="26">
        <f t="shared" si="22"/>
        <v>5.6935064813222214</v>
      </c>
      <c r="X72" s="26">
        <f t="shared" si="22"/>
        <v>6.9997118816930151</v>
      </c>
      <c r="Y72" s="26">
        <f t="shared" si="22"/>
        <v>5.5836077916834883</v>
      </c>
      <c r="Z72" s="26">
        <f t="shared" si="22"/>
        <v>6.1848518886679926</v>
      </c>
      <c r="AA72" s="26">
        <f t="shared" si="22"/>
        <v>5.9208650917771024</v>
      </c>
      <c r="AB72" s="26">
        <f t="shared" si="22"/>
        <v>6.2626256245875371</v>
      </c>
      <c r="AC72" s="26">
        <f t="shared" si="22"/>
        <v>6.5033419417319021</v>
      </c>
      <c r="AD72" s="26">
        <f t="shared" si="22"/>
        <v>5.0329253428136109</v>
      </c>
      <c r="AE72" s="26">
        <f t="shared" si="24"/>
        <v>5.675035529631022</v>
      </c>
    </row>
    <row r="73" spans="1:31">
      <c r="A73">
        <v>3</v>
      </c>
      <c r="C73" s="25" t="s">
        <v>472</v>
      </c>
      <c r="D73" s="26">
        <f t="shared" si="23"/>
        <v>12.177971699043084</v>
      </c>
      <c r="E73" s="26">
        <f t="shared" si="22"/>
        <v>10.637242670799434</v>
      </c>
      <c r="F73" s="26">
        <f t="shared" si="22"/>
        <v>20.5</v>
      </c>
      <c r="G73" s="26">
        <f t="shared" si="22"/>
        <v>13.795917060677695</v>
      </c>
      <c r="H73" s="26">
        <f t="shared" si="22"/>
        <v>12.430990990990992</v>
      </c>
      <c r="I73" s="26">
        <f t="shared" si="22"/>
        <v>12.07431533537434</v>
      </c>
      <c r="J73" s="26">
        <f t="shared" si="22"/>
        <v>15.338120362737019</v>
      </c>
      <c r="K73" s="26">
        <f t="shared" si="22"/>
        <v>12.942052432928698</v>
      </c>
      <c r="L73" s="26">
        <f t="shared" si="22"/>
        <v>14.145046674445741</v>
      </c>
      <c r="M73" s="26">
        <f t="shared" si="22"/>
        <v>11.669644869610797</v>
      </c>
      <c r="N73" s="26">
        <f t="shared" si="22"/>
        <v>11.782901811805962</v>
      </c>
      <c r="O73" s="26">
        <f t="shared" si="22"/>
        <v>11.749842658746088</v>
      </c>
      <c r="P73" s="26">
        <f t="shared" si="22"/>
        <v>14.2956011196641</v>
      </c>
      <c r="Q73" s="26">
        <f t="shared" si="22"/>
        <v>13.219953343701402</v>
      </c>
      <c r="R73" s="26">
        <f t="shared" si="22"/>
        <v>9.9402787231755809</v>
      </c>
      <c r="S73" s="26">
        <f t="shared" si="22"/>
        <v>11.532456951797158</v>
      </c>
      <c r="T73" s="26">
        <f t="shared" si="22"/>
        <v>12.009080892480032</v>
      </c>
      <c r="U73" s="26">
        <f t="shared" si="22"/>
        <v>12.407495466908431</v>
      </c>
      <c r="V73" s="26">
        <f t="shared" si="22"/>
        <v>11.674048456428292</v>
      </c>
      <c r="W73" s="26">
        <f t="shared" si="22"/>
        <v>12.172261875461484</v>
      </c>
      <c r="X73" s="26">
        <f t="shared" si="22"/>
        <v>10.700547042052746</v>
      </c>
      <c r="Y73" s="26">
        <f t="shared" si="22"/>
        <v>13.994888631761647</v>
      </c>
      <c r="Z73" s="26">
        <f t="shared" si="22"/>
        <v>11.458100607111882</v>
      </c>
      <c r="AA73" s="26">
        <f t="shared" si="22"/>
        <v>12.163822751322751</v>
      </c>
      <c r="AB73" s="26">
        <f t="shared" si="22"/>
        <v>12.729979166666666</v>
      </c>
      <c r="AC73" s="26">
        <f t="shared" si="22"/>
        <v>12.328911118856743</v>
      </c>
      <c r="AD73" s="26">
        <f t="shared" si="22"/>
        <v>12.18051336332363</v>
      </c>
      <c r="AE73" s="26">
        <f t="shared" si="24"/>
        <v>12.177971699043084</v>
      </c>
    </row>
    <row r="75" spans="1:31" ht="15">
      <c r="C75" s="23" t="s">
        <v>462</v>
      </c>
    </row>
    <row r="76" spans="1:31" ht="15.75" thickBot="1">
      <c r="C76" s="24" t="s">
        <v>0</v>
      </c>
      <c r="D76" s="24" t="s">
        <v>460</v>
      </c>
      <c r="E76" s="24" t="s">
        <v>433</v>
      </c>
      <c r="F76" s="24" t="s">
        <v>434</v>
      </c>
      <c r="G76" s="24" t="s">
        <v>435</v>
      </c>
      <c r="H76" s="24" t="s">
        <v>436</v>
      </c>
      <c r="I76" s="24" t="s">
        <v>437</v>
      </c>
      <c r="J76" s="24" t="s">
        <v>438</v>
      </c>
      <c r="K76" s="24" t="s">
        <v>439</v>
      </c>
      <c r="L76" s="24" t="s">
        <v>440</v>
      </c>
      <c r="M76" s="24" t="s">
        <v>441</v>
      </c>
      <c r="N76" s="24" t="s">
        <v>442</v>
      </c>
      <c r="O76" s="24" t="s">
        <v>443</v>
      </c>
      <c r="P76" s="24" t="s">
        <v>444</v>
      </c>
      <c r="Q76" s="24" t="s">
        <v>445</v>
      </c>
      <c r="R76" s="24" t="s">
        <v>446</v>
      </c>
      <c r="S76" s="24" t="s">
        <v>447</v>
      </c>
      <c r="T76" s="24" t="s">
        <v>448</v>
      </c>
      <c r="U76" s="24" t="s">
        <v>449</v>
      </c>
      <c r="V76" s="24" t="s">
        <v>450</v>
      </c>
      <c r="W76" s="24" t="s">
        <v>451</v>
      </c>
      <c r="X76" s="24" t="s">
        <v>452</v>
      </c>
      <c r="Y76" s="24" t="s">
        <v>453</v>
      </c>
      <c r="Z76" s="24" t="s">
        <v>454</v>
      </c>
      <c r="AA76" s="24" t="s">
        <v>455</v>
      </c>
      <c r="AB76" s="24" t="s">
        <v>456</v>
      </c>
      <c r="AC76" s="24" t="s">
        <v>457</v>
      </c>
      <c r="AD76" s="24" t="s">
        <v>458</v>
      </c>
      <c r="AE76" s="24" t="s">
        <v>463</v>
      </c>
    </row>
    <row r="77" spans="1:31">
      <c r="A77">
        <v>0</v>
      </c>
      <c r="C77" s="25" t="s">
        <v>465</v>
      </c>
      <c r="D77" s="26">
        <f>D63*$A$5</f>
        <v>9.1221676135258903E-2</v>
      </c>
      <c r="E77" s="26"/>
      <c r="F77" s="26">
        <f>F63*$A$5</f>
        <v>9.3899999999999997E-2</v>
      </c>
      <c r="G77" s="26"/>
      <c r="H77" s="26"/>
      <c r="I77" s="26"/>
      <c r="J77" s="26"/>
      <c r="K77" s="26"/>
      <c r="L77" s="26"/>
      <c r="M77" s="26"/>
      <c r="N77" s="26"/>
      <c r="O77" s="26"/>
      <c r="P77" s="26"/>
      <c r="Q77" s="26"/>
      <c r="R77" s="26">
        <f>R63*$A$5</f>
        <v>8.8200000000000001E-2</v>
      </c>
      <c r="S77" s="26"/>
      <c r="T77" s="26">
        <f>T63*$A$5</f>
        <v>9.69E-2</v>
      </c>
      <c r="U77" s="26"/>
      <c r="V77" s="26">
        <f t="shared" ref="V77:W80" si="25">V63*$A$5</f>
        <v>7.3499999999999996E-2</v>
      </c>
      <c r="W77" s="26">
        <f t="shared" si="25"/>
        <v>7.9200000000000007E-2</v>
      </c>
      <c r="X77" s="26"/>
      <c r="Y77" s="26"/>
      <c r="Z77" s="26"/>
      <c r="AA77" s="26"/>
      <c r="AB77" s="26"/>
      <c r="AC77" s="26"/>
      <c r="AD77" s="26"/>
      <c r="AE77" s="26">
        <f>D77</f>
        <v>9.1221676135258903E-2</v>
      </c>
    </row>
    <row r="78" spans="1:31">
      <c r="A78">
        <v>1</v>
      </c>
      <c r="C78" s="25" t="s">
        <v>466</v>
      </c>
      <c r="D78" s="26">
        <f>D64*$A$5</f>
        <v>9.6929597997073944E-2</v>
      </c>
      <c r="E78" s="26"/>
      <c r="F78" s="26">
        <f>F64*$A$5</f>
        <v>0.13085289689220789</v>
      </c>
      <c r="G78" s="26">
        <f t="shared" ref="G78:Q78" si="26">G64*$A$5</f>
        <v>7.3511124431490354E-2</v>
      </c>
      <c r="H78" s="26">
        <f t="shared" si="26"/>
        <v>7.6336571062036118E-2</v>
      </c>
      <c r="I78" s="26">
        <f t="shared" si="26"/>
        <v>7.7253695078612961E-2</v>
      </c>
      <c r="J78" s="26">
        <f t="shared" si="26"/>
        <v>0.10117743191596761</v>
      </c>
      <c r="K78" s="26">
        <f t="shared" si="26"/>
        <v>8.2682332260460498E-2</v>
      </c>
      <c r="L78" s="26">
        <f t="shared" si="26"/>
        <v>8.072845202419221E-2</v>
      </c>
      <c r="M78" s="26">
        <f t="shared" si="26"/>
        <v>8.6972871434365273E-2</v>
      </c>
      <c r="N78" s="26">
        <f t="shared" si="26"/>
        <v>8.4200629117455031E-2</v>
      </c>
      <c r="O78" s="26">
        <f t="shared" si="26"/>
        <v>9.8101481798382059E-2</v>
      </c>
      <c r="P78" s="26">
        <f t="shared" si="26"/>
        <v>0.10045520741319565</v>
      </c>
      <c r="Q78" s="26">
        <f t="shared" si="26"/>
        <v>0.13132317300521992</v>
      </c>
      <c r="R78" s="26">
        <f>R64*$A$5</f>
        <v>9.682819058524629E-2</v>
      </c>
      <c r="S78" s="26"/>
      <c r="T78" s="26">
        <f>T64*$A$5</f>
        <v>3.7502647887323944E-2</v>
      </c>
      <c r="U78" s="26">
        <f>U64*$A$5</f>
        <v>0.12882137215425118</v>
      </c>
      <c r="V78" s="26">
        <f t="shared" si="25"/>
        <v>9.0222512296632626E-2</v>
      </c>
      <c r="W78" s="26">
        <f t="shared" si="25"/>
        <v>0.10831163849560281</v>
      </c>
      <c r="X78" s="26">
        <f t="shared" ref="X78:AD80" si="27">X64*$A$5</f>
        <v>0.108</v>
      </c>
      <c r="Y78" s="26">
        <f t="shared" si="27"/>
        <v>8.8771509578544044E-2</v>
      </c>
      <c r="Z78" s="26">
        <f t="shared" si="27"/>
        <v>0.11327099070920744</v>
      </c>
      <c r="AA78" s="26">
        <f t="shared" si="27"/>
        <v>8.7531336315891842E-2</v>
      </c>
      <c r="AB78" s="26">
        <f t="shared" si="27"/>
        <v>7.4649772794334601E-2</v>
      </c>
      <c r="AC78" s="26">
        <f t="shared" si="27"/>
        <v>9.8554426712877966E-2</v>
      </c>
      <c r="AD78" s="26">
        <f t="shared" si="27"/>
        <v>0.10817601264243534</v>
      </c>
      <c r="AE78" s="26">
        <f t="shared" ref="AE78:AE80" si="28">D78</f>
        <v>9.6929597997073944E-2</v>
      </c>
    </row>
    <row r="79" spans="1:31">
      <c r="A79">
        <v>2</v>
      </c>
      <c r="C79" s="25" t="s">
        <v>467</v>
      </c>
      <c r="D79" s="26">
        <f>D65*$A$5</f>
        <v>0.17025106588893066</v>
      </c>
      <c r="E79" s="26">
        <f>E65*$A$5</f>
        <v>0.12238041222408444</v>
      </c>
      <c r="F79" s="26">
        <f>F65*$A$5</f>
        <v>0.19978052441160304</v>
      </c>
      <c r="G79" s="26">
        <f t="shared" ref="G79:M80" si="29">G65*$A$5</f>
        <v>0.17871557703014393</v>
      </c>
      <c r="H79" s="26">
        <f t="shared" si="29"/>
        <v>0.26753157345575962</v>
      </c>
      <c r="I79" s="26">
        <f t="shared" si="29"/>
        <v>0.15637467563671312</v>
      </c>
      <c r="J79" s="26">
        <f t="shared" si="29"/>
        <v>0.21876790553138595</v>
      </c>
      <c r="K79" s="26">
        <f t="shared" si="29"/>
        <v>0.16918759009714826</v>
      </c>
      <c r="L79" s="26">
        <f t="shared" si="29"/>
        <v>0.1594821352895516</v>
      </c>
      <c r="M79" s="26">
        <f t="shared" si="29"/>
        <v>0.1717709816923742</v>
      </c>
      <c r="N79" s="26"/>
      <c r="O79" s="26">
        <f t="shared" ref="O79:Q80" si="30">O65*$A$5</f>
        <v>0.21060598425804461</v>
      </c>
      <c r="P79" s="26">
        <f t="shared" si="30"/>
        <v>0.17622965763557841</v>
      </c>
      <c r="Q79" s="26">
        <f t="shared" si="30"/>
        <v>0.23756137328127652</v>
      </c>
      <c r="R79" s="26">
        <f>R65*$A$5</f>
        <v>0.17371266892801376</v>
      </c>
      <c r="S79" s="26">
        <f>S65*$A$5</f>
        <v>0.11176310682845059</v>
      </c>
      <c r="T79" s="26">
        <f>T65*$A$5</f>
        <v>0.1709030981067125</v>
      </c>
      <c r="U79" s="26">
        <f>U65*$A$5</f>
        <v>0.18008836989767021</v>
      </c>
      <c r="V79" s="26">
        <f t="shared" si="25"/>
        <v>0.21970307603017991</v>
      </c>
      <c r="W79" s="26">
        <f t="shared" si="25"/>
        <v>0.17080519443966663</v>
      </c>
      <c r="X79" s="26">
        <f t="shared" si="27"/>
        <v>0.20999135645079045</v>
      </c>
      <c r="Y79" s="26">
        <f t="shared" si="27"/>
        <v>0.16750823375050464</v>
      </c>
      <c r="Z79" s="26">
        <f t="shared" si="27"/>
        <v>0.18554555666003977</v>
      </c>
      <c r="AA79" s="26">
        <f t="shared" si="27"/>
        <v>0.17762595275331305</v>
      </c>
      <c r="AB79" s="26">
        <f t="shared" si="27"/>
        <v>0.1878787687376261</v>
      </c>
      <c r="AC79" s="26">
        <f t="shared" si="27"/>
        <v>0.19510025825195706</v>
      </c>
      <c r="AD79" s="26">
        <f t="shared" si="27"/>
        <v>0.15098776028440833</v>
      </c>
      <c r="AE79" s="26">
        <f t="shared" si="28"/>
        <v>0.17025106588893066</v>
      </c>
    </row>
    <row r="80" spans="1:31">
      <c r="A80">
        <v>3</v>
      </c>
      <c r="C80" s="25" t="s">
        <v>468</v>
      </c>
      <c r="D80" s="26">
        <f>D66*$A$5</f>
        <v>0.36533915097129249</v>
      </c>
      <c r="E80" s="26">
        <f>E66*$A$5</f>
        <v>0.31911728012398299</v>
      </c>
      <c r="F80" s="26">
        <f>F66*$A$5</f>
        <v>0.61499999999999999</v>
      </c>
      <c r="G80" s="26">
        <f t="shared" si="29"/>
        <v>0.41387751182033083</v>
      </c>
      <c r="H80" s="26">
        <f t="shared" si="29"/>
        <v>0.37292972972972976</v>
      </c>
      <c r="I80" s="26">
        <f t="shared" si="29"/>
        <v>0.36222946006123019</v>
      </c>
      <c r="J80" s="26">
        <f t="shared" si="29"/>
        <v>0.46014361088211053</v>
      </c>
      <c r="K80" s="26">
        <f t="shared" si="29"/>
        <v>0.3882615729878609</v>
      </c>
      <c r="L80" s="26">
        <f t="shared" si="29"/>
        <v>0.4243514002333722</v>
      </c>
      <c r="M80" s="26">
        <f t="shared" si="29"/>
        <v>0.35008934608832393</v>
      </c>
      <c r="N80" s="26">
        <f>N66*$A$5</f>
        <v>0.35348705435417882</v>
      </c>
      <c r="O80" s="26">
        <f t="shared" si="30"/>
        <v>0.35249527976238265</v>
      </c>
      <c r="P80" s="26">
        <f t="shared" si="30"/>
        <v>0.42886803358992298</v>
      </c>
      <c r="Q80" s="26">
        <f t="shared" si="30"/>
        <v>0.39659860031104205</v>
      </c>
      <c r="R80" s="26">
        <f>R66*$A$5</f>
        <v>0.29820836169526743</v>
      </c>
      <c r="S80" s="26">
        <f>S66*$A$5</f>
        <v>0.34597370855391474</v>
      </c>
      <c r="T80" s="26">
        <f>T66*$A$5</f>
        <v>0.36027242677440097</v>
      </c>
      <c r="U80" s="26">
        <f>U66*$A$5</f>
        <v>0.37222486400725291</v>
      </c>
      <c r="V80" s="26">
        <f t="shared" si="25"/>
        <v>0.35022145369284874</v>
      </c>
      <c r="W80" s="26">
        <f t="shared" si="25"/>
        <v>0.36516785626384451</v>
      </c>
      <c r="X80" s="26">
        <f t="shared" si="27"/>
        <v>0.32101641126158237</v>
      </c>
      <c r="Y80" s="26">
        <f t="shared" si="27"/>
        <v>0.41984665895284939</v>
      </c>
      <c r="Z80" s="26">
        <f t="shared" si="27"/>
        <v>0.34374301821335645</v>
      </c>
      <c r="AA80" s="26">
        <f t="shared" si="27"/>
        <v>0.36491468253968251</v>
      </c>
      <c r="AB80" s="26">
        <f t="shared" si="27"/>
        <v>0.38189937499999999</v>
      </c>
      <c r="AC80" s="26">
        <f t="shared" si="27"/>
        <v>0.36986733356570228</v>
      </c>
      <c r="AD80" s="26">
        <f t="shared" si="27"/>
        <v>0.36541540089970892</v>
      </c>
      <c r="AE80" s="26">
        <f t="shared" si="28"/>
        <v>0.36533915097129249</v>
      </c>
    </row>
    <row r="81" spans="1:31">
      <c r="F81" s="3"/>
      <c r="G81" s="3"/>
      <c r="H81" s="3"/>
      <c r="I81" s="3"/>
      <c r="J81" s="3"/>
      <c r="K81" s="3"/>
    </row>
    <row r="82" spans="1:31" ht="15">
      <c r="C82" s="23" t="s">
        <v>462</v>
      </c>
    </row>
    <row r="83" spans="1:31" ht="15.75" thickBot="1">
      <c r="C83" s="24" t="s">
        <v>0</v>
      </c>
      <c r="D83" s="24" t="s">
        <v>460</v>
      </c>
      <c r="E83" s="24" t="s">
        <v>433</v>
      </c>
      <c r="F83" s="24" t="s">
        <v>434</v>
      </c>
      <c r="G83" s="24" t="s">
        <v>435</v>
      </c>
      <c r="H83" s="24" t="s">
        <v>436</v>
      </c>
      <c r="I83" s="24" t="s">
        <v>437</v>
      </c>
      <c r="J83" s="24" t="s">
        <v>438</v>
      </c>
      <c r="K83" s="24" t="s">
        <v>439</v>
      </c>
      <c r="L83" s="24" t="s">
        <v>440</v>
      </c>
      <c r="M83" s="24" t="s">
        <v>441</v>
      </c>
      <c r="N83" s="24" t="s">
        <v>442</v>
      </c>
      <c r="O83" s="24" t="s">
        <v>443</v>
      </c>
      <c r="P83" s="24" t="s">
        <v>444</v>
      </c>
      <c r="Q83" s="24" t="s">
        <v>445</v>
      </c>
      <c r="R83" s="24" t="s">
        <v>446</v>
      </c>
      <c r="S83" s="24" t="s">
        <v>447</v>
      </c>
      <c r="T83" s="24" t="s">
        <v>448</v>
      </c>
      <c r="U83" s="24" t="s">
        <v>449</v>
      </c>
      <c r="V83" s="24" t="s">
        <v>450</v>
      </c>
      <c r="W83" s="24" t="s">
        <v>451</v>
      </c>
      <c r="X83" s="24" t="s">
        <v>452</v>
      </c>
      <c r="Y83" s="24" t="s">
        <v>453</v>
      </c>
      <c r="Z83" s="24" t="s">
        <v>454</v>
      </c>
      <c r="AA83" s="24" t="s">
        <v>455</v>
      </c>
      <c r="AB83" s="24" t="s">
        <v>456</v>
      </c>
      <c r="AC83" s="24" t="s">
        <v>457</v>
      </c>
      <c r="AD83" s="24" t="s">
        <v>458</v>
      </c>
      <c r="AE83" s="24" t="s">
        <v>463</v>
      </c>
    </row>
    <row r="84" spans="1:31">
      <c r="A84">
        <v>0</v>
      </c>
      <c r="C84" s="25" t="s">
        <v>469</v>
      </c>
      <c r="D84" s="26">
        <f>D70*$A$5</f>
        <v>9.1221676135258903E-2</v>
      </c>
      <c r="E84" s="26"/>
      <c r="F84" s="26">
        <f>F70*$A$5</f>
        <v>9.3899999999999997E-2</v>
      </c>
      <c r="G84" s="26"/>
      <c r="H84" s="26"/>
      <c r="I84" s="26"/>
      <c r="J84" s="26"/>
      <c r="K84" s="26"/>
      <c r="L84" s="26"/>
      <c r="M84" s="26"/>
      <c r="N84" s="26"/>
      <c r="O84" s="26"/>
      <c r="P84" s="26"/>
      <c r="Q84" s="26"/>
      <c r="R84" s="26">
        <f>R70*$A$5</f>
        <v>8.8200000000000001E-2</v>
      </c>
      <c r="S84" s="26"/>
      <c r="T84" s="26">
        <f>T70*$A$5</f>
        <v>9.69E-2</v>
      </c>
      <c r="U84" s="26"/>
      <c r="V84" s="26">
        <f t="shared" ref="V84:W87" si="31">V70*$A$5</f>
        <v>7.3499999999999996E-2</v>
      </c>
      <c r="W84" s="26">
        <f t="shared" si="31"/>
        <v>7.9200000000000007E-2</v>
      </c>
      <c r="X84" s="26"/>
      <c r="Y84" s="26"/>
      <c r="Z84" s="26"/>
      <c r="AA84" s="26"/>
      <c r="AB84" s="26"/>
      <c r="AC84" s="26"/>
      <c r="AD84" s="26"/>
      <c r="AE84" s="26">
        <f>D84</f>
        <v>9.1221676135258903E-2</v>
      </c>
    </row>
    <row r="85" spans="1:31">
      <c r="A85">
        <v>1</v>
      </c>
      <c r="C85" s="25" t="s">
        <v>470</v>
      </c>
      <c r="D85" s="26">
        <f>D71*$A$5</f>
        <v>9.6929597997073944E-2</v>
      </c>
      <c r="E85" s="26"/>
      <c r="F85" s="26">
        <f>F71*$A$5</f>
        <v>0.13085289689220789</v>
      </c>
      <c r="G85" s="26">
        <f t="shared" ref="G85:Q85" si="32">G71*$A$5</f>
        <v>7.3511124431490354E-2</v>
      </c>
      <c r="H85" s="26">
        <f t="shared" si="32"/>
        <v>7.6336571062036118E-2</v>
      </c>
      <c r="I85" s="26">
        <f t="shared" si="32"/>
        <v>7.7253695078612961E-2</v>
      </c>
      <c r="J85" s="26">
        <f t="shared" si="32"/>
        <v>0.10117743191596761</v>
      </c>
      <c r="K85" s="26">
        <f t="shared" si="32"/>
        <v>8.2682332260460498E-2</v>
      </c>
      <c r="L85" s="26">
        <f t="shared" si="32"/>
        <v>8.072845202419221E-2</v>
      </c>
      <c r="M85" s="26">
        <f t="shared" si="32"/>
        <v>8.6972871434365273E-2</v>
      </c>
      <c r="N85" s="26">
        <f t="shared" si="32"/>
        <v>8.4200629117455031E-2</v>
      </c>
      <c r="O85" s="26">
        <f t="shared" si="32"/>
        <v>9.8101481798382059E-2</v>
      </c>
      <c r="P85" s="26">
        <f t="shared" si="32"/>
        <v>0.10045520741319565</v>
      </c>
      <c r="Q85" s="26">
        <f t="shared" si="32"/>
        <v>0.13132317300521992</v>
      </c>
      <c r="R85" s="26">
        <f>R71*$A$5</f>
        <v>9.682819058524629E-2</v>
      </c>
      <c r="S85" s="26"/>
      <c r="T85" s="26">
        <f>T71*$A$5</f>
        <v>3.7502647887323944E-2</v>
      </c>
      <c r="U85" s="26">
        <f>U71*$A$5</f>
        <v>0.12882137215425118</v>
      </c>
      <c r="V85" s="26">
        <f t="shared" si="31"/>
        <v>9.0222512296632626E-2</v>
      </c>
      <c r="W85" s="26">
        <f t="shared" si="31"/>
        <v>0.10831163849560281</v>
      </c>
      <c r="X85" s="26">
        <f t="shared" ref="X85:AD87" si="33">X71*$A$5</f>
        <v>0.108</v>
      </c>
      <c r="Y85" s="26">
        <f t="shared" si="33"/>
        <v>8.8771509578544044E-2</v>
      </c>
      <c r="Z85" s="26">
        <f t="shared" si="33"/>
        <v>0.11327099070920744</v>
      </c>
      <c r="AA85" s="26">
        <f t="shared" si="33"/>
        <v>8.7531336315891842E-2</v>
      </c>
      <c r="AB85" s="26">
        <f t="shared" si="33"/>
        <v>7.4649772794334601E-2</v>
      </c>
      <c r="AC85" s="26">
        <f t="shared" si="33"/>
        <v>9.8554426712877966E-2</v>
      </c>
      <c r="AD85" s="26">
        <f t="shared" si="33"/>
        <v>0.10817601264243534</v>
      </c>
      <c r="AE85" s="26">
        <f t="shared" ref="AE85:AE87" si="34">D85</f>
        <v>9.6929597997073944E-2</v>
      </c>
    </row>
    <row r="86" spans="1:31">
      <c r="A86">
        <v>2</v>
      </c>
      <c r="C86" s="25" t="s">
        <v>471</v>
      </c>
      <c r="D86" s="26">
        <f>D72*$A$5</f>
        <v>0.17025106588893066</v>
      </c>
      <c r="E86" s="26">
        <f>E72*$A$5</f>
        <v>0.12238041222408444</v>
      </c>
      <c r="F86" s="26">
        <f>F72*$A$5</f>
        <v>0.19978052441160304</v>
      </c>
      <c r="G86" s="26">
        <f t="shared" ref="G86:M87" si="35">G72*$A$5</f>
        <v>0.17871557703014393</v>
      </c>
      <c r="H86" s="26">
        <f t="shared" si="35"/>
        <v>0.26753157345575962</v>
      </c>
      <c r="I86" s="26">
        <f t="shared" si="35"/>
        <v>0.15637467563671312</v>
      </c>
      <c r="J86" s="26">
        <f t="shared" si="35"/>
        <v>0.21876790553138595</v>
      </c>
      <c r="K86" s="26">
        <f t="shared" si="35"/>
        <v>0.16918759009714826</v>
      </c>
      <c r="L86" s="26">
        <f t="shared" si="35"/>
        <v>0.1594821352895516</v>
      </c>
      <c r="M86" s="26">
        <f t="shared" si="35"/>
        <v>0.1717709816923742</v>
      </c>
      <c r="N86" s="26"/>
      <c r="O86" s="26">
        <f t="shared" ref="O86:Q87" si="36">O72*$A$5</f>
        <v>0.21060598425804461</v>
      </c>
      <c r="P86" s="26">
        <f t="shared" si="36"/>
        <v>0.17622965763557841</v>
      </c>
      <c r="Q86" s="26">
        <f t="shared" si="36"/>
        <v>0.23756137328127652</v>
      </c>
      <c r="R86" s="26">
        <f>R72*$A$5</f>
        <v>0.17371266892801376</v>
      </c>
      <c r="S86" s="26">
        <f>S72*$A$5</f>
        <v>0.11176310682845059</v>
      </c>
      <c r="T86" s="26">
        <f>T72*$A$5</f>
        <v>0.1709030981067125</v>
      </c>
      <c r="U86" s="26">
        <f>U72*$A$5</f>
        <v>0.18008836989767021</v>
      </c>
      <c r="V86" s="26">
        <f t="shared" si="31"/>
        <v>0.21970307603017991</v>
      </c>
      <c r="W86" s="26">
        <f t="shared" si="31"/>
        <v>0.17080519443966663</v>
      </c>
      <c r="X86" s="26">
        <f t="shared" si="33"/>
        <v>0.20999135645079045</v>
      </c>
      <c r="Y86" s="26">
        <f t="shared" si="33"/>
        <v>0.16750823375050464</v>
      </c>
      <c r="Z86" s="26">
        <f t="shared" si="33"/>
        <v>0.18554555666003977</v>
      </c>
      <c r="AA86" s="26">
        <f t="shared" si="33"/>
        <v>0.17762595275331305</v>
      </c>
      <c r="AB86" s="26">
        <f t="shared" si="33"/>
        <v>0.1878787687376261</v>
      </c>
      <c r="AC86" s="26">
        <f t="shared" si="33"/>
        <v>0.19510025825195706</v>
      </c>
      <c r="AD86" s="26">
        <f t="shared" si="33"/>
        <v>0.15098776028440833</v>
      </c>
      <c r="AE86" s="26">
        <f t="shared" si="34"/>
        <v>0.17025106588893066</v>
      </c>
    </row>
    <row r="87" spans="1:31">
      <c r="A87">
        <v>3</v>
      </c>
      <c r="C87" s="25" t="s">
        <v>472</v>
      </c>
      <c r="D87" s="26">
        <f>D73*$A$5</f>
        <v>0.36533915097129249</v>
      </c>
      <c r="E87" s="26">
        <f>E73*$A$5</f>
        <v>0.31911728012398299</v>
      </c>
      <c r="F87" s="26">
        <f>F73*$A$5</f>
        <v>0.61499999999999999</v>
      </c>
      <c r="G87" s="26">
        <f t="shared" si="35"/>
        <v>0.41387751182033083</v>
      </c>
      <c r="H87" s="26">
        <f t="shared" si="35"/>
        <v>0.37292972972972976</v>
      </c>
      <c r="I87" s="26">
        <f t="shared" si="35"/>
        <v>0.36222946006123019</v>
      </c>
      <c r="J87" s="26">
        <f t="shared" si="35"/>
        <v>0.46014361088211053</v>
      </c>
      <c r="K87" s="26">
        <f t="shared" si="35"/>
        <v>0.3882615729878609</v>
      </c>
      <c r="L87" s="26">
        <f t="shared" si="35"/>
        <v>0.4243514002333722</v>
      </c>
      <c r="M87" s="26">
        <f t="shared" si="35"/>
        <v>0.35008934608832393</v>
      </c>
      <c r="N87" s="26">
        <f>N73*$A$5</f>
        <v>0.35348705435417882</v>
      </c>
      <c r="O87" s="26">
        <f t="shared" si="36"/>
        <v>0.35249527976238265</v>
      </c>
      <c r="P87" s="26">
        <f t="shared" si="36"/>
        <v>0.42886803358992298</v>
      </c>
      <c r="Q87" s="26">
        <f t="shared" si="36"/>
        <v>0.39659860031104205</v>
      </c>
      <c r="R87" s="26">
        <f>R73*$A$5</f>
        <v>0.29820836169526743</v>
      </c>
      <c r="S87" s="26">
        <f>S73*$A$5</f>
        <v>0.34597370855391474</v>
      </c>
      <c r="T87" s="26">
        <f>T73*$A$5</f>
        <v>0.36027242677440097</v>
      </c>
      <c r="U87" s="26">
        <f>U73*$A$5</f>
        <v>0.37222486400725291</v>
      </c>
      <c r="V87" s="26">
        <f t="shared" si="31"/>
        <v>0.35022145369284874</v>
      </c>
      <c r="W87" s="26">
        <f t="shared" si="31"/>
        <v>0.36516785626384451</v>
      </c>
      <c r="X87" s="26">
        <f t="shared" si="33"/>
        <v>0.32101641126158237</v>
      </c>
      <c r="Y87" s="26">
        <f t="shared" si="33"/>
        <v>0.41984665895284939</v>
      </c>
      <c r="Z87" s="26">
        <f t="shared" si="33"/>
        <v>0.34374301821335645</v>
      </c>
      <c r="AA87" s="26">
        <f t="shared" si="33"/>
        <v>0.36491468253968251</v>
      </c>
      <c r="AB87" s="26">
        <f t="shared" si="33"/>
        <v>0.38189937499999999</v>
      </c>
      <c r="AC87" s="26">
        <f t="shared" si="33"/>
        <v>0.36986733356570228</v>
      </c>
      <c r="AD87" s="26">
        <f t="shared" si="33"/>
        <v>0.36541540089970892</v>
      </c>
      <c r="AE87" s="26">
        <f t="shared" si="34"/>
        <v>0.36533915097129249</v>
      </c>
    </row>
    <row r="88" spans="1:31">
      <c r="F88" s="3"/>
      <c r="G88" s="3"/>
      <c r="H88" s="3"/>
      <c r="I88" s="3"/>
      <c r="J88" s="3"/>
      <c r="K88" s="3"/>
    </row>
    <row r="89" spans="1:31">
      <c r="F89" s="3"/>
      <c r="G89" s="3"/>
      <c r="H89" s="3"/>
      <c r="I89" s="3"/>
      <c r="J89" s="3"/>
      <c r="K89" s="3"/>
    </row>
    <row r="90" spans="1:31">
      <c r="F90" s="3"/>
      <c r="G90" s="3"/>
      <c r="H90" s="3"/>
      <c r="I90" s="3"/>
      <c r="J90" s="3"/>
      <c r="K90" s="3"/>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sheetData>
  <mergeCells count="3">
    <mergeCell ref="D7:E7"/>
    <mergeCell ref="D32:E32"/>
    <mergeCell ref="AI7:AJ7"/>
  </mergeCells>
  <phoneticPr fontId="8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workbookViewId="0">
      <selection activeCell="O5" sqref="O5"/>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216" t="s">
        <v>527</v>
      </c>
      <c r="D4" s="216"/>
      <c r="E4" s="216"/>
      <c r="F4" s="216"/>
      <c r="G4" s="216"/>
      <c r="H4" s="47" t="s">
        <v>530</v>
      </c>
      <c r="I4" s="47" t="s">
        <v>522</v>
      </c>
      <c r="J4" s="47" t="s">
        <v>523</v>
      </c>
      <c r="K4" s="214" t="s">
        <v>531</v>
      </c>
      <c r="L4" s="215"/>
      <c r="M4" s="215"/>
      <c r="N4" s="215"/>
      <c r="O4" s="215"/>
      <c r="P4" s="215"/>
      <c r="Q4" s="215"/>
      <c r="R4" s="215"/>
      <c r="S4" s="215"/>
      <c r="T4" s="215"/>
      <c r="U4" s="214" t="s">
        <v>528</v>
      </c>
      <c r="V4" s="215"/>
      <c r="W4" s="215"/>
      <c r="X4" s="215"/>
      <c r="Y4" s="215"/>
      <c r="Z4" s="215"/>
      <c r="AA4" s="215"/>
      <c r="AB4" s="215"/>
      <c r="AC4" s="215"/>
      <c r="AD4" s="215"/>
      <c r="AE4" s="215"/>
      <c r="AF4" s="215"/>
      <c r="AG4" s="215"/>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election activeCell="B36" sqref="B36"/>
    </sheetView>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17" t="s">
        <v>896</v>
      </c>
      <c r="D1" s="217"/>
      <c r="E1" s="217"/>
      <c r="F1" s="217"/>
      <c r="G1" s="217"/>
      <c r="H1" s="217"/>
      <c r="I1" s="217"/>
      <c r="J1" s="217"/>
      <c r="K1" s="217"/>
      <c r="L1" s="217"/>
      <c r="M1" s="21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election activeCell="B44" sqref="B44"/>
    </sheetView>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217" t="s">
        <v>938</v>
      </c>
      <c r="D1" s="217"/>
      <c r="E1" s="217"/>
      <c r="F1" s="217"/>
      <c r="G1" s="217"/>
      <c r="H1" s="217"/>
      <c r="I1" s="217"/>
      <c r="J1" s="217"/>
      <c r="K1" s="217"/>
      <c r="L1" s="217"/>
      <c r="M1" s="217"/>
      <c r="N1" s="217"/>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topLeftCell="A2" workbookViewId="0">
      <selection activeCell="B48" sqref="B48"/>
    </sheetView>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17" t="s">
        <v>744</v>
      </c>
      <c r="D1" s="217"/>
      <c r="E1" s="217"/>
      <c r="F1" s="217"/>
      <c r="G1" s="217"/>
      <c r="H1" s="217"/>
      <c r="I1" s="217"/>
      <c r="J1" s="217"/>
      <c r="K1" s="217"/>
      <c r="L1" s="21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topLeftCell="A21" workbookViewId="0">
      <selection activeCell="B67" sqref="B67"/>
    </sheetView>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17" t="s">
        <v>712</v>
      </c>
      <c r="D1" s="217"/>
      <c r="E1" s="217"/>
      <c r="F1" s="217"/>
      <c r="G1" s="217"/>
      <c r="H1" s="217"/>
      <c r="I1" s="217"/>
      <c r="J1" s="217"/>
      <c r="K1" s="217"/>
      <c r="L1" s="217"/>
      <c r="M1" s="21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topLeftCell="A4" zoomScaleNormal="100" workbookViewId="0">
      <selection activeCell="B34" sqref="B34"/>
    </sheetView>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17" t="s">
        <v>949</v>
      </c>
      <c r="D1" s="217"/>
      <c r="E1" s="217"/>
      <c r="F1" s="217"/>
      <c r="G1" s="217"/>
      <c r="H1" s="217"/>
      <c r="I1" s="217"/>
      <c r="J1" s="217"/>
      <c r="K1" s="217"/>
      <c r="L1" s="217"/>
      <c r="M1" s="21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election activeCell="D8" sqref="D8"/>
    </sheetView>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217" t="s">
        <v>655</v>
      </c>
      <c r="D1" s="217"/>
      <c r="E1" s="217"/>
      <c r="F1" s="217"/>
      <c r="G1" s="217"/>
      <c r="H1" s="217"/>
      <c r="I1" s="217"/>
      <c r="J1" s="217"/>
      <c r="K1" s="217"/>
      <c r="L1" s="21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17" t="s">
        <v>716</v>
      </c>
      <c r="D1" s="217"/>
      <c r="E1" s="217"/>
      <c r="F1" s="217"/>
      <c r="G1" s="217"/>
      <c r="H1" s="217"/>
      <c r="I1" s="217"/>
      <c r="J1" s="217"/>
      <c r="K1" s="217"/>
      <c r="L1" s="217"/>
      <c r="M1" s="21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17" t="s">
        <v>952</v>
      </c>
      <c r="D1" s="217"/>
      <c r="E1" s="217"/>
      <c r="F1" s="217"/>
      <c r="G1" s="217"/>
      <c r="H1" s="217"/>
      <c r="I1" s="217"/>
      <c r="J1" s="217"/>
      <c r="K1" s="217"/>
      <c r="L1" s="217"/>
      <c r="M1" s="21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17" t="s">
        <v>940</v>
      </c>
      <c r="D1" s="217"/>
      <c r="E1" s="217"/>
      <c r="F1" s="217"/>
      <c r="G1" s="217"/>
      <c r="H1" s="217"/>
      <c r="I1" s="217"/>
      <c r="J1" s="217"/>
      <c r="K1" s="217"/>
      <c r="L1" s="217"/>
      <c r="M1" s="21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17" t="s">
        <v>929</v>
      </c>
      <c r="D1" s="217"/>
      <c r="E1" s="217"/>
      <c r="F1" s="217"/>
      <c r="G1" s="217"/>
      <c r="H1" s="217"/>
      <c r="I1" s="217"/>
      <c r="J1" s="217"/>
      <c r="K1" s="217"/>
      <c r="L1" s="21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17" t="s">
        <v>917</v>
      </c>
      <c r="D1" s="217"/>
      <c r="E1" s="217"/>
      <c r="F1" s="217"/>
      <c r="G1" s="217"/>
      <c r="H1" s="217"/>
      <c r="I1" s="217"/>
      <c r="J1" s="217"/>
      <c r="K1" s="217"/>
      <c r="L1" s="217"/>
      <c r="M1" s="21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17" t="s">
        <v>780</v>
      </c>
      <c r="D1" s="217"/>
      <c r="E1" s="217"/>
      <c r="F1" s="217"/>
      <c r="G1" s="217"/>
      <c r="H1" s="217"/>
      <c r="I1" s="217"/>
      <c r="J1" s="217"/>
      <c r="K1" s="217"/>
      <c r="L1" s="21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17" t="s">
        <v>845</v>
      </c>
      <c r="D1" s="217"/>
      <c r="E1" s="217"/>
      <c r="F1" s="217"/>
      <c r="G1" s="217"/>
      <c r="H1" s="217"/>
      <c r="I1" s="217"/>
      <c r="J1" s="217"/>
      <c r="K1" s="217"/>
      <c r="L1" s="21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election activeCell="L41" sqref="L41"/>
    </sheetView>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17" t="s">
        <v>810</v>
      </c>
      <c r="D1" s="217"/>
      <c r="E1" s="217"/>
      <c r="F1" s="217"/>
      <c r="G1" s="217"/>
      <c r="H1" s="217"/>
      <c r="I1" s="217"/>
      <c r="J1" s="217"/>
      <c r="K1" s="217"/>
      <c r="L1" s="21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activeCell="F31" sqref="F31"/>
    </sheetView>
  </sheetViews>
  <sheetFormatPr defaultRowHeight="12.75"/>
  <cols>
    <col min="1" max="1" width="34.42578125" customWidth="1"/>
    <col min="20" max="25" width="16.42578125" customWidth="1"/>
  </cols>
  <sheetData>
    <row r="1" spans="1:14">
      <c r="A1" s="219" t="s">
        <v>1065</v>
      </c>
      <c r="B1" s="221" t="s">
        <v>1066</v>
      </c>
      <c r="C1" s="222"/>
      <c r="D1" s="222"/>
      <c r="E1" s="222"/>
      <c r="F1" s="223"/>
      <c r="G1" s="221" t="s">
        <v>1067</v>
      </c>
      <c r="H1" s="222"/>
      <c r="I1" s="222"/>
      <c r="J1" s="222"/>
      <c r="K1" s="223"/>
    </row>
    <row r="2" spans="1:14" ht="13.5" thickBot="1">
      <c r="A2" s="220"/>
      <c r="B2" s="170" t="s">
        <v>1068</v>
      </c>
      <c r="C2" s="171" t="s">
        <v>1069</v>
      </c>
      <c r="D2" s="171" t="s">
        <v>1070</v>
      </c>
      <c r="E2" s="171" t="s">
        <v>1071</v>
      </c>
      <c r="F2" s="172" t="s">
        <v>1072</v>
      </c>
      <c r="G2" s="170" t="s">
        <v>1068</v>
      </c>
      <c r="H2" s="171" t="s">
        <v>1069</v>
      </c>
      <c r="I2" s="171" t="s">
        <v>1070</v>
      </c>
      <c r="J2" s="171" t="s">
        <v>1071</v>
      </c>
      <c r="K2" s="172" t="s">
        <v>1072</v>
      </c>
      <c r="M2" s="173"/>
    </row>
    <row r="3" spans="1:14">
      <c r="A3" s="174" t="s">
        <v>460</v>
      </c>
      <c r="B3" s="175">
        <f>SUM(C3:F3)</f>
        <v>113.577</v>
      </c>
      <c r="C3" s="176">
        <v>94.888999999999996</v>
      </c>
      <c r="D3" s="177">
        <v>2.831</v>
      </c>
      <c r="E3" s="177"/>
      <c r="F3" s="178">
        <v>15.856999999999999</v>
      </c>
      <c r="G3" s="175">
        <f>B3/3.6</f>
        <v>31.549166666666665</v>
      </c>
      <c r="H3" s="179">
        <f>C3/3.6</f>
        <v>26.358055555555552</v>
      </c>
      <c r="I3" s="179">
        <f>D3/3.6</f>
        <v>0.7863888888888888</v>
      </c>
      <c r="J3" s="179">
        <f>E3/3.6</f>
        <v>0</v>
      </c>
      <c r="K3" s="180">
        <f>F3/3.6</f>
        <v>4.4047222222222215</v>
      </c>
      <c r="M3" s="181"/>
      <c r="N3" s="182"/>
    </row>
    <row r="7" spans="1:14" ht="15">
      <c r="A7" s="218" t="s">
        <v>1069</v>
      </c>
      <c r="B7" s="218"/>
      <c r="C7" s="218"/>
      <c r="D7" s="218"/>
    </row>
    <row r="8" spans="1:14" ht="15">
      <c r="A8" s="183" t="s">
        <v>558</v>
      </c>
      <c r="B8" s="183">
        <v>2015</v>
      </c>
      <c r="C8" s="183">
        <v>2020</v>
      </c>
      <c r="D8" s="183">
        <v>2030</v>
      </c>
    </row>
    <row r="9" spans="1:14">
      <c r="A9" t="s">
        <v>1073</v>
      </c>
      <c r="C9">
        <v>31.9</v>
      </c>
      <c r="D9">
        <v>36.299999999999997</v>
      </c>
    </row>
    <row r="10" spans="1:14">
      <c r="A10" t="s">
        <v>1074</v>
      </c>
      <c r="C10" s="22">
        <v>0.4</v>
      </c>
      <c r="D10" s="22">
        <v>0.7</v>
      </c>
    </row>
    <row r="11" spans="1:14">
      <c r="A11" t="s">
        <v>1075</v>
      </c>
      <c r="C11">
        <f>C9*(1-C10)</f>
        <v>19.139999999999997</v>
      </c>
      <c r="D11">
        <f>D9*(1-D10)</f>
        <v>10.89</v>
      </c>
    </row>
    <row r="12" spans="1:14">
      <c r="A12" t="s">
        <v>1076</v>
      </c>
      <c r="C12" s="22">
        <v>0.5</v>
      </c>
      <c r="D12" s="22">
        <f>C12</f>
        <v>0.5</v>
      </c>
    </row>
    <row r="13" spans="1:14">
      <c r="A13" t="s">
        <v>1077</v>
      </c>
      <c r="C13" s="22">
        <v>0.4</v>
      </c>
      <c r="D13" s="22">
        <f>C13</f>
        <v>0.4</v>
      </c>
    </row>
    <row r="14" spans="1:14">
      <c r="A14" t="s">
        <v>1078</v>
      </c>
      <c r="C14" s="182">
        <f>(C11/C12)*C13</f>
        <v>15.311999999999998</v>
      </c>
      <c r="D14" s="182">
        <f>(D11/D12)*D13</f>
        <v>8.7120000000000015</v>
      </c>
    </row>
    <row r="15" spans="1:14">
      <c r="A15" t="s">
        <v>1079</v>
      </c>
      <c r="C15">
        <f>C14*3600</f>
        <v>55123.19999999999</v>
      </c>
      <c r="D15">
        <f>D14*3600</f>
        <v>31363.200000000004</v>
      </c>
    </row>
    <row r="16" spans="1:14">
      <c r="A16" t="s">
        <v>1080</v>
      </c>
      <c r="B16" s="182">
        <f>C3</f>
        <v>94.888999999999996</v>
      </c>
      <c r="C16" s="182">
        <f>C15/1000</f>
        <v>55.12319999999999</v>
      </c>
      <c r="D16" s="184">
        <f>D15/1000</f>
        <v>31.363200000000003</v>
      </c>
    </row>
    <row r="17" spans="1:22">
      <c r="B17" s="182"/>
      <c r="C17" s="182"/>
      <c r="D17" s="182"/>
    </row>
    <row r="18" spans="1:22" ht="15">
      <c r="A18" s="218" t="s">
        <v>1081</v>
      </c>
      <c r="B18" s="218"/>
      <c r="C18" s="218"/>
      <c r="D18" s="218"/>
    </row>
    <row r="19" spans="1:22" ht="15">
      <c r="A19" s="183" t="s">
        <v>558</v>
      </c>
      <c r="B19" s="183"/>
      <c r="C19" s="183">
        <v>2020</v>
      </c>
      <c r="D19" s="183">
        <v>2030</v>
      </c>
    </row>
    <row r="20" spans="1:22">
      <c r="A20" t="s">
        <v>1082</v>
      </c>
      <c r="C20">
        <f>C9*C10</f>
        <v>12.76</v>
      </c>
      <c r="D20">
        <f>D9*D10</f>
        <v>25.409999999999997</v>
      </c>
    </row>
    <row r="21" spans="1:22" ht="15">
      <c r="A21" t="s">
        <v>1083</v>
      </c>
      <c r="C21" s="185">
        <v>0.127</v>
      </c>
      <c r="D21" s="186">
        <v>0.1</v>
      </c>
    </row>
    <row r="22" spans="1:22">
      <c r="A22" t="s">
        <v>1084</v>
      </c>
      <c r="C22" s="26">
        <f>C21*(C20/(1-C21))</f>
        <v>1.8562657502863689</v>
      </c>
      <c r="D22" s="26">
        <f>D21*(D20/(1-D21))</f>
        <v>2.8233333333333328</v>
      </c>
    </row>
    <row r="23" spans="1:22">
      <c r="A23" t="s">
        <v>1085</v>
      </c>
      <c r="C23" s="107">
        <v>3</v>
      </c>
      <c r="D23">
        <v>3</v>
      </c>
    </row>
    <row r="24" spans="1:22">
      <c r="A24" t="s">
        <v>1086</v>
      </c>
      <c r="C24" s="26">
        <f>C23*C22</f>
        <v>5.5687972508591068</v>
      </c>
      <c r="D24" s="26">
        <f>D23*D22</f>
        <v>8.4699999999999989</v>
      </c>
    </row>
    <row r="25" spans="1:22">
      <c r="A25" t="s">
        <v>1087</v>
      </c>
      <c r="C25" s="107">
        <f>C24*3600</f>
        <v>20047.670103092783</v>
      </c>
      <c r="D25" s="107">
        <f>D24*3600</f>
        <v>30491.999999999996</v>
      </c>
    </row>
    <row r="26" spans="1:22">
      <c r="A26" t="s">
        <v>1088</v>
      </c>
      <c r="C26" s="182">
        <f>C25/1000</f>
        <v>20.047670103092784</v>
      </c>
      <c r="D26" s="184">
        <f>D25/1000</f>
        <v>30.491999999999997</v>
      </c>
    </row>
    <row r="28" spans="1:22" ht="15">
      <c r="A28" s="218" t="s">
        <v>1089</v>
      </c>
      <c r="B28" s="218"/>
      <c r="C28" s="218"/>
      <c r="D28" s="218"/>
    </row>
    <row r="29" spans="1:22" ht="60">
      <c r="A29" s="183" t="s">
        <v>558</v>
      </c>
      <c r="B29" s="183">
        <v>2015</v>
      </c>
      <c r="C29" s="183">
        <v>2020</v>
      </c>
      <c r="D29" s="183">
        <v>2030</v>
      </c>
      <c r="G29" s="187"/>
      <c r="H29" s="188"/>
      <c r="I29" s="189" t="s">
        <v>1090</v>
      </c>
      <c r="J29" s="189" t="s">
        <v>1091</v>
      </c>
      <c r="K29" s="189" t="s">
        <v>1092</v>
      </c>
      <c r="L29" s="189" t="s">
        <v>1093</v>
      </c>
      <c r="S29" t="s">
        <v>1094</v>
      </c>
    </row>
    <row r="30" spans="1:22" ht="15">
      <c r="A30" t="s">
        <v>1095</v>
      </c>
      <c r="B30">
        <v>18</v>
      </c>
      <c r="C30">
        <f>B30+60</f>
        <v>78</v>
      </c>
      <c r="D30">
        <f>C30+18.5</f>
        <v>96.5</v>
      </c>
      <c r="G30" s="187"/>
      <c r="H30" s="187" t="s">
        <v>1096</v>
      </c>
      <c r="I30" s="187" t="s">
        <v>1097</v>
      </c>
      <c r="J30" s="187" t="s">
        <v>1098</v>
      </c>
      <c r="K30" s="187" t="s">
        <v>1099</v>
      </c>
      <c r="L30" s="187" t="s">
        <v>1100</v>
      </c>
      <c r="S30" t="s">
        <v>1101</v>
      </c>
      <c r="T30" s="224" t="s">
        <v>1093</v>
      </c>
      <c r="U30" s="225"/>
      <c r="V30" s="225"/>
    </row>
    <row r="31" spans="1:22" ht="15">
      <c r="A31" t="s">
        <v>1102</v>
      </c>
      <c r="B31" s="22">
        <v>0.25</v>
      </c>
      <c r="C31" s="22">
        <f>B31</f>
        <v>0.25</v>
      </c>
      <c r="D31" s="22">
        <f>C31</f>
        <v>0.25</v>
      </c>
      <c r="G31" s="188" t="s">
        <v>1103</v>
      </c>
      <c r="H31" s="187">
        <v>311.65399600000001</v>
      </c>
      <c r="I31" s="187">
        <v>8845.3479520000001</v>
      </c>
      <c r="J31" s="187">
        <v>22461.807872000001</v>
      </c>
      <c r="K31" s="187">
        <v>28682.778717000001</v>
      </c>
      <c r="L31" s="187">
        <v>8653.6989190000004</v>
      </c>
      <c r="S31" t="s">
        <v>1104</v>
      </c>
      <c r="T31">
        <v>0.35792764326805798</v>
      </c>
    </row>
    <row r="32" spans="1:22" ht="15">
      <c r="A32" t="s">
        <v>1105</v>
      </c>
      <c r="B32" s="107">
        <f>B30/B31</f>
        <v>72</v>
      </c>
      <c r="C32" s="107">
        <f>C30/C31</f>
        <v>312</v>
      </c>
      <c r="D32" s="107">
        <f>D30/D31</f>
        <v>386</v>
      </c>
      <c r="G32" s="188" t="s">
        <v>1106</v>
      </c>
      <c r="H32" s="190">
        <v>2.9555506715861044E-3</v>
      </c>
      <c r="I32" s="191">
        <v>8.3884289678565108E-2</v>
      </c>
      <c r="J32" s="191">
        <v>0.21301511353355998</v>
      </c>
      <c r="K32" s="191">
        <v>0.2720112913295839</v>
      </c>
      <c r="L32" s="191">
        <v>8.2066798372623442E-2</v>
      </c>
      <c r="N32" s="192">
        <f>SUM(I32:L32)</f>
        <v>0.65097749291433249</v>
      </c>
      <c r="Q32" t="s">
        <v>1107</v>
      </c>
      <c r="S32" t="s">
        <v>1108</v>
      </c>
      <c r="T32">
        <v>0.5922178577259587</v>
      </c>
    </row>
    <row r="33" spans="1:22" ht="15">
      <c r="A33" t="s">
        <v>1109</v>
      </c>
      <c r="B33" s="22">
        <v>0.8</v>
      </c>
      <c r="C33" s="22">
        <f>B33</f>
        <v>0.8</v>
      </c>
      <c r="D33" s="22">
        <f>C33</f>
        <v>0.8</v>
      </c>
      <c r="G33" s="188" t="s">
        <v>1110</v>
      </c>
      <c r="H33" s="193"/>
      <c r="I33" s="193">
        <v>8</v>
      </c>
      <c r="J33" s="193">
        <v>6</v>
      </c>
      <c r="K33" s="193">
        <v>3.7</v>
      </c>
      <c r="L33" s="193">
        <v>1.9</v>
      </c>
      <c r="Q33" s="22">
        <v>0.65</v>
      </c>
      <c r="S33" t="s">
        <v>1111</v>
      </c>
      <c r="T33">
        <v>5.2470383697893502E-2</v>
      </c>
    </row>
    <row r="34" spans="1:22" ht="15">
      <c r="A34" t="s">
        <v>1112</v>
      </c>
      <c r="B34" s="22">
        <v>0.7</v>
      </c>
      <c r="C34" s="22">
        <f>B34</f>
        <v>0.7</v>
      </c>
      <c r="D34" s="22">
        <f>C34</f>
        <v>0.7</v>
      </c>
      <c r="G34" s="188" t="s">
        <v>1113</v>
      </c>
      <c r="H34" s="187"/>
      <c r="I34" s="187">
        <v>1387</v>
      </c>
      <c r="J34" s="187">
        <v>2642</v>
      </c>
      <c r="K34" s="187">
        <v>2080</v>
      </c>
      <c r="L34" s="187">
        <v>322</v>
      </c>
      <c r="S34" t="s">
        <v>1114</v>
      </c>
      <c r="T34">
        <f>I41*Q33*L32</f>
        <v>1.4264030225145681</v>
      </c>
      <c r="V34">
        <f>I41*(Q33/L32)</f>
        <v>211.79088674913027</v>
      </c>
    </row>
    <row r="35" spans="1:22" ht="15">
      <c r="A35" t="s">
        <v>1115</v>
      </c>
      <c r="B35" s="107">
        <f>(B32*8760*B33*B34)</f>
        <v>353203.19999999995</v>
      </c>
      <c r="C35" s="107">
        <f>(C32*8760*C33*C34)</f>
        <v>1530547.2</v>
      </c>
      <c r="D35" s="107">
        <f>(D32*8760*D33*D34)</f>
        <v>1893561.5999999999</v>
      </c>
      <c r="G35" s="188" t="s">
        <v>1116</v>
      </c>
      <c r="H35" s="187"/>
      <c r="I35" s="194">
        <f t="shared" ref="I35:K35" si="0">I34*110%</f>
        <v>1525.7</v>
      </c>
      <c r="J35" s="194">
        <f>J34*110%</f>
        <v>2906.2000000000003</v>
      </c>
      <c r="K35" s="194">
        <f t="shared" si="0"/>
        <v>2288</v>
      </c>
      <c r="L35" s="194">
        <f>L34*110%</f>
        <v>354.20000000000005</v>
      </c>
      <c r="S35" t="s">
        <v>1117</v>
      </c>
      <c r="T35" s="224" t="s">
        <v>1092</v>
      </c>
      <c r="U35" s="225"/>
      <c r="V35" s="225"/>
    </row>
    <row r="36" spans="1:22">
      <c r="A36" t="s">
        <v>1067</v>
      </c>
      <c r="B36" s="182">
        <f>B35/10^6</f>
        <v>0.35320319999999994</v>
      </c>
      <c r="C36" s="182">
        <f>C35/10^6</f>
        <v>1.5305472</v>
      </c>
      <c r="D36" s="182">
        <f>D35/10^6</f>
        <v>1.8935616</v>
      </c>
      <c r="G36" s="107"/>
      <c r="H36" s="107"/>
      <c r="I36" s="107"/>
      <c r="J36" s="107"/>
      <c r="K36" s="107"/>
      <c r="L36" s="107"/>
      <c r="S36" t="s">
        <v>1104</v>
      </c>
      <c r="T36">
        <v>0.31966635214720912</v>
      </c>
    </row>
    <row r="37" spans="1:22">
      <c r="A37" t="s">
        <v>1118</v>
      </c>
      <c r="B37" s="107">
        <f>B36*3600</f>
        <v>1271.5315199999998</v>
      </c>
      <c r="C37" s="107">
        <f>C36*3600</f>
        <v>5509.9699199999995</v>
      </c>
      <c r="D37" s="107">
        <f>D36*3600</f>
        <v>6816.8217599999998</v>
      </c>
      <c r="G37" s="107" t="s">
        <v>1119</v>
      </c>
      <c r="H37" s="107"/>
      <c r="I37" s="107"/>
      <c r="J37" s="107"/>
      <c r="K37" s="107"/>
      <c r="L37" s="107"/>
      <c r="S37" t="s">
        <v>1108</v>
      </c>
      <c r="T37">
        <v>0.60404221809878245</v>
      </c>
    </row>
    <row r="38" spans="1:22">
      <c r="A38" t="s">
        <v>1066</v>
      </c>
      <c r="B38" s="26">
        <f>B37/1000</f>
        <v>1.2715315199999997</v>
      </c>
      <c r="C38" s="26">
        <f>C37/1000</f>
        <v>5.5099699199999996</v>
      </c>
      <c r="D38" s="195">
        <f>D37/1000</f>
        <v>6.8168217599999998</v>
      </c>
      <c r="S38" t="s">
        <v>1111</v>
      </c>
      <c r="T38">
        <v>7.6291429754008364E-2</v>
      </c>
    </row>
    <row r="39" spans="1:22">
      <c r="G39" t="s">
        <v>1120</v>
      </c>
      <c r="M39">
        <v>2018</v>
      </c>
      <c r="S39" t="s">
        <v>1114</v>
      </c>
    </row>
    <row r="40" spans="1:22" ht="15">
      <c r="A40" s="218" t="s">
        <v>1072</v>
      </c>
      <c r="B40" s="218"/>
      <c r="C40" s="218"/>
      <c r="D40" s="218"/>
      <c r="F40" t="s">
        <v>1121</v>
      </c>
      <c r="G40" t="s">
        <v>1122</v>
      </c>
      <c r="I40">
        <v>101.7</v>
      </c>
      <c r="J40" t="s">
        <v>484</v>
      </c>
      <c r="L40" t="s">
        <v>1104</v>
      </c>
      <c r="M40">
        <v>4.6900000000000004</v>
      </c>
      <c r="N40" t="s">
        <v>484</v>
      </c>
    </row>
    <row r="41" spans="1:22" ht="15">
      <c r="A41" s="183" t="s">
        <v>558</v>
      </c>
      <c r="B41" s="183">
        <v>2015</v>
      </c>
      <c r="D41" s="183">
        <v>2030</v>
      </c>
      <c r="F41" t="s">
        <v>1123</v>
      </c>
      <c r="G41" t="s">
        <v>1124</v>
      </c>
      <c r="I41">
        <v>26.74</v>
      </c>
      <c r="J41" t="s">
        <v>484</v>
      </c>
      <c r="L41" t="s">
        <v>1108</v>
      </c>
      <c r="M41">
        <v>37.79</v>
      </c>
      <c r="N41" t="s">
        <v>484</v>
      </c>
      <c r="S41" t="s">
        <v>1125</v>
      </c>
      <c r="T41" s="224" t="s">
        <v>1126</v>
      </c>
      <c r="U41" s="225"/>
      <c r="V41" s="225"/>
    </row>
    <row r="42" spans="1:22" ht="15">
      <c r="A42" t="s">
        <v>1127</v>
      </c>
      <c r="B42" s="26">
        <f>F3</f>
        <v>15.856999999999999</v>
      </c>
      <c r="D42" s="196">
        <f>B42</f>
        <v>15.856999999999999</v>
      </c>
      <c r="I42">
        <f>SUM(I40:I41)</f>
        <v>128.44</v>
      </c>
      <c r="J42" t="s">
        <v>484</v>
      </c>
      <c r="L42" t="s">
        <v>1111</v>
      </c>
      <c r="M42">
        <v>59.22</v>
      </c>
      <c r="N42" t="s">
        <v>484</v>
      </c>
      <c r="S42" t="s">
        <v>1104</v>
      </c>
      <c r="T42">
        <v>0.20014125552486003</v>
      </c>
    </row>
    <row r="43" spans="1:22">
      <c r="S43" t="s">
        <v>1108</v>
      </c>
      <c r="T43">
        <v>0.54761388560430635</v>
      </c>
    </row>
    <row r="44" spans="1:22">
      <c r="S44" t="s">
        <v>1111</v>
      </c>
      <c r="T44">
        <v>0.25224485887083364</v>
      </c>
    </row>
    <row r="45" spans="1:22" ht="15">
      <c r="A45" s="218" t="s">
        <v>1128</v>
      </c>
      <c r="B45" s="218"/>
      <c r="C45" s="218"/>
      <c r="D45" s="218"/>
      <c r="S45" t="s">
        <v>1114</v>
      </c>
    </row>
    <row r="46" spans="1:22" ht="15">
      <c r="A46" s="183" t="s">
        <v>558</v>
      </c>
      <c r="B46" s="183">
        <v>2018</v>
      </c>
      <c r="C46" s="183">
        <v>2020</v>
      </c>
      <c r="D46" s="183">
        <v>2030</v>
      </c>
      <c r="F46" s="183" t="s">
        <v>1129</v>
      </c>
    </row>
    <row r="47" spans="1:22">
      <c r="A47" t="s">
        <v>1130</v>
      </c>
      <c r="B47">
        <v>400</v>
      </c>
      <c r="C47">
        <v>700</v>
      </c>
      <c r="D47">
        <v>1400</v>
      </c>
    </row>
    <row r="48" spans="1:22" ht="30" customHeight="1">
      <c r="A48" s="197" t="s">
        <v>1131</v>
      </c>
      <c r="B48" s="198">
        <v>0.5</v>
      </c>
      <c r="C48" s="198">
        <f>B48</f>
        <v>0.5</v>
      </c>
      <c r="D48" s="198">
        <f>C48</f>
        <v>0.5</v>
      </c>
    </row>
    <row r="49" spans="1:4">
      <c r="A49" t="s">
        <v>1132</v>
      </c>
      <c r="B49">
        <f>B48*B47</f>
        <v>200</v>
      </c>
      <c r="C49">
        <f t="shared" ref="C49:D49" si="1">C48*C47</f>
        <v>350</v>
      </c>
      <c r="D49">
        <f t="shared" si="1"/>
        <v>700</v>
      </c>
    </row>
    <row r="50" spans="1:4">
      <c r="A50" t="s">
        <v>1133</v>
      </c>
      <c r="B50" s="22">
        <v>1</v>
      </c>
      <c r="C50" s="22">
        <f>B50</f>
        <v>1</v>
      </c>
      <c r="D50" s="22">
        <f>C50</f>
        <v>1</v>
      </c>
    </row>
    <row r="51" spans="1:4">
      <c r="A51" t="s">
        <v>1134</v>
      </c>
      <c r="B51">
        <f>B49*B50*8760</f>
        <v>1752000</v>
      </c>
      <c r="C51">
        <f>C49*C50*8760</f>
        <v>3066000</v>
      </c>
      <c r="D51">
        <f>D49*D50*8760</f>
        <v>6132000</v>
      </c>
    </row>
    <row r="52" spans="1:4">
      <c r="A52" t="s">
        <v>1135</v>
      </c>
      <c r="B52" s="182">
        <f>B51/10^6</f>
        <v>1.752</v>
      </c>
      <c r="C52" s="182">
        <f>C51/10^6</f>
        <v>3.0659999999999998</v>
      </c>
      <c r="D52" s="182">
        <f>D51/10^6</f>
        <v>6.1319999999999997</v>
      </c>
    </row>
    <row r="53" spans="1:4">
      <c r="A53" t="s">
        <v>1136</v>
      </c>
      <c r="B53" s="107">
        <f>B52*3600</f>
        <v>6307.2</v>
      </c>
      <c r="C53" s="107">
        <f>C52*3600</f>
        <v>11037.599999999999</v>
      </c>
      <c r="D53" s="107">
        <f>D52*3600</f>
        <v>22075.199999999997</v>
      </c>
    </row>
    <row r="54" spans="1:4">
      <c r="A54" t="s">
        <v>1137</v>
      </c>
      <c r="B54" s="26">
        <f>B53/1000</f>
        <v>6.3071999999999999</v>
      </c>
      <c r="C54" s="26">
        <f>C53/1000</f>
        <v>11.037599999999999</v>
      </c>
      <c r="D54" s="195">
        <f>D53/1000</f>
        <v>22.075199999999999</v>
      </c>
    </row>
    <row r="58" spans="1:4" ht="15">
      <c r="A58" s="199" t="str">
        <f>A54</f>
        <v>Excess Heat Production (PJ)</v>
      </c>
      <c r="B58" s="199">
        <v>2020</v>
      </c>
      <c r="C58" s="199">
        <v>2030</v>
      </c>
    </row>
    <row r="59" spans="1:4" ht="60" customHeight="1">
      <c r="A59" s="169" t="str">
        <f>A7</f>
        <v>Power Plants</v>
      </c>
      <c r="B59" s="200">
        <f>C16</f>
        <v>55.12319999999999</v>
      </c>
      <c r="C59" s="200">
        <f>D16</f>
        <v>31.363200000000003</v>
      </c>
    </row>
    <row r="60" spans="1:4">
      <c r="A60" s="169" t="str">
        <f>A18</f>
        <v>Excess Renewable Electricity via Heat Pump</v>
      </c>
      <c r="B60" s="201">
        <f>C26</f>
        <v>20.047670103092784</v>
      </c>
      <c r="C60" s="201">
        <f>D26</f>
        <v>30.491999999999997</v>
      </c>
    </row>
    <row r="61" spans="1:4">
      <c r="A61" s="169" t="str">
        <f>A28</f>
        <v>Waste Incinteration</v>
      </c>
      <c r="B61" s="200">
        <f>C38</f>
        <v>5.5099699199999996</v>
      </c>
      <c r="C61" s="200">
        <f>D38</f>
        <v>6.8168217599999998</v>
      </c>
    </row>
    <row r="62" spans="1:4">
      <c r="A62" s="169" t="str">
        <f>A40</f>
        <v>Industrial Excess Heat</v>
      </c>
      <c r="B62" s="200">
        <f>B42</f>
        <v>15.856999999999999</v>
      </c>
      <c r="C62" s="200">
        <f>D42</f>
        <v>15.856999999999999</v>
      </c>
    </row>
    <row r="63" spans="1:4" ht="13.5" thickBot="1">
      <c r="A63" s="202" t="str">
        <f>A45</f>
        <v>Data Centres</v>
      </c>
      <c r="B63" s="203">
        <f>C54</f>
        <v>11.037599999999999</v>
      </c>
      <c r="C63" s="203">
        <f>D54</f>
        <v>22.075199999999999</v>
      </c>
    </row>
    <row r="64" spans="1:4" ht="15.75" thickTop="1">
      <c r="A64" s="204" t="s">
        <v>1068</v>
      </c>
      <c r="B64" s="205">
        <f>SUM(B59:B63)</f>
        <v>107.57544002309277</v>
      </c>
      <c r="C64" s="205">
        <f>SUM(C59:C63)</f>
        <v>106.60422175999999</v>
      </c>
    </row>
  </sheetData>
  <mergeCells count="11">
    <mergeCell ref="T30:V30"/>
    <mergeCell ref="T35:V35"/>
    <mergeCell ref="A40:D40"/>
    <mergeCell ref="T41:V41"/>
    <mergeCell ref="A45:D45"/>
    <mergeCell ref="A28:D28"/>
    <mergeCell ref="A1:A2"/>
    <mergeCell ref="B1:F1"/>
    <mergeCell ref="G1:K1"/>
    <mergeCell ref="A7:D7"/>
    <mergeCell ref="A18:D18"/>
  </mergeCells>
  <pageMargins left="0.7" right="0.7" top="0.75" bottom="0.75" header="0.3" footer="0.3"/>
  <drawing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17" t="s">
        <v>774</v>
      </c>
      <c r="D1" s="217"/>
      <c r="E1" s="217"/>
      <c r="F1" s="217"/>
      <c r="G1" s="217"/>
      <c r="H1" s="217"/>
      <c r="I1" s="217"/>
      <c r="J1" s="217"/>
      <c r="K1" s="217"/>
      <c r="L1" s="21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Cover</vt:lpstr>
      <vt:lpstr>Fuel Techs</vt:lpstr>
      <vt:lpstr>DH_ Supply</vt:lpstr>
      <vt:lpstr>DH_Storage</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2022-11-23T08:57:11Z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627875924110412</vt:r8>
  </property>
</Properties>
</file>