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2F404AF1-EE51-40A2-B9F0-D9DE32075CEC}" xr6:coauthVersionLast="45" xr6:coauthVersionMax="47" xr10:uidLastSave="{00000000-0000-0000-0000-000000000000}"/>
  <bookViews>
    <workbookView xWindow="-60" yWindow="-16320" windowWidth="29040" windowHeight="15840"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D59" i="5"/>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C69" i="5" s="1" a="1"/>
  <c r="AC69" i="5" s="1"/>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U69" i="5" s="1" a="1"/>
  <c r="U69" i="5" s="1"/>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M69" i="5" s="1" a="1"/>
  <c r="M69" i="5" s="1"/>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E69" i="5" s="1" a="1"/>
  <c r="E69" i="5" s="1"/>
  <c r="D55" i="5"/>
  <c r="AD54" i="5"/>
  <c r="AD68" i="5" s="1" a="1"/>
  <c r="AD68" i="5" s="1"/>
  <c r="AC54" i="5"/>
  <c r="AC68" i="5" s="1" a="1"/>
  <c r="AC68" i="5" s="1"/>
  <c r="AB54" i="5"/>
  <c r="AB68" i="5" s="1" a="1"/>
  <c r="AB68" i="5" s="1"/>
  <c r="AA54" i="5"/>
  <c r="AA68" i="5" s="1" a="1"/>
  <c r="AA68" i="5" s="1"/>
  <c r="Z54" i="5"/>
  <c r="Z68" i="5" s="1" a="1"/>
  <c r="Z68" i="5" s="1"/>
  <c r="Y54" i="5"/>
  <c r="Y68" i="5" s="1" a="1"/>
  <c r="Y68" i="5" s="1"/>
  <c r="X54" i="5"/>
  <c r="X68" i="5" s="1" a="1"/>
  <c r="X68" i="5" s="1"/>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P68" i="5" s="1" a="1"/>
  <c r="P68" i="5" s="1"/>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H68" i="5" s="1" a="1"/>
  <c r="H68" i="5" s="1"/>
  <c r="G54" i="5"/>
  <c r="G68" i="5" s="1" a="1"/>
  <c r="G68" i="5" s="1"/>
  <c r="F54" i="5"/>
  <c r="F68" i="5" s="1" a="1"/>
  <c r="F68" i="5" s="1"/>
  <c r="E54" i="5"/>
  <c r="E68" i="5" s="1" a="1"/>
  <c r="E68" i="5" s="1"/>
  <c r="D54" i="5"/>
  <c r="AD53" i="5"/>
  <c r="AD67" i="5" s="1" a="1"/>
  <c r="AD67" i="5" s="1"/>
  <c r="AC53" i="5"/>
  <c r="AC67" i="5" s="1" a="1"/>
  <c r="AC67" i="5" s="1"/>
  <c r="AB53" i="5"/>
  <c r="AB67" i="5" s="1" a="1"/>
  <c r="AB67" i="5" s="1"/>
  <c r="AA53" i="5"/>
  <c r="AA67" i="5" s="1" a="1"/>
  <c r="AA67" i="5" s="1"/>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S67" i="5" s="1" a="1"/>
  <c r="S67" i="5" s="1"/>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K67" i="5" s="1" a="1"/>
  <c r="K67" i="5" s="1"/>
  <c r="J53" i="5"/>
  <c r="J67" i="5" s="1" a="1"/>
  <c r="J67" i="5" s="1"/>
  <c r="I53" i="5"/>
  <c r="I67" i="5" s="1" a="1"/>
  <c r="I67" i="5" s="1"/>
  <c r="H53" i="5"/>
  <c r="H67" i="5" s="1" a="1"/>
  <c r="H67" i="5" s="1"/>
  <c r="G53" i="5"/>
  <c r="G67" i="5" s="1" a="1"/>
  <c r="G67" i="5" s="1"/>
  <c r="F53" i="5"/>
  <c r="F67" i="5" s="1" a="1"/>
  <c r="F67" i="5" s="1"/>
  <c r="E53" i="5"/>
  <c r="E67" i="5" s="1" a="1"/>
  <c r="E67" i="5" s="1"/>
  <c r="D53" i="5"/>
  <c r="AD52" i="5"/>
  <c r="AD66" i="5" s="1" a="1"/>
  <c r="AD66" i="5" s="1"/>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V66" i="5" s="1" a="1"/>
  <c r="V66" i="5" s="1"/>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N66" i="5" s="1" a="1"/>
  <c r="N66" i="5" s="1"/>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F66" i="5" s="1" a="1"/>
  <c r="F66" i="5" s="1"/>
  <c r="E52" i="5"/>
  <c r="E66" i="5" s="1" a="1"/>
  <c r="E66" i="5" s="1"/>
  <c r="D52" i="5"/>
  <c r="M21" i="9" l="1"/>
  <c r="P18" i="9"/>
  <c r="P19" i="9" s="1"/>
  <c r="P20" i="9" l="1"/>
  <c r="E5" i="26"/>
  <c r="C5" i="26" s="1"/>
  <c r="S23" i="9"/>
  <c r="S22" i="9"/>
  <c r="S20" i="9"/>
  <c r="S8" i="9"/>
  <c r="S9" i="9"/>
  <c r="S10" i="9"/>
  <c r="S11" i="9"/>
  <c r="S12" i="9"/>
  <c r="S13" i="9"/>
  <c r="S14" i="9"/>
  <c r="S15" i="9"/>
  <c r="S16" i="9"/>
  <c r="S17" i="9"/>
  <c r="S18" i="9"/>
  <c r="R20" i="9" s="1"/>
  <c r="S19" i="9"/>
  <c r="Q20" i="9"/>
  <c r="O20" i="9"/>
  <c r="N20" i="9"/>
  <c r="M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3" i="9" l="1"/>
  <c r="B23" i="9"/>
  <c r="C22" i="9"/>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R19" i="9"/>
  <c r="R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T19" i="9" l="1" a="1"/>
  <c r="T18" i="9" a="1"/>
  <c r="T18" i="9" s="1"/>
  <c r="Y16" i="9" l="1"/>
  <c r="C18" i="9"/>
  <c r="C19" i="9"/>
  <c r="Y15" i="9"/>
  <c r="Z14" i="9"/>
  <c r="Y14" i="9"/>
  <c r="I17" i="9"/>
  <c r="Q17" i="9"/>
  <c r="P17" i="9"/>
  <c r="O17" i="9"/>
  <c r="N17" i="9"/>
  <c r="U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J15" i="9"/>
  <c r="M16" i="9" s="1"/>
  <c r="I15" i="9"/>
  <c r="Z13" i="9"/>
  <c r="Y13" i="9"/>
  <c r="J12" i="9"/>
  <c r="C6" i="26" l="1"/>
  <c r="K5" i="26"/>
  <c r="D5" i="26"/>
  <c r="Y12" i="9"/>
  <c r="Z12" i="9"/>
  <c r="R13" i="9"/>
  <c r="R10" i="9"/>
  <c r="Q13" i="9"/>
  <c r="O13" i="9"/>
  <c r="N13" i="9"/>
  <c r="J13" i="9"/>
  <c r="M14" i="9" s="1"/>
  <c r="I13" i="9"/>
  <c r="Y9" i="9"/>
  <c r="Z9" i="9"/>
  <c r="R9" i="9"/>
  <c r="Q9" i="9"/>
  <c r="P9" i="9"/>
  <c r="O9" i="9"/>
  <c r="N9" i="9"/>
  <c r="I9" i="9"/>
  <c r="Z11" i="9"/>
  <c r="Y11" i="9"/>
  <c r="R12" i="9"/>
  <c r="P12" i="9"/>
  <c r="N12" i="9"/>
  <c r="I8" i="9"/>
  <c r="AD6" i="26" l="1"/>
  <c r="T19" i="9"/>
  <c r="R8" i="9"/>
  <c r="AD5" i="26" l="1"/>
  <c r="Q10" i="9"/>
  <c r="P8" i="9"/>
  <c r="Q8" i="9"/>
  <c r="J10" i="9" l="1"/>
  <c r="M11" i="9" s="1"/>
  <c r="U10" i="9" l="1"/>
  <c r="O10" i="9"/>
  <c r="N10" i="9"/>
  <c r="I10" i="9"/>
  <c r="U8" i="9"/>
  <c r="O8" i="9"/>
  <c r="N8" i="9"/>
  <c r="J8" i="9"/>
  <c r="Z8" i="9" l="1"/>
  <c r="Y8" i="9"/>
  <c r="Z10" i="9"/>
  <c r="Y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D81" i="5"/>
  <c r="AE81" i="5" s="1"/>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X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Refineries Surplus Heat Cost. Refiners is the largest industry waste heat.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<sst xmlns="http://schemas.openxmlformats.org/spreadsheetml/2006/main" count="4563" uniqueCount="1313">
  <si>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</si>
  <si>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</si>
  <si>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</si>
  <si>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</si>
  <si>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</si>
  <si>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</si>
  <si>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</si>
  <si>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</si>
  <si>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</si>
  <si>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</si>
  <si>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</si>
  <si>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</si>
  <si>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</si>
  <si>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</si>
  <si>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</si>
  <si>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</si>
  <si>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</si>
  <si>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</si>
  <si>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</si>
  <si>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</si>
  <si>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</si>
  <si>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</si>
  <si>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</si>
  <si>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</si>
  <si>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</si>
  <si>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</si>
  <si>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</si>
  <si>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</si>
  <si>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</si>
  <si>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</si>
  <si>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</si>
  <si>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</si>
  <si>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</si>
  <si>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</si>
  <si>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</si>
  <si>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</si>
  <si>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</si>
  <si>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</si>
  <si>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</si>
  <si>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</si>
  <si>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</si>
  <si>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</si>
  <si>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</si>
  <si>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</si>
  <si>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</si>
  <si>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</si>
  <si>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</si>
  <si>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</si>
  <si>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</si>
  <si>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</si>
  <si>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</si>
  <si>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</si>
  <si>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</si>
  <si>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</si>
  <si>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</si>
  <si>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</si>
  <si>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</si>
  <si>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</si>
  <si>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</si>
  <si>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</si>
  <si>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</si>
  <si>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</si>
  <si>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</si>
  <si>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</si>
  <si>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</si>
  <si>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</si>
  <si>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</si>
  <si>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</si>
  <si>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</si>
  <si>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</si>
  <si>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</si>
  <si>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</si>
  <si>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</si>
  <si>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</si>
  <si>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</si>
  <si>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</si>
  <si>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</si>
  <si>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</si>
  <si>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</si>
  <si>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</si>
  <si>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</si>
  <si>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</si>
  <si>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</si>
  <si>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</si>
  <si>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</si>
  <si>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</si>
  <si>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</si>
  <si>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</si>
  <si>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</si>
  <si>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</si>
  <si>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</si>
  <si>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</si>
  <si>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</si>
  <si>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</si>
  <si>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</si>
  <si>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</si>
  <si>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</si>
  <si>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</si>
  <si>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</si>
  <si>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</si>
  <si>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</si>
  <si>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</si>
  <si>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</si>
  <si>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</si>
  <si>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</si>
  <si>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</si>
  <si>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</si>
  <si>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</si>
  <si>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</si>
  <si>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</si>
  <si>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</si>
  <si>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</si>
  <si>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</si>
  <si>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</si>
  <si>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</si>
  <si>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</si>
  <si>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</si>
  <si>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</si>
  <si>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</si>
  <si>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</si>
  <si>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</si>
  <si>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</si>
  <si>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</si>
  <si>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</si>
  <si>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</si>
  <si>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</si>
  <si>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</si>
  <si>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</si>
  <si>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</si>
  <si>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</si>
  <si>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</si>
  <si>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</si>
  <si>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</si>
  <si>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</si>
  <si>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</si>
  <si>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</si>
  <si>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</si>
  <si>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</si>
  <si>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</si>
  <si>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</si>
  <si>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</si>
  <si>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</si>
  <si>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</si>
  <si>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</si>
  <si>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</si>
  <si>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</si>
  <si>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</si>
  <si>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</si>
  <si>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</si>
  <si>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</si>
  <si>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</si>
  <si>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</si>
  <si>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</si>
  <si>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</si>
  <si>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</si>
  <si>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</si>
  <si>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</si>
  <si>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</si>
  <si>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</si>
  <si>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</si>
  <si>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</si>
  <si>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</si>
  <si>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</si>
  <si>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</si>
  <si>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</si>
  <si>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</si>
  <si>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</si>
  <si>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</si>
  <si>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</si>
  <si>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</si>
  <si>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</si>
  <si>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</si>
  <si>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</si>
  <si>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</si>
  <si>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</si>
  <si>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</si>
  <si>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</si>
  <si>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</si>
  <si>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</si>
  <si>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</si>
  <si>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</si>
  <si>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</si>
  <si>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</si>
  <si>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</si>
  <si>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</si>
  <si>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</si>
  <si>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</si>
  <si>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</si>
  <si>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</si>
  <si>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</si>
  <si>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</si>
  <si>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</si>
  <si>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</si>
  <si>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</si>
  <si>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</si>
  <si>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</si>
  <si>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</si>
  <si>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</si>
  <si>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</si>
  <si>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</si>
  <si>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</si>
  <si>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</si>
  <si>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</si>
  <si>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</si>
  <si>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</si>
  <si>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</si>
  <si>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</si>
  <si>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</si>
  <si>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</si>
  <si>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</si>
  <si>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</si>
  <si>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</si>
  <si>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</si>
  <si>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</si>
  <si>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</si>
  <si>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</si>
  <si>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</si>
  <si>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</si>
  <si>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</si>
  <si>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</si>
  <si>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</si>
  <si>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</si>
  <si>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</si>
  <si>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</si>
  <si>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</si>
  <si>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</si>
  <si>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</si>
  <si>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</si>
  <si>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</si>
  <si>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</si>
  <si>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</si>
  <si>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</si>
  <si>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</si>
  <si>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</si>
  <si>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</si>
  <si>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</si>
  <si>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</si>
  <si>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</si>
  <si>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</si>
  <si>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</si>
  <si>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</si>
  <si>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</si>
  <si>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</si>
  <si>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</si>
  <si>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</si>
  <si>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</si>
  <si>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</si>
  <si>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</si>
  <si>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</si>
  <si>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</si>
  <si>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</si>
  <si>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</si>
  <si>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</si>
  <si>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</si>
  <si>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</si>
  <si>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</si>
  <si>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</si>
  <si>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</si>
  <si>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</si>
  <si>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</si>
  <si>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</si>
  <si>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</si>
  <si>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</si>
  <si>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</si>
  <si>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</si>
  <si>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</si>
  <si>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</si>
  <si>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</si>
  <si>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</si>
  <si>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</si>
  <si>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</si>
  <si>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</si>
  <si>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</si>
  <si>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</si>
  <si>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</si>
  <si>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</si>
  <si>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</si>
  <si>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</si>
  <si>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</si>
  <si>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</si>
  <si>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</si>
  <si>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</si>
  <si>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</si>
  <si>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</si>
  <si>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</si>
  <si>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</si>
  <si>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</si>
  <si>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</si>
  <si>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</si>
  <si>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</si>
  <si>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</si>
  <si>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</si>
  <si>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</si>
  <si>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</si>
  <si>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</si>
  <si>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</si>
  <si>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</si>
  <si>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</si>
  <si>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</si>
  <si>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</si>
  <si>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</si>
  <si>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</si>
  <si>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</si>
  <si>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</si>
  <si>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</si>
  <si>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</si>
  <si>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</si>
  <si>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</si>
  <si>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</si>
  <si>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</si>
  <si>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</si>
  <si>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</si>
  <si>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</si>
  <si>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</si>
  <si>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</si>
  <si>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</si>
  <si>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</si>
  <si>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</si>
  <si>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</si>
  <si>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</si>
  <si>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</si>
  <si>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</si>
  <si>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</si>
  <si>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</si>
  <si>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</si>
  <si>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</si>
  <si>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</si>
  <si>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</si>
  <si>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</si>
  <si>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</si>
  <si>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</si>
  <si>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</si>
  <si>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</si>
  <si>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</si>
  <si>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</si>
  <si>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</si>
  <si>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</si>
  <si>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</si>
  <si>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</si>
  <si>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</si>
  <si>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</si>
  <si>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</si>
  <si>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</si>
  <si>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</si>
  <si>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</si>
  <si>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</si>
  <si>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</si>
  <si>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</si>
  <si>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</si>
  <si>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</si>
  <si>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</si>
  <si>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</si>
  <si>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</si>
  <si>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</si>
  <si>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</si>
  <si>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</si>
  <si>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</si>
  <si>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</si>
  <si>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</si>
  <si>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</si>
  <si>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</si>
  <si>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</si>
  <si>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</si>
  <si>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</si>
  <si>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</si>
  <si>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</si>
  <si>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</si>
  <si>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</si>
  <si>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</si>
  <si>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</si>
  <si>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</si>
  <si>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</si>
  <si>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</si>
  <si>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</si>
  <si>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</si>
  <si>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</si>
  <si>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</si>
  <si>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</si>
  <si>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</si>
  <si>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</si>
  <si>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</si>
  <si>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</si>
  <si>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</si>
  <si>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</si>
  <si>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</si>
  <si>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</si>
  <si>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</si>
  <si>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</si>
  <si>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</si>
  <si>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</si>
  <si>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</si>
  <si>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</si>
  <si>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</si>
  <si>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</si>
  <si>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</si>
  <si>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</si>
  <si>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</si>
  <si>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</si>
  <si>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</si>
  <si>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</si>
  <si>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</si>
  <si>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</si>
  <si>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</si>
  <si>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</si>
  <si>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</si>
  <si>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</si>
  <si>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</si>
  <si>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</si>
  <si>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</si>
  <si>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</si>
  <si>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</si>
  <si>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</si>
  <si>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</si>
  <si>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</si>
  <si>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</si>
  <si>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</si>
  <si>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</si>
  <si>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</si>
  <si>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</si>
  <si>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</si>
  <si>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</si>
  <si>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</si>
  <si>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</si>
  <si>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</si>
  <si>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</si>
  <si>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</si>
  <si>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</si>
  <si>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</si>
  <si>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</si>
  <si>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</si>
  <si>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</si>
  <si>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</si>
  <si>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</si>
  <si>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</si>
  <si>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</si>
  <si>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</si>
  <si>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</si>
  <si>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</si>
  <si>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</si>
  <si>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</si>
  <si>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</si>
  <si>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</si>
  <si>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</si>
  <si>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</si>
  <si>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</si>
  <si>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</si>
  <si>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</si>
  <si>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</si>
  <si>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</si>
  <si>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</si>
  <si>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</si>
  <si>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</si>
  <si>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</si>
  <si>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</si>
  <si>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</si>
  <si>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</si>
  <si>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</si>
  <si>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</si>
  <si>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</si>
  <si>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</si>
  <si>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</si>
  <si>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</si>
  <si>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</si>
  <si>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</si>
  <si>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</si>
  <si>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</si>
  <si>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</si>
  <si>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</si>
  <si>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</si>
  <si>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</si>
  <si>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</si>
  <si>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</si>
  <si>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</si>
  <si>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</si>
  <si>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</si>
  <si>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</si>
  <si>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</si>
  <si>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</si>
  <si>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</si>
  <si>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</si>
  <si>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</si>
  <si>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</si>
  <si>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</si>
  <si>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</si>
  <si>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</si>
  <si>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</si>
  <si>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</si>
  <si>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</si>
  <si>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</si>
  <si>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</si>
  <si>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</si>
  <si>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</si>
  <si>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</si>
  <si>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</si>
  <si>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</si>
  <si>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</si>
  <si>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</si>
  <si>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</si>
  <si>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</si>
  <si>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</si>
  <si>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</si>
  <si>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</si>
  <si>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</si>
  <si>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</si>
  <si>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</si>
  <si>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</si>
  <si>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</si>
  <si>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</si>
  <si>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</si>
  <si>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</si>
  <si>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</si>
  <si>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</si>
  <si>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</si>
  <si>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</si>
  <si>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</si>
  <si>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</si>
  <si>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</si>
  <si>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</si>
  <si>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</si>
  <si>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</si>
  <si>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</si>
  <si>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</si>
  <si>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</si>
  <si>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</si>
  <si>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</si>
  <si>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</si>
  <si>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</si>
  <si>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</si>
  <si>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</si>
  <si>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</si>
  <si>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</si>
  <si>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</si>
  <si>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</si>
  <si>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</si>
  <si>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</si>
  <si>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</si>
  <si>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</si>
  <si>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</si>
  <si>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</si>
  <si>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</si>
  <si>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</si>
  <si>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</si>
  <si>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</si>
  <si>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</si>
  <si>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</si>
  <si>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</si>
  <si>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</si>
  <si>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</si>
  <si>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</si>
  <si>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</si>
  <si>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</si>
  <si>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</si>
  <si>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</si>
  <si>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</si>
  <si>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</si>
  <si>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</si>
  <si>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</si>
  <si>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</si>
  <si>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</si>
  <si>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</si>
  <si>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</si>
  <si>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</si>
  <si>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</si>
  <si>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</si>
  <si>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</si>
  <si>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</si>
  <si>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</si>
  <si>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</si>
  <si>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</si>
  <si>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</si>
  <si>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</si>
  <si>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</si>
  <si>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</si>
  <si>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</si>
  <si>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</si>
  <si>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</si>
  <si>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</si>
  <si>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</si>
  <si>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</si>
  <si>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</si>
  <si>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</si>
  <si>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</si>
  <si>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</si>
  <si>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</si>
  <si>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</si>
  <si>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</si>
  <si>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</si>
  <si>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</si>
  <si>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</si>
  <si>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</si>
  <si>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</si>
  <si>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</si>
  <si>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</si>
  <si>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</si>
  <si>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</si>
  <si>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</si>
  <si>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</si>
  <si>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</si>
  <si>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</si>
  <si>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</si>
  <si>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</si>
  <si>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</si>
  <si>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</si>
  <si>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</si>
  <si>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</si>
  <si>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</si>
  <si>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</si>
  <si>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</si>
  <si>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</si>
  <si>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</si>
  <si>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</si>
  <si>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</si>
  <si>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</si>
  <si>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</si>
  <si>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</si>
  <si>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</si>
  <si>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</si>
  <si>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</si>
  <si>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</si>
  <si>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</si>
  <si>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</si>
  <si>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</si>
  <si>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</si>
  <si>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</si>
  <si>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</si>
  <si>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</si>
  <si>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</si>
  <si>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</si>
  <si>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</si>
  <si>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</si>
  <si>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</si>
  <si>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</si>
  <si>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</si>
  <si>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</si>
  <si>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</si>
  <si>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</si>
  <si>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</si>
  <si>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</si>
  <si>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</si>
  <si>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</si>
  <si>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</si>
  <si>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</si>
  <si>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</si>
  <si>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</si>
  <si>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</si>
  <si>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</si>
  <si>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</si>
  <si>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</si>
  <si>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</si>
  <si>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</si>
  <si>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</si>
  <si>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</si>
  <si>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</si>
  <si>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</si>
  <si>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</si>
  <si>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</si>
  <si>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</si>
  <si>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</si>
  <si>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</si>
  <si>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</si>
  <si>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</si>
  <si>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</si>
  <si>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</si>
  <si>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</si>
  <si>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</si>
  <si>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</si>
  <si>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</si>
  <si>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</si>
  <si>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</si>
  <si>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</si>
  <si>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</si>
  <si>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</si>
  <si>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</si>
  <si>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</si>
  <si>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</si>
  <si>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</si>
  <si>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</si>
  <si>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</si>
  <si>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</si>
  <si>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</si>
  <si>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</si>
  <si>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</si>
  <si>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</si>
  <si>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</si>
  <si>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</si>
  <si>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</si>
  <si>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</si>
  <si>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</si>
  <si>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</si>
  <si>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</si>
  <si>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</si>
  <si>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</si>
  <si>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</si>
  <si>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</si>
  <si>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</si>
  <si>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</si>
  <si>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</si>
  <si>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</si>
  <si>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</si>
  <si>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</si>
  <si>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</si>
  <si>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</si>
  <si>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</si>
  <si>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</si>
  <si>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</si>
  <si>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</si>
  <si>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</si>
  <si>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</si>
  <si>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</si>
  <si>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</si>
  <si>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</si>
  <si>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</si>
  <si>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</si>
  <si>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</si>
  <si>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</si>
  <si>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</si>
  <si>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</si>
  <si>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</si>
  <si>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</si>
  <si>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</si>
  <si>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</si>
  <si>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</si>
  <si>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</si>
  <si>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</si>
  <si>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</si>
  <si>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</si>
  <si>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</si>
  <si>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</si>
  <si>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</si>
  <si>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</si>
  <si>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</si>
  <si>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</si>
  <si>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</si>
  <si>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</si>
  <si>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</si>
  <si>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</si>
  <si>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</si>
  <si>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</si>
  <si>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</si>
  <si>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</si>
  <si>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</si>
  <si>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</si>
  <si>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</si>
  <si>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</si>
  <si>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</si>
  <si>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</si>
  <si>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</si>
  <si>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</si>
  <si>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</si>
  <si>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</si>
  <si>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</si>
  <si>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</si>
  <si>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</si>
  <si>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</si>
  <si>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</si>
  <si>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</si>
  <si>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</si>
  <si>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</si>
  <si>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</si>
  <si>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</si>
  <si>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</si>
  <si>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</si>
  <si>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</si>
  <si>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</si>
  <si>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</si>
  <si>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</si>
  <si>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</si>
  <si>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</si>
  <si>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</si>
  <si>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</si>
  <si>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</si>
  <si>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</si>
  <si>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</si>
  <si>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</si>
  <si>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</si>
  <si>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</si>
  <si>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</si>
  <si>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</si>
  <si>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</si>
  <si>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</si>
  <si>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</si>
  <si>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</si>
  <si>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</si>
  <si>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</si>
  <si>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</si>
  <si>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</si>
  <si>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</si>
  <si>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</si>
  <si>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</si>
  <si>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</si>
  <si>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</si>
  <si>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</si>
  <si>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</si>
  <si>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</si>
  <si>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</si>
  <si>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</si>
  <si>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</si>
  <si>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</si>
  <si>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</si>
  <si>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</si>
  <si>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</si>
  <si>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</si>
  <si>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</si>
  <si>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</si>
  <si>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</si>
  <si>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</si>
  <si>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</si>
  <si>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</si>
  <si>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</si>
  <si>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</si>
  <si>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</si>
  <si>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</si>
  <si>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</si>
  <si>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</si>
  <si>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</si>
  <si>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</si>
  <si>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</si>
  <si>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</si>
  <si>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</si>
  <si>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</si>
  <si>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</si>
  <si>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</si>
  <si>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</si>
  <si>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</si>
  <si>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</si>
  <si>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</si>
  <si>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</si>
  <si>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</si>
  <si>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</si>
  <si>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</si>
  <si>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</si>
  <si>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</si>
  <si>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</si>
  <si>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</si>
  <si>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</si>
  <si>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</si>
  <si>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</si>
  <si>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</si>
  <si>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</si>
  <si>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</si>
  <si>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</si>
  <si>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</si>
  <si>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</si>
  <si>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</si>
  <si>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</si>
  <si>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</si>
  <si>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</si>
  <si>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</si>
  <si>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</si>
  <si>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</si>
  <si>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</si>
  <si>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</si>
  <si>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</si>
  <si>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</si>
  <si>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</si>
  <si>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</si>
  <si>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</si>
  <si>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</si>
  <si>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</si>
  <si>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</si>
  <si>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</si>
  <si>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</si>
  <si>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</si>
  <si>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</si>
  <si>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</si>
  <si>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</si>
  <si>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</si>
  <si>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</si>
  <si>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</si>
  <si>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</si>
  <si>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</si>
  <si>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</si>
  <si>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</si>
  <si>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</si>
  <si>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</si>
  <si>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</si>
  <si>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</si>
  <si>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</si>
  <si>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</si>
  <si>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</si>
  <si>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</si>
  <si>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</si>
  <si>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</si>
  <si>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</si>
  <si>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</si>
  <si>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</si>
  <si>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</si>
  <si>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</si>
  <si>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</si>
  <si>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</si>
  <si>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</si>
  <si>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</si>
  <si>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</si>
  <si>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</si>
  <si>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</si>
  <si>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</si>
  <si>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</si>
  <si>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</si>
  <si>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</si>
  <si>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</si>
  <si>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</si>
  <si>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</si>
  <si>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</si>
  <si>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</si>
  <si>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</si>
  <si>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</si>
  <si>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</si>
  <si>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</si>
  <si>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</si>
  <si>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</si>
  <si>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</si>
  <si>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</si>
  <si>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</si>
  <si>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</si>
  <si>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</si>
  <si>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</si>
  <si>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</si>
  <si>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</si>
  <si>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</si>
  <si>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</si>
  <si>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</si>
  <si>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</si>
  <si>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</si>
  <si>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</si>
  <si>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</si>
  <si>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</si>
  <si>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</si>
  <si>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</si>
  <si>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</si>
  <si>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</si>
  <si>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</si>
  <si>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</si>
  <si>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</si>
  <si>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</si>
  <si>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</si>
  <si>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</si>
  <si>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</si>
  <si>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</si>
  <si>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</si>
  <si>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</si>
  <si>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</si>
  <si>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</si>
  <si>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</si>
  <si>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</si>
  <si>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</si>
  <si>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</si>
  <si>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</si>
  <si>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</si>
  <si>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</si>
  <si>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</si>
  <si>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</si>
  <si>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</si>
  <si>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</si>
  <si>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</si>
  <si>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</si>
  <si>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</si>
  <si>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</si>
  <si>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</si>
  <si>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</si>
  <si>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</si>
  <si>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</si>
  <si>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</si>
  <si>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</si>
  <si>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</si>
  <si>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</si>
  <si>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</si>
  <si>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</si>
  <si>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</si>
  <si>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</si>
  <si>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</si>
  <si>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</si>
  <si>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</si>
  <si>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</si>
  <si>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</si>
  <si>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</si>
  <si>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</si>
  <si>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</si>
  <si>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</si>
  <si>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</si>
  <si>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</si>
  <si>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</si>
  <si>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</si>
  <si>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</si>
  <si>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</si>
  <si>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</si>
  <si>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</si>
  <si>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</si>
  <si>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</si>
  <si>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</si>
  <si>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</si>
  <si>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</si>
  <si>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</si>
  <si>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</si>
  <si>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</si>
  <si>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</si>
  <si>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</si>
  <si>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</si>
  <si>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</si>
  <si>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</si>
  <si>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</si>
  <si>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</si>
  <si>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</si>
  <si>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</si>
  <si>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</si>
  <si>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</si>
  <si>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</si>
  <si>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</si>
  <si>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</si>
  <si>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</si>
  <si>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</si>
  <si>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</si>
  <si>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</si>
  <si>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</si>
  <si>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</si>
  <si>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</si>
  <si>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</si>
  <si>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</si>
  <si>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</si>
  <si>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</si>
  <si>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</si>
  <si>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</si>
  <si>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</si>
  <si>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</si>
  <si>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</si>
  <si>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</si>
  <si>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</si>
  <si>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</si>
  <si>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</si>
  <si>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</si>
  <si>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</si>
  <si>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</si>
  <si>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</si>
  <si>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</si>
  <si>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</si>
  <si>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</si>
  <si>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</si>
  <si>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</si>
  <si>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</si>
  <si>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</si>
  <si>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</si>
  <si>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</si>
  <si>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</si>
  <si>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</si>
  <si>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</si>
  <si>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</si>
  <si>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</si>
  <si>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</si>
  <si>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</si>
  <si>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</si>
  <si>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</si>
  <si>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</si>
  <si>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</si>
  <si>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</si>
  <si>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</si>
  <si>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</si>
  <si>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</si>
  <si>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</si>
  <si>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</si>
  <si>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</si>
  <si>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</si>
  <si>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</si>
  <si>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</si>
  <si>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</si>
  <si>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</si>
  <si>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</si>
  <si>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</si>
  <si>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</si>
  <si>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</si>
  <si>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</si>
  <si>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</si>
  <si>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</si>
  <si>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</si>
  <si>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</si>
  <si>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</si>
  <si>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</si>
  <si>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</si>
  <si>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</si>
  <si>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</si>
  <si>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</si>
  <si>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</si>
  <si>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</si>
  <si>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</si>
  <si>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</si>
  <si>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</si>
  <si>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</si>
  <si>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</si>
  <si>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</si>
  <si>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</si>
  <si>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</si>
  <si>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</si>
  <si>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</si>
  <si>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</si>
  <si>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</si>
  <si>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</si>
  <si>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</si>
  <si>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</si>
  <si>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</si>
  <si>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</si>
  <si>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</si>
  <si>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</si>
  <si>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</si>
  <si>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</si>
  <si>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</si>
  <si>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</si>
  <si>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</si>
  <si>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</si>
  <si>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</si>
  <si>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</si>
  <si>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</si>
  <si>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</si>
  <si>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</si>
  <si>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</si>
  <si>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</si>
  <si>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</si>
  <si>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</si>
  <si>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</si>
  <si>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</si>
  <si>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</si>
  <si>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</si>
  <si>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</si>
  <si>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</si>
  <si>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</si>
  <si>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</si>
  <si>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</si>
  <si>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</si>
  <si>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</si>
  <si>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</si>
  <si>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</si>
  <si>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</si>
  <si>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</si>
  <si>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</si>
  <si>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</si>
  <si>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</si>
  <si>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</si>
  <si>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</si>
  <si>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</si>
  <si>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</si>
  <si>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</si>
  <si>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</si>
  <si>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</si>
  <si>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</si>
  <si>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</si>
  <si>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</si>
  <si>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</si>
  <si>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</si>
  <si>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</si>
  <si>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</si>
  <si>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</si>
  <si>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</si>
  <si>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</si>
  <si>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</si>
  <si>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</si>
  <si>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</si>
  <si>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</si>
  <si>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</si>
  <si>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</si>
  <si>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</si>
  <si>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</si>
  <si>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</si>
  <si>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</si>
  <si>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</si>
  <si>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</si>
  <si>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</si>
  <si>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</si>
  <si>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</si>
  <si>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</si>
  <si>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</si>
  <si>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</si>
  <si>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</si>
  <si>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</si>
  <si>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YES</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</si>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</sst>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1">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173" fontId="22" fillId="4" borderId="26" xfId="2872"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39" fillId="13" borderId="31" xfId="18" applyBorder="1" applyAlignment="1">
      <alignment horizontal="left"/>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0" fontId="14" fillId="2" borderId="1" xfId="0" applyFont="1" applyFill="1" applyBorder="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06" t="s">
        <v>2</v>
      </c>
      <c r="B16" s="306"/>
      <c r="C16" s="306"/>
      <c r="D16" s="306"/>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05" t="s">
        <v>14</v>
      </c>
      <c r="C19" s="305"/>
      <c r="D19" s="305"/>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05" t="s">
        <v>15</v>
      </c>
      <c r="C20" s="305"/>
      <c r="D20" s="305"/>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05" t="s">
        <v>17</v>
      </c>
      <c r="C23" s="305"/>
      <c r="D23" s="305"/>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05" t="s">
        <v>18</v>
      </c>
      <c r="C24" s="305"/>
      <c r="D24" s="305"/>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05" t="s">
        <v>17</v>
      </c>
      <c r="C26" s="305"/>
      <c r="D26" s="305"/>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05" t="s">
        <v>18</v>
      </c>
      <c r="C27" s="305"/>
      <c r="D27" s="305"/>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07" t="s">
        <v>10</v>
      </c>
      <c r="C30" s="305"/>
      <c r="D30" s="305"/>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05" t="s">
        <v>12</v>
      </c>
      <c r="C31" s="305"/>
      <c r="D31" s="305"/>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7" t="str" cm="1">
        <f t="array" ref="C3">INDEX(C5:C7,$A$4)</f>
        <v>IE</v>
      </c>
      <c r="D3" s="207" t="str" cm="1">
        <f t="array" ref="D3">INDEX(D5:D7,$A$4)</f>
        <v>National</v>
      </c>
      <c r="E3" s="207" t="str" cm="1">
        <f t="array" ref="E3">INDEX(E5:E7,$A$4)</f>
        <v>IE-CW</v>
      </c>
      <c r="F3" s="207" t="str" cm="1">
        <f t="array" ref="F3">INDEX(F5:F7,$A$4)</f>
        <v>IE-D</v>
      </c>
      <c r="G3" s="207" t="str" cm="1">
        <f t="array" ref="G3">INDEX(G5:G7,$A$4)</f>
        <v>IE-KE</v>
      </c>
      <c r="H3" s="207" t="str" cm="1">
        <f t="array" ref="H3">INDEX(H5:H7,$A$4)</f>
        <v>IE-KK</v>
      </c>
      <c r="I3" s="207" t="str" cm="1">
        <f t="array" ref="I3">INDEX(I5:I7,$A$4)</f>
        <v>IE-LS</v>
      </c>
      <c r="J3" s="207" t="str" cm="1">
        <f t="array" ref="J3">INDEX(J5:J7,$A$4)</f>
        <v>IE-LD</v>
      </c>
      <c r="K3" s="207" t="str" cm="1">
        <f t="array" ref="K3">INDEX(K5:K7,$A$4)</f>
        <v>IE-LH</v>
      </c>
      <c r="L3" s="207" t="str" cm="1">
        <f t="array" ref="L3">INDEX(L5:L7,$A$4)</f>
        <v>IE-MH</v>
      </c>
      <c r="M3" s="207" t="str" cm="1">
        <f t="array" ref="M3">INDEX(M5:M7,$A$4)</f>
        <v>IE-OY</v>
      </c>
      <c r="N3" s="207" t="str" cm="1">
        <f t="array" ref="N3">INDEX(N5:N7,$A$4)</f>
        <v>IE-WH</v>
      </c>
      <c r="O3" s="207" t="str" cm="1">
        <f t="array" ref="O3">INDEX(O5:O7,$A$4)</f>
        <v>IE-WX</v>
      </c>
      <c r="P3" s="207" t="str" cm="1">
        <f t="array" ref="P3">INDEX(P5:P7,$A$4)</f>
        <v>IE-WW</v>
      </c>
      <c r="Q3" s="207" t="str" cm="1">
        <f t="array" ref="Q3">INDEX(Q5:Q7,$A$4)</f>
        <v>IE-CE</v>
      </c>
      <c r="R3" s="207" t="str" cm="1">
        <f t="array" ref="R3">INDEX(R5:R7,$A$4)</f>
        <v>IE-CO</v>
      </c>
      <c r="S3" s="207" t="str" cm="1">
        <f t="array" ref="S3">INDEX(S5:S7,$A$4)</f>
        <v>IE-KY</v>
      </c>
      <c r="T3" s="207" t="str" cm="1">
        <f t="array" ref="T3">INDEX(T5:T7,$A$4)</f>
        <v>IE-LK</v>
      </c>
      <c r="U3" s="207" t="str" cm="1">
        <f t="array" ref="U3">INDEX(U5:U7,$A$4)</f>
        <v>IE-TA</v>
      </c>
      <c r="V3" s="207" t="str" cm="1">
        <f t="array" ref="V3">INDEX(V5:V7,$A$4)</f>
        <v>IE-WD</v>
      </c>
      <c r="W3" s="207" t="str" cm="1">
        <f t="array" ref="W3">INDEX(W5:W7,$A$4)</f>
        <v>IE-G</v>
      </c>
      <c r="X3" s="207" t="str" cm="1">
        <f t="array" ref="X3">INDEX(X5:X7,$A$4)</f>
        <v>IE-LM</v>
      </c>
      <c r="Y3" s="207" t="str" cm="1">
        <f t="array" ref="Y3">INDEX(Y5:Y7,$A$4)</f>
        <v>IE-MO</v>
      </c>
      <c r="Z3" s="207" t="str" cm="1">
        <f t="array" ref="Z3">INDEX(Z5:Z7,$A$4)</f>
        <v>IE-RN</v>
      </c>
      <c r="AA3" s="207" t="str" cm="1">
        <f t="array" ref="AA3">INDEX(AA5:AA7,$A$4)</f>
        <v>IE-SO</v>
      </c>
      <c r="AB3" s="207" t="str" cm="1">
        <f t="array" ref="AB3">INDEX(AB5:AB7,$A$4)</f>
        <v>IE-CN</v>
      </c>
      <c r="AC3" s="207" t="str" cm="1">
        <f t="array" ref="AC3">INDEX(AC5:AC7,$A$4)</f>
        <v>IE-DL</v>
      </c>
      <c r="AD3" s="207" t="str" cm="1">
        <f t="array" ref="AD3">INDEX(AD5:AD7,$A$4)</f>
        <v>IE-MN</v>
      </c>
    </row>
    <row r="4" spans="1:30">
      <c r="A4">
        <v>1</v>
      </c>
    </row>
    <row r="5" spans="1:30" ht="15">
      <c r="A5" t="s">
        <v>1151</v>
      </c>
      <c r="C5" s="208" t="s">
        <v>460</v>
      </c>
      <c r="D5" s="208" t="s">
        <v>463</v>
      </c>
      <c r="E5" s="207" t="s">
        <v>433</v>
      </c>
      <c r="F5" s="207" t="s">
        <v>434</v>
      </c>
      <c r="G5" s="207" t="s">
        <v>435</v>
      </c>
      <c r="H5" s="207" t="s">
        <v>436</v>
      </c>
      <c r="I5" s="207" t="s">
        <v>437</v>
      </c>
      <c r="J5" s="207" t="s">
        <v>438</v>
      </c>
      <c r="K5" s="207" t="s">
        <v>439</v>
      </c>
      <c r="L5" s="207" t="s">
        <v>440</v>
      </c>
      <c r="M5" s="207" t="s">
        <v>441</v>
      </c>
      <c r="N5" s="207" t="s">
        <v>442</v>
      </c>
      <c r="O5" s="207" t="s">
        <v>443</v>
      </c>
      <c r="P5" s="207" t="s">
        <v>444</v>
      </c>
      <c r="Q5" s="207" t="s">
        <v>445</v>
      </c>
      <c r="R5" s="207" t="s">
        <v>446</v>
      </c>
      <c r="S5" s="207" t="s">
        <v>447</v>
      </c>
      <c r="T5" s="207" t="s">
        <v>448</v>
      </c>
      <c r="U5" s="207" t="s">
        <v>449</v>
      </c>
      <c r="V5" s="207" t="s">
        <v>450</v>
      </c>
      <c r="W5" s="207" t="s">
        <v>451</v>
      </c>
      <c r="X5" s="207" t="s">
        <v>452</v>
      </c>
      <c r="Y5" s="207" t="s">
        <v>453</v>
      </c>
      <c r="Z5" s="207" t="s">
        <v>454</v>
      </c>
      <c r="AA5" s="207" t="s">
        <v>455</v>
      </c>
      <c r="AB5" s="207" t="s">
        <v>456</v>
      </c>
      <c r="AC5" s="207" t="s">
        <v>457</v>
      </c>
      <c r="AD5" s="207" t="s">
        <v>458</v>
      </c>
    </row>
    <row r="6" spans="1:30" ht="15">
      <c r="A6" t="s">
        <v>1152</v>
      </c>
      <c r="C6" s="207" t="str">
        <f>C5</f>
        <v>IE</v>
      </c>
      <c r="D6" s="207" t="str">
        <f t="shared" ref="D6:AD6" si="0">"*"&amp;D5</f>
        <v>*National</v>
      </c>
      <c r="E6" s="207" t="str">
        <f t="shared" si="0"/>
        <v>*IE-CW</v>
      </c>
      <c r="F6" s="207" t="str">
        <f t="shared" si="0"/>
        <v>*IE-D</v>
      </c>
      <c r="G6" s="207" t="str">
        <f t="shared" si="0"/>
        <v>*IE-KE</v>
      </c>
      <c r="H6" s="207" t="str">
        <f t="shared" si="0"/>
        <v>*IE-KK</v>
      </c>
      <c r="I6" s="207" t="str">
        <f t="shared" si="0"/>
        <v>*IE-LS</v>
      </c>
      <c r="J6" s="207" t="str">
        <f t="shared" si="0"/>
        <v>*IE-LD</v>
      </c>
      <c r="K6" s="207" t="str">
        <f t="shared" si="0"/>
        <v>*IE-LH</v>
      </c>
      <c r="L6" s="207" t="str">
        <f t="shared" si="0"/>
        <v>*IE-MH</v>
      </c>
      <c r="M6" s="207" t="str">
        <f t="shared" si="0"/>
        <v>*IE-OY</v>
      </c>
      <c r="N6" s="207" t="str">
        <f t="shared" si="0"/>
        <v>*IE-WH</v>
      </c>
      <c r="O6" s="207" t="str">
        <f t="shared" si="0"/>
        <v>*IE-WX</v>
      </c>
      <c r="P6" s="207" t="str">
        <f t="shared" si="0"/>
        <v>*IE-WW</v>
      </c>
      <c r="Q6" s="207" t="str">
        <f t="shared" si="0"/>
        <v>*IE-CE</v>
      </c>
      <c r="R6" s="207" t="str">
        <f t="shared" si="0"/>
        <v>*IE-CO</v>
      </c>
      <c r="S6" s="207" t="str">
        <f t="shared" si="0"/>
        <v>*IE-KY</v>
      </c>
      <c r="T6" s="207" t="str">
        <f t="shared" si="0"/>
        <v>*IE-LK</v>
      </c>
      <c r="U6" s="207" t="str">
        <f t="shared" si="0"/>
        <v>*IE-TA</v>
      </c>
      <c r="V6" s="207" t="str">
        <f t="shared" si="0"/>
        <v>*IE-WD</v>
      </c>
      <c r="W6" s="207" t="str">
        <f t="shared" si="0"/>
        <v>*IE-G</v>
      </c>
      <c r="X6" s="207" t="str">
        <f t="shared" si="0"/>
        <v>*IE-LM</v>
      </c>
      <c r="Y6" s="207" t="str">
        <f t="shared" si="0"/>
        <v>*IE-MO</v>
      </c>
      <c r="Z6" s="207" t="str">
        <f t="shared" si="0"/>
        <v>*IE-RN</v>
      </c>
      <c r="AA6" s="207" t="str">
        <f t="shared" si="0"/>
        <v>*IE-SO</v>
      </c>
      <c r="AB6" s="207" t="str">
        <f t="shared" si="0"/>
        <v>*IE-CN</v>
      </c>
      <c r="AC6" s="207" t="str">
        <f t="shared" si="0"/>
        <v>*IE-DL</v>
      </c>
      <c r="AD6" s="207" t="str">
        <f t="shared" si="0"/>
        <v>*IE-MN</v>
      </c>
    </row>
    <row r="7" spans="1:30" ht="15">
      <c r="A7" t="s">
        <v>1153</v>
      </c>
      <c r="C7" s="207" t="str">
        <f>"*"&amp;C5</f>
        <v>*IE</v>
      </c>
      <c r="D7" s="207" t="str">
        <f t="shared" ref="D7:AD7" si="1">D5</f>
        <v>National</v>
      </c>
      <c r="E7" s="207" t="str">
        <f t="shared" si="1"/>
        <v>IE-CW</v>
      </c>
      <c r="F7" s="207" t="str">
        <f t="shared" si="1"/>
        <v>IE-D</v>
      </c>
      <c r="G7" s="207" t="str">
        <f t="shared" si="1"/>
        <v>IE-KE</v>
      </c>
      <c r="H7" s="207" t="str">
        <f t="shared" si="1"/>
        <v>IE-KK</v>
      </c>
      <c r="I7" s="207" t="str">
        <f t="shared" si="1"/>
        <v>IE-LS</v>
      </c>
      <c r="J7" s="207" t="str">
        <f t="shared" si="1"/>
        <v>IE-LD</v>
      </c>
      <c r="K7" s="207" t="str">
        <f t="shared" si="1"/>
        <v>IE-LH</v>
      </c>
      <c r="L7" s="207" t="str">
        <f t="shared" si="1"/>
        <v>IE-MH</v>
      </c>
      <c r="M7" s="207" t="str">
        <f t="shared" si="1"/>
        <v>IE-OY</v>
      </c>
      <c r="N7" s="207" t="str">
        <f t="shared" si="1"/>
        <v>IE-WH</v>
      </c>
      <c r="O7" s="207" t="str">
        <f t="shared" si="1"/>
        <v>IE-WX</v>
      </c>
      <c r="P7" s="207" t="str">
        <f t="shared" si="1"/>
        <v>IE-WW</v>
      </c>
      <c r="Q7" s="207" t="str">
        <f t="shared" si="1"/>
        <v>IE-CE</v>
      </c>
      <c r="R7" s="207" t="str">
        <f t="shared" si="1"/>
        <v>IE-CO</v>
      </c>
      <c r="S7" s="207" t="str">
        <f t="shared" si="1"/>
        <v>IE-KY</v>
      </c>
      <c r="T7" s="207" t="str">
        <f t="shared" si="1"/>
        <v>IE-LK</v>
      </c>
      <c r="U7" s="207" t="str">
        <f t="shared" si="1"/>
        <v>IE-TA</v>
      </c>
      <c r="V7" s="207" t="str">
        <f t="shared" si="1"/>
        <v>IE-WD</v>
      </c>
      <c r="W7" s="207" t="str">
        <f t="shared" si="1"/>
        <v>IE-G</v>
      </c>
      <c r="X7" s="207" t="str">
        <f t="shared" si="1"/>
        <v>IE-LM</v>
      </c>
      <c r="Y7" s="207" t="str">
        <f t="shared" si="1"/>
        <v>IE-MO</v>
      </c>
      <c r="Z7" s="207" t="str">
        <f t="shared" si="1"/>
        <v>IE-RN</v>
      </c>
      <c r="AA7" s="207" t="str">
        <f t="shared" si="1"/>
        <v>IE-SO</v>
      </c>
      <c r="AB7" s="207" t="str">
        <f t="shared" si="1"/>
        <v>IE-CN</v>
      </c>
      <c r="AC7" s="207" t="str">
        <f t="shared" si="1"/>
        <v>IE-DL</v>
      </c>
      <c r="AD7" s="207" t="str">
        <f t="shared" si="1"/>
        <v>IE-MN</v>
      </c>
    </row>
    <row r="10" spans="1:30" ht="15.75" thickBot="1">
      <c r="A10" s="209" t="s">
        <v>1154</v>
      </c>
      <c r="B10" s="209" t="s">
        <v>1155</v>
      </c>
    </row>
    <row r="11" spans="1:30">
      <c r="A11" s="210" t="s">
        <v>433</v>
      </c>
      <c r="B11" s="210" t="s">
        <v>58</v>
      </c>
    </row>
    <row r="12" spans="1:30">
      <c r="A12" s="211" t="s">
        <v>456</v>
      </c>
      <c r="B12" s="211" t="s">
        <v>64</v>
      </c>
    </row>
    <row r="13" spans="1:30">
      <c r="A13" s="211" t="s">
        <v>445</v>
      </c>
      <c r="B13" s="211" t="s">
        <v>1156</v>
      </c>
    </row>
    <row r="14" spans="1:30">
      <c r="A14" s="211" t="s">
        <v>446</v>
      </c>
      <c r="B14" s="211" t="s">
        <v>430</v>
      </c>
    </row>
    <row r="15" spans="1:30">
      <c r="A15" s="211" t="s">
        <v>457</v>
      </c>
      <c r="B15" s="211" t="s">
        <v>130</v>
      </c>
    </row>
    <row r="16" spans="1:30">
      <c r="A16" s="211" t="s">
        <v>434</v>
      </c>
      <c r="B16" s="211" t="s">
        <v>429</v>
      </c>
    </row>
    <row r="17" spans="1:2">
      <c r="A17" s="211" t="s">
        <v>451</v>
      </c>
      <c r="B17" s="211" t="s">
        <v>432</v>
      </c>
    </row>
    <row r="18" spans="1:2">
      <c r="A18" s="211" t="s">
        <v>447</v>
      </c>
      <c r="B18" s="211" t="s">
        <v>1157</v>
      </c>
    </row>
    <row r="19" spans="1:2">
      <c r="A19" s="211" t="s">
        <v>435</v>
      </c>
      <c r="B19" s="211" t="s">
        <v>198</v>
      </c>
    </row>
    <row r="20" spans="1:2">
      <c r="A20" s="211" t="s">
        <v>436</v>
      </c>
      <c r="B20" s="211" t="s">
        <v>220</v>
      </c>
    </row>
    <row r="21" spans="1:2">
      <c r="A21" s="211" t="s">
        <v>437</v>
      </c>
      <c r="B21" s="211" t="s">
        <v>1158</v>
      </c>
    </row>
    <row r="22" spans="1:2">
      <c r="A22" s="211" t="s">
        <v>452</v>
      </c>
      <c r="B22" s="211" t="s">
        <v>1159</v>
      </c>
    </row>
    <row r="23" spans="1:2">
      <c r="A23" s="211" t="s">
        <v>448</v>
      </c>
      <c r="B23" s="211" t="s">
        <v>431</v>
      </c>
    </row>
    <row r="24" spans="1:2">
      <c r="A24" s="211" t="s">
        <v>438</v>
      </c>
      <c r="B24" s="211" t="s">
        <v>267</v>
      </c>
    </row>
    <row r="25" spans="1:2">
      <c r="A25" s="211" t="s">
        <v>439</v>
      </c>
      <c r="B25" s="211" t="s">
        <v>1160</v>
      </c>
    </row>
    <row r="26" spans="1:2">
      <c r="A26" s="211" t="s">
        <v>453</v>
      </c>
      <c r="B26" s="211" t="s">
        <v>1161</v>
      </c>
    </row>
    <row r="27" spans="1:2">
      <c r="A27" s="211" t="s">
        <v>440</v>
      </c>
      <c r="B27" s="211" t="s">
        <v>1162</v>
      </c>
    </row>
    <row r="28" spans="1:2">
      <c r="A28" s="211" t="s">
        <v>458</v>
      </c>
      <c r="B28" s="211" t="s">
        <v>323</v>
      </c>
    </row>
    <row r="29" spans="1:2">
      <c r="A29" s="211" t="s">
        <v>441</v>
      </c>
      <c r="B29" s="211" t="s">
        <v>1163</v>
      </c>
    </row>
    <row r="30" spans="1:2">
      <c r="A30" s="211" t="s">
        <v>454</v>
      </c>
      <c r="B30" s="211" t="s">
        <v>345</v>
      </c>
    </row>
    <row r="31" spans="1:2">
      <c r="A31" s="211" t="s">
        <v>455</v>
      </c>
      <c r="B31" s="211" t="s">
        <v>351</v>
      </c>
    </row>
    <row r="32" spans="1:2">
      <c r="A32" s="211" t="s">
        <v>449</v>
      </c>
      <c r="B32" s="211" t="s">
        <v>367</v>
      </c>
    </row>
    <row r="33" spans="1:2">
      <c r="A33" s="211" t="s">
        <v>450</v>
      </c>
      <c r="B33" s="211" t="s">
        <v>378</v>
      </c>
    </row>
    <row r="34" spans="1:2">
      <c r="A34" s="211" t="s">
        <v>442</v>
      </c>
      <c r="B34" s="211" t="s">
        <v>1164</v>
      </c>
    </row>
    <row r="35" spans="1:2">
      <c r="A35" s="211" t="s">
        <v>443</v>
      </c>
      <c r="B35" s="211" t="s">
        <v>396</v>
      </c>
    </row>
    <row r="36" spans="1:2">
      <c r="A36" s="211" t="s">
        <v>444</v>
      </c>
      <c r="B36" s="211" t="s">
        <v>413</v>
      </c>
    </row>
    <row r="37" spans="1:2" ht="15">
      <c r="A37" s="212" t="s">
        <v>1165</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08" t="s">
        <v>1138</v>
      </c>
      <c r="K1" s="308"/>
      <c r="L1" s="308"/>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1051</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1051</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1051</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1051</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E23"/>
  <sheetViews>
    <sheetView tabSelected="1" topLeftCell="H1" workbookViewId="0">
      <selection activeCell="T5" sqref="T5"/>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1" customWidth="1"/>
    <col min="24" max="24" width="11.42578125" customWidth="1"/>
    <col min="25" max="25" width="24" customWidth="1"/>
    <col min="26" max="26" width="43.42578125" customWidth="1"/>
  </cols>
  <sheetData>
    <row r="2" spans="2:31" ht="15">
      <c r="B2" t="s">
        <v>538</v>
      </c>
      <c r="C2" s="52"/>
      <c r="D2" s="52"/>
      <c r="E2" s="52"/>
      <c r="F2" s="53"/>
      <c r="G2" s="53"/>
      <c r="H2" s="53"/>
      <c r="I2" s="53"/>
      <c r="J2" s="53" t="s">
        <v>1146</v>
      </c>
      <c r="K2" s="53"/>
      <c r="L2" s="53"/>
      <c r="M2" s="83" t="s">
        <v>1145</v>
      </c>
      <c r="N2" s="53"/>
      <c r="O2" s="52"/>
      <c r="P2" s="52"/>
      <c r="Q2" s="52"/>
      <c r="R2" s="52"/>
      <c r="S2" s="52"/>
      <c r="T2" s="52"/>
      <c r="U2" s="52"/>
      <c r="V2" s="52"/>
    </row>
    <row r="3" spans="2:31" ht="15">
      <c r="B3" s="202" t="s">
        <v>1137</v>
      </c>
      <c r="C3" s="52"/>
      <c r="D3" s="52"/>
      <c r="E3" s="52"/>
      <c r="F3" s="53"/>
      <c r="G3" s="53"/>
      <c r="H3" s="53"/>
      <c r="I3" s="53"/>
      <c r="J3" s="53"/>
      <c r="K3" s="53"/>
      <c r="L3" s="53"/>
      <c r="M3" s="83" t="s">
        <v>974</v>
      </c>
      <c r="N3" s="53"/>
      <c r="O3" s="52"/>
      <c r="P3" s="52"/>
      <c r="Q3" s="52"/>
      <c r="R3" s="52"/>
      <c r="S3" s="52"/>
      <c r="T3" s="52"/>
      <c r="U3" s="52"/>
      <c r="V3" s="52"/>
    </row>
    <row r="4" spans="2:31" ht="15">
      <c r="B4" s="52"/>
      <c r="C4" s="52"/>
      <c r="D4" s="52"/>
      <c r="E4" s="52"/>
      <c r="F4" s="52"/>
      <c r="G4" s="52"/>
      <c r="H4" s="54" t="s">
        <v>474</v>
      </c>
      <c r="I4" s="54"/>
      <c r="J4" s="52"/>
      <c r="K4" s="52"/>
      <c r="L4" s="52"/>
      <c r="M4" s="52"/>
      <c r="N4" s="52"/>
      <c r="O4" s="52"/>
      <c r="P4" s="52"/>
      <c r="Q4" s="52"/>
      <c r="R4" s="52"/>
      <c r="S4" s="52"/>
      <c r="T4" s="52"/>
      <c r="U4" s="52"/>
      <c r="V4" s="52"/>
      <c r="X4" s="84" t="s">
        <v>486</v>
      </c>
      <c r="Y4" s="35"/>
      <c r="Z4" s="35"/>
      <c r="AA4" s="35"/>
      <c r="AB4" s="35"/>
      <c r="AC4" s="35"/>
      <c r="AD4" s="35"/>
    </row>
    <row r="5" spans="2:31" ht="15">
      <c r="B5" s="55" t="s">
        <v>0</v>
      </c>
      <c r="C5" s="55" t="s">
        <v>488</v>
      </c>
      <c r="D5" s="55" t="s">
        <v>475</v>
      </c>
      <c r="E5" s="55" t="s">
        <v>1006</v>
      </c>
      <c r="F5" s="55" t="s">
        <v>476</v>
      </c>
      <c r="G5" s="55" t="s">
        <v>539</v>
      </c>
      <c r="H5" s="55" t="s">
        <v>953</v>
      </c>
      <c r="I5" s="55" t="s">
        <v>540</v>
      </c>
      <c r="J5" s="55" t="s">
        <v>477</v>
      </c>
      <c r="K5" s="205" t="s">
        <v>1147</v>
      </c>
      <c r="L5" s="205" t="s">
        <v>1148</v>
      </c>
      <c r="M5" s="55" t="s">
        <v>1008</v>
      </c>
      <c r="N5" s="55" t="s">
        <v>541</v>
      </c>
      <c r="O5" s="55" t="s">
        <v>542</v>
      </c>
      <c r="P5" s="55" t="s">
        <v>543</v>
      </c>
      <c r="Q5" s="55" t="s">
        <v>544</v>
      </c>
      <c r="R5" s="55" t="s">
        <v>545</v>
      </c>
      <c r="S5" s="55" t="s">
        <v>546</v>
      </c>
      <c r="T5" s="55" t="s">
        <v>978</v>
      </c>
      <c r="U5" s="55" t="s">
        <v>547</v>
      </c>
      <c r="V5" s="52"/>
      <c r="X5" s="85" t="s">
        <v>487</v>
      </c>
      <c r="Y5" s="85" t="s">
        <v>0</v>
      </c>
      <c r="Z5" s="85" t="s">
        <v>488</v>
      </c>
      <c r="AA5" s="85" t="s">
        <v>489</v>
      </c>
      <c r="AB5" s="85" t="s">
        <v>490</v>
      </c>
      <c r="AC5" s="85" t="s">
        <v>491</v>
      </c>
      <c r="AD5" s="85" t="s">
        <v>492</v>
      </c>
      <c r="AE5" s="85" t="s">
        <v>493</v>
      </c>
    </row>
    <row r="6" spans="2:31" ht="51.75" thickBot="1">
      <c r="B6" s="56" t="s">
        <v>548</v>
      </c>
      <c r="C6" s="56" t="s">
        <v>496</v>
      </c>
      <c r="D6" s="154" t="s">
        <v>480</v>
      </c>
      <c r="E6" s="56"/>
      <c r="F6" s="56" t="s">
        <v>481</v>
      </c>
      <c r="G6" s="56" t="s">
        <v>549</v>
      </c>
      <c r="H6" s="56" t="s">
        <v>550</v>
      </c>
      <c r="I6" s="56" t="s">
        <v>551</v>
      </c>
      <c r="J6" s="56" t="s">
        <v>482</v>
      </c>
      <c r="K6" s="56" t="s">
        <v>1150</v>
      </c>
      <c r="L6" s="56" t="s">
        <v>1149</v>
      </c>
      <c r="M6" s="56" t="s">
        <v>484</v>
      </c>
      <c r="N6" s="56" t="s">
        <v>552</v>
      </c>
      <c r="O6" s="56" t="s">
        <v>553</v>
      </c>
      <c r="P6" s="56" t="s">
        <v>554</v>
      </c>
      <c r="Q6" s="56" t="s">
        <v>555</v>
      </c>
      <c r="R6" s="56" t="s">
        <v>1</v>
      </c>
      <c r="S6" s="56" t="s">
        <v>556</v>
      </c>
      <c r="T6" s="56" t="s">
        <v>979</v>
      </c>
      <c r="U6" s="56" t="s">
        <v>557</v>
      </c>
      <c r="V6" s="52"/>
      <c r="X6" s="86" t="s">
        <v>981</v>
      </c>
      <c r="Y6" s="86" t="s">
        <v>495</v>
      </c>
      <c r="Z6" s="86" t="s">
        <v>496</v>
      </c>
      <c r="AA6" s="86" t="s">
        <v>497</v>
      </c>
      <c r="AB6" s="86" t="s">
        <v>498</v>
      </c>
      <c r="AC6" s="86" t="s">
        <v>982</v>
      </c>
      <c r="AD6" s="86" t="s">
        <v>983</v>
      </c>
      <c r="AE6" s="86" t="s">
        <v>501</v>
      </c>
    </row>
    <row r="7" spans="2:31" ht="15.75" thickBot="1">
      <c r="B7" s="77" t="s">
        <v>483</v>
      </c>
      <c r="C7" s="77"/>
      <c r="D7" s="77"/>
      <c r="E7" s="77"/>
      <c r="F7" s="77"/>
      <c r="G7" s="77"/>
      <c r="H7" s="77" t="s">
        <v>558</v>
      </c>
      <c r="I7" s="77"/>
      <c r="J7" s="77"/>
      <c r="K7" s="77"/>
      <c r="L7" s="77"/>
      <c r="M7" s="77"/>
      <c r="N7" s="77" t="s">
        <v>560</v>
      </c>
      <c r="O7" s="77"/>
      <c r="P7" s="77" t="s">
        <v>975</v>
      </c>
      <c r="Q7" s="77" t="s">
        <v>977</v>
      </c>
      <c r="R7" s="77" t="s">
        <v>980</v>
      </c>
      <c r="S7" s="77" t="s">
        <v>559</v>
      </c>
      <c r="T7" s="77"/>
      <c r="U7" s="77" t="s">
        <v>560</v>
      </c>
      <c r="V7" s="52"/>
      <c r="X7" s="57" t="s">
        <v>483</v>
      </c>
      <c r="Y7" s="57"/>
      <c r="Z7" s="57"/>
      <c r="AA7" s="57"/>
      <c r="AB7" s="57"/>
      <c r="AC7" s="57"/>
      <c r="AD7" s="57"/>
      <c r="AE7" s="57"/>
    </row>
    <row r="8" spans="2:31" ht="15">
      <c r="B8" s="95" t="s">
        <v>1020</v>
      </c>
      <c r="C8" s="95" t="s">
        <v>1045</v>
      </c>
      <c r="D8" s="95" t="s">
        <v>561</v>
      </c>
      <c r="E8" s="95"/>
      <c r="F8" s="95" t="s">
        <v>535</v>
      </c>
      <c r="G8" s="95" t="s">
        <v>1063</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7">
        <f>('41 Electric boiler, large'!D30/1000)/S8</f>
        <v>2.8538812785388127E-5</v>
      </c>
      <c r="S8" s="157">
        <f t="shared" ref="S8:S20" si="0">8760*3.6/10^3</f>
        <v>31.536000000000001</v>
      </c>
      <c r="T8" s="97"/>
      <c r="U8" s="98">
        <f>ROUNDUP('41 Electric boiler, large'!D13,0)</f>
        <v>1</v>
      </c>
      <c r="V8" s="52"/>
      <c r="X8" s="65" t="s">
        <v>984</v>
      </c>
      <c r="Y8" s="65" t="str">
        <f t="shared" ref="Y8:Z10" si="1">B8</f>
        <v>DH_ELC_BLR_N1</v>
      </c>
      <c r="Z8" s="65" t="str">
        <f t="shared" si="1"/>
        <v>Electric Boiler for District Heating</v>
      </c>
      <c r="AA8" s="65" t="s">
        <v>484</v>
      </c>
      <c r="AB8" s="65" t="s">
        <v>562</v>
      </c>
      <c r="AC8" s="214" t="s">
        <v>1169</v>
      </c>
      <c r="AD8" s="214"/>
      <c r="AE8" s="214" t="s">
        <v>1170</v>
      </c>
    </row>
    <row r="9" spans="2:31" ht="15">
      <c r="B9" s="88" t="s">
        <v>1021</v>
      </c>
      <c r="C9" s="88" t="s">
        <v>1044</v>
      </c>
      <c r="D9" s="88" t="s">
        <v>1011</v>
      </c>
      <c r="E9" s="88"/>
      <c r="F9" s="88" t="s">
        <v>535</v>
      </c>
      <c r="G9" s="88" t="s">
        <v>1063</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8">
        <f>('44 Natural Gas DH Only'!D30/1000)/S9</f>
        <v>3.4880771182141046E-5</v>
      </c>
      <c r="S9" s="158">
        <f t="shared" si="0"/>
        <v>31.536000000000001</v>
      </c>
      <c r="T9" s="90"/>
      <c r="U9" s="94">
        <v>1</v>
      </c>
      <c r="V9" s="52"/>
      <c r="X9" s="58" t="s">
        <v>984</v>
      </c>
      <c r="Y9" s="58" t="str">
        <f t="shared" si="1"/>
        <v>DH_GAS_BLR_N1</v>
      </c>
      <c r="Z9" s="58" t="str">
        <f t="shared" si="1"/>
        <v>Gas Boiler for District Heating</v>
      </c>
      <c r="AA9" s="58" t="s">
        <v>484</v>
      </c>
      <c r="AB9" s="58" t="s">
        <v>562</v>
      </c>
      <c r="AC9" s="214" t="s">
        <v>1169</v>
      </c>
      <c r="AD9" s="214"/>
      <c r="AE9" s="214" t="s">
        <v>1170</v>
      </c>
    </row>
    <row r="10" spans="2:31" ht="15">
      <c r="B10" s="59" t="s">
        <v>1019</v>
      </c>
      <c r="C10" s="59" t="s">
        <v>1013</v>
      </c>
      <c r="D10" s="59" t="s">
        <v>561</v>
      </c>
      <c r="E10" s="59"/>
      <c r="F10" s="59" t="s">
        <v>535</v>
      </c>
      <c r="G10" s="59" t="s">
        <v>1063</v>
      </c>
      <c r="H10" s="59">
        <v>2022</v>
      </c>
      <c r="I10" s="59">
        <f>'45.3.a Geoth. DH, 1200m, E (LT)'!C6</f>
        <v>10.93</v>
      </c>
      <c r="J10" s="62">
        <f>'45.3.a Geoth. DH, 1200m, E (LT)'!C7</f>
        <v>5.4809479999999997</v>
      </c>
      <c r="K10" s="203"/>
      <c r="L10" s="203"/>
      <c r="M10" s="60"/>
      <c r="N10" s="61">
        <f>'45.3.a Geoth. DH, 1200m, E (LT)'!C11</f>
        <v>25</v>
      </c>
      <c r="O10" s="62">
        <f>1-'45.3.a Geoth. DH, 1200m, E (LT)'!C9</f>
        <v>0.98</v>
      </c>
      <c r="P10" s="62">
        <f>'45.3.a Geoth. DH, 1200m, E (LT)'!C27*1000*1.1</f>
        <v>2970.0000000000005</v>
      </c>
      <c r="Q10" s="62">
        <f>'45.3.a Geoth. DH, 1200m, E (LT)'!C34/1000</f>
        <v>23.2</v>
      </c>
      <c r="R10" s="159">
        <f>('45.3.a Geoth. DH, 1200m, E (LT)'!C31/1000)/S10</f>
        <v>1.7313546423135463E-4</v>
      </c>
      <c r="S10" s="159">
        <f t="shared" si="0"/>
        <v>31.536000000000001</v>
      </c>
      <c r="T10" s="63">
        <v>5</v>
      </c>
      <c r="U10" s="64">
        <f>ROUNDUP('45.3.a Geoth. DH, 1200m, E (LT)'!D13,0)</f>
        <v>5</v>
      </c>
      <c r="V10" s="52"/>
      <c r="X10" s="65" t="s">
        <v>984</v>
      </c>
      <c r="Y10" s="65" t="str">
        <f t="shared" si="1"/>
        <v>DH_ELC_GEO1200_N1</v>
      </c>
      <c r="Z10" s="65" t="str">
        <f t="shared" si="1"/>
        <v>Geothermal and electric HP 1200m</v>
      </c>
      <c r="AA10" s="65" t="s">
        <v>484</v>
      </c>
      <c r="AB10" s="65" t="s">
        <v>562</v>
      </c>
      <c r="AC10" s="214" t="s">
        <v>1169</v>
      </c>
      <c r="AD10" s="214"/>
      <c r="AE10" s="214" t="s">
        <v>1170</v>
      </c>
    </row>
    <row r="11" spans="2:31" ht="15">
      <c r="B11" s="91"/>
      <c r="C11" s="91"/>
      <c r="D11" s="91"/>
      <c r="E11" s="91" t="s">
        <v>1007</v>
      </c>
      <c r="F11" s="91"/>
      <c r="G11" s="91"/>
      <c r="H11" s="91"/>
      <c r="I11" s="91"/>
      <c r="J11" s="91"/>
      <c r="K11" s="91"/>
      <c r="L11" s="91"/>
      <c r="M11" s="92">
        <f>1-1/(J10)</f>
        <v>0.81754981072617361</v>
      </c>
      <c r="N11" s="91"/>
      <c r="O11" s="91"/>
      <c r="P11" s="92"/>
      <c r="Q11" s="92"/>
      <c r="R11" s="100"/>
      <c r="S11" s="100">
        <f t="shared" si="0"/>
        <v>31.536000000000001</v>
      </c>
      <c r="T11" s="91"/>
      <c r="U11" s="91"/>
      <c r="V11" s="52"/>
      <c r="X11" s="58" t="s">
        <v>984</v>
      </c>
      <c r="Y11" s="58" t="str">
        <f>B12</f>
        <v>DH_SOL_N1</v>
      </c>
      <c r="Z11" s="58" t="str">
        <f>C12</f>
        <v>Solar District Heating</v>
      </c>
      <c r="AA11" s="58" t="s">
        <v>484</v>
      </c>
      <c r="AB11" s="58" t="s">
        <v>562</v>
      </c>
      <c r="AC11" s="214" t="s">
        <v>1169</v>
      </c>
      <c r="AD11" s="214"/>
      <c r="AE11" s="214" t="s">
        <v>1170</v>
      </c>
    </row>
    <row r="12" spans="2:31" ht="15">
      <c r="B12" s="66" t="s">
        <v>1017</v>
      </c>
      <c r="C12" s="66" t="s">
        <v>1009</v>
      </c>
      <c r="D12" s="66" t="s">
        <v>1010</v>
      </c>
      <c r="E12" s="66"/>
      <c r="F12" s="66" t="s">
        <v>535</v>
      </c>
      <c r="G12" s="88" t="s">
        <v>1063</v>
      </c>
      <c r="H12" s="89">
        <v>2030</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0">
        <f>('46 Solar District Heating'!D28/1000)/S12</f>
        <v>6.6590563165905622E-6</v>
      </c>
      <c r="S12" s="160">
        <f t="shared" si="0"/>
        <v>31.536000000000001</v>
      </c>
      <c r="T12" s="126">
        <v>0.05</v>
      </c>
      <c r="U12" s="68">
        <v>1</v>
      </c>
      <c r="V12" s="52"/>
      <c r="X12" s="65" t="s">
        <v>984</v>
      </c>
      <c r="Y12" s="65" t="str">
        <f>B13</f>
        <v>DH_AHP_GEO1200_N1</v>
      </c>
      <c r="Z12" s="65" t="str">
        <f>C13</f>
        <v>Geothermal and absorption HP 1200m</v>
      </c>
      <c r="AA12" s="65" t="s">
        <v>484</v>
      </c>
      <c r="AB12" s="65" t="s">
        <v>562</v>
      </c>
      <c r="AC12" s="214" t="s">
        <v>1169</v>
      </c>
      <c r="AD12" s="214"/>
      <c r="AE12" s="214" t="s">
        <v>1170</v>
      </c>
    </row>
    <row r="13" spans="2:31" ht="15">
      <c r="B13" s="59" t="s">
        <v>1018</v>
      </c>
      <c r="C13" s="59" t="s">
        <v>1014</v>
      </c>
      <c r="D13" s="59" t="s">
        <v>1015</v>
      </c>
      <c r="E13" s="59"/>
      <c r="F13" s="59" t="s">
        <v>535</v>
      </c>
      <c r="G13" s="59" t="s">
        <v>1063</v>
      </c>
      <c r="H13" s="59">
        <v>2022</v>
      </c>
      <c r="I13" s="59">
        <f>'45.2.a Geothermal DH, 1200m, A'!C6</f>
        <v>22.66</v>
      </c>
      <c r="J13" s="62">
        <f>'45.2.a Geothermal DH, 1200m, A'!C7</f>
        <v>1.6513640000000001</v>
      </c>
      <c r="K13" s="203"/>
      <c r="L13" s="203"/>
      <c r="M13" s="60"/>
      <c r="N13" s="61">
        <f>'45.2.a Geothermal DH, 1200m, A'!C11</f>
        <v>25</v>
      </c>
      <c r="O13" s="62">
        <f>1-'45.2.a Geothermal DH, 1200m, A'!C9</f>
        <v>0.98</v>
      </c>
      <c r="P13" s="62">
        <f>'45.2.a Geothermal DH, 1200m, A'!C27*1000*1.1</f>
        <v>1386</v>
      </c>
      <c r="Q13" s="62">
        <f>'45.2.a Geothermal DH, 1200m, A'!C34/1000</f>
        <v>11.1</v>
      </c>
      <c r="R13" s="159">
        <f>('45.2.a Geothermal DH, 1200m, A'!C31/1000)/S13</f>
        <v>6.5956367326230349E-5</v>
      </c>
      <c r="S13" s="159">
        <f t="shared" si="0"/>
        <v>31.536000000000001</v>
      </c>
      <c r="T13" s="63">
        <v>5</v>
      </c>
      <c r="U13" s="64">
        <v>5</v>
      </c>
      <c r="X13" s="58" t="s">
        <v>984</v>
      </c>
      <c r="Y13" s="58" t="str">
        <f>B15</f>
        <v>DH_ASHP_ELC_N1</v>
      </c>
      <c r="Z13" s="58" t="str">
        <f>C15</f>
        <v>Air Source Heat Pump</v>
      </c>
      <c r="AA13" s="58" t="s">
        <v>484</v>
      </c>
      <c r="AB13" s="58" t="s">
        <v>562</v>
      </c>
      <c r="AC13" s="214" t="s">
        <v>1169</v>
      </c>
      <c r="AD13" s="214"/>
      <c r="AE13" s="214" t="s">
        <v>1170</v>
      </c>
    </row>
    <row r="14" spans="2:31" ht="15">
      <c r="B14" s="91"/>
      <c r="C14" s="91"/>
      <c r="D14" s="91"/>
      <c r="E14" s="91" t="s">
        <v>1007</v>
      </c>
      <c r="F14" s="91"/>
      <c r="G14" s="91"/>
      <c r="H14" s="91"/>
      <c r="I14" s="91"/>
      <c r="J14" s="91"/>
      <c r="K14" s="91"/>
      <c r="L14" s="91"/>
      <c r="M14" s="92">
        <f>1-1/(J13)</f>
        <v>0.39443999021415022</v>
      </c>
      <c r="N14" s="91"/>
      <c r="O14" s="91"/>
      <c r="P14" s="92"/>
      <c r="Q14" s="92"/>
      <c r="R14" s="100"/>
      <c r="S14" s="100">
        <f t="shared" si="0"/>
        <v>31.536000000000001</v>
      </c>
      <c r="T14" s="91"/>
      <c r="U14" s="91"/>
      <c r="V14" s="66"/>
      <c r="X14" s="65" t="s">
        <v>984</v>
      </c>
      <c r="Y14" s="65" t="str">
        <f>B17</f>
        <v>DH_BIO_BLR_N1</v>
      </c>
      <c r="Z14" s="65" t="str">
        <f>C17</f>
        <v>Biomass Boiler for District Heating</v>
      </c>
      <c r="AA14" s="65" t="s">
        <v>484</v>
      </c>
      <c r="AB14" s="65" t="s">
        <v>562</v>
      </c>
      <c r="AC14" s="214" t="s">
        <v>1169</v>
      </c>
      <c r="AD14" s="214"/>
      <c r="AE14" s="214" t="s">
        <v>1170</v>
      </c>
    </row>
    <row r="15" spans="2:31" ht="15">
      <c r="B15" s="101" t="s">
        <v>1016</v>
      </c>
      <c r="C15" s="101" t="s">
        <v>1012</v>
      </c>
      <c r="D15" s="101" t="s">
        <v>561</v>
      </c>
      <c r="E15" s="101"/>
      <c r="F15" s="101" t="s">
        <v>535</v>
      </c>
      <c r="G15" s="101" t="s">
        <v>1063</v>
      </c>
      <c r="H15" s="101">
        <v>2022</v>
      </c>
      <c r="I15" s="101">
        <f>'40 Comp. hp, airsource 10 MW'!C6</f>
        <v>10</v>
      </c>
      <c r="J15" s="101">
        <f>'40 Comp. hp, airsource 10 MW'!D8</f>
        <v>3.5</v>
      </c>
      <c r="K15" s="204"/>
      <c r="L15" s="204"/>
      <c r="M15" s="101"/>
      <c r="N15" s="101">
        <f>'40 Comp. hp, airsource 10 MW'!C12</f>
        <v>25</v>
      </c>
      <c r="O15" s="101">
        <f>1-'40 Comp. hp, airsource 10 MW'!C9</f>
        <v>0.99</v>
      </c>
      <c r="P15" s="156">
        <f>'40 Comp. hp, airsource 10 MW'!C28*1000</f>
        <v>860</v>
      </c>
      <c r="Q15" s="156">
        <f>'40 Comp. hp, airsource 10 MW'!C35/1000</f>
        <v>2</v>
      </c>
      <c r="R15" s="161">
        <f>('40 Comp. hp, airsource 10 MW'!C32/1000)/S15</f>
        <v>5.3589548452562145E-5</v>
      </c>
      <c r="S15" s="161">
        <f t="shared" si="0"/>
        <v>31.536000000000001</v>
      </c>
      <c r="T15" s="101"/>
      <c r="U15" s="101">
        <v>1</v>
      </c>
      <c r="V15" s="66"/>
      <c r="X15" s="58" t="s">
        <v>984</v>
      </c>
      <c r="Y15" s="58" t="str">
        <f>B19</f>
        <v>DH_PWR_SURPLUS_HEAT</v>
      </c>
      <c r="Z15" s="58" t="s">
        <v>1035</v>
      </c>
      <c r="AA15" s="58" t="s">
        <v>484</v>
      </c>
      <c r="AB15" s="58" t="s">
        <v>562</v>
      </c>
      <c r="AC15" s="214" t="s">
        <v>1169</v>
      </c>
      <c r="AD15" s="214"/>
      <c r="AE15" s="214" t="s">
        <v>1170</v>
      </c>
    </row>
    <row r="16" spans="2:31" ht="15">
      <c r="B16" s="102"/>
      <c r="C16" s="102"/>
      <c r="D16" s="102"/>
      <c r="E16" s="102" t="s">
        <v>1007</v>
      </c>
      <c r="F16" s="102"/>
      <c r="G16" s="102"/>
      <c r="H16" s="102"/>
      <c r="I16" s="102"/>
      <c r="J16" s="102"/>
      <c r="K16" s="102"/>
      <c r="L16" s="102"/>
      <c r="M16" s="103">
        <f>1-1/(J15)</f>
        <v>0.7142857142857143</v>
      </c>
      <c r="N16" s="102"/>
      <c r="O16" s="102"/>
      <c r="P16" s="103"/>
      <c r="Q16" s="103"/>
      <c r="R16" s="162"/>
      <c r="S16" s="162">
        <f t="shared" si="0"/>
        <v>31.536000000000001</v>
      </c>
      <c r="T16" s="102"/>
      <c r="U16" s="102"/>
      <c r="V16" s="66"/>
      <c r="X16" s="65" t="s">
        <v>984</v>
      </c>
      <c r="Y16" s="65" t="str">
        <f>B18</f>
        <v>DH_IND_SURPLUS_HEAT</v>
      </c>
      <c r="Z16" s="65" t="s">
        <v>1034</v>
      </c>
      <c r="AA16" s="65" t="s">
        <v>484</v>
      </c>
      <c r="AB16" s="65" t="s">
        <v>562</v>
      </c>
      <c r="AC16" s="214" t="s">
        <v>1169</v>
      </c>
      <c r="AD16" s="214"/>
      <c r="AE16" s="214" t="s">
        <v>1170</v>
      </c>
    </row>
    <row r="17" spans="2:31" ht="15">
      <c r="B17" s="119" t="s">
        <v>1043</v>
      </c>
      <c r="C17" s="119" t="s">
        <v>1046</v>
      </c>
      <c r="D17" s="119" t="s">
        <v>1047</v>
      </c>
      <c r="E17" s="119"/>
      <c r="F17" s="119" t="s">
        <v>535</v>
      </c>
      <c r="G17" s="119" t="s">
        <v>1063</v>
      </c>
      <c r="H17" s="119">
        <v>2022</v>
      </c>
      <c r="I17" s="119">
        <f>'09a Wood Chips HOP, medium'!D6</f>
        <v>51.64</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3">
        <f>('09a Wood Chips HOP, medium'!D39/1000)/S17</f>
        <v>9.8300355149670215E-5</v>
      </c>
      <c r="S17" s="163">
        <f t="shared" si="0"/>
        <v>31.536000000000001</v>
      </c>
      <c r="T17" s="124"/>
      <c r="U17" s="125">
        <f>'09a Wood Chips HOP, medium'!D11</f>
        <v>2</v>
      </c>
      <c r="V17" s="66"/>
      <c r="X17" s="58" t="s">
        <v>1139</v>
      </c>
      <c r="Y17" s="1" t="s">
        <v>1142</v>
      </c>
      <c r="Z17" s="1" t="s">
        <v>1143</v>
      </c>
      <c r="AA17" s="58" t="s">
        <v>484</v>
      </c>
      <c r="AB17" s="58" t="s">
        <v>562</v>
      </c>
      <c r="AC17" s="214" t="s">
        <v>1169</v>
      </c>
      <c r="AD17" s="214"/>
      <c r="AE17" s="214" t="s">
        <v>1170</v>
      </c>
    </row>
    <row r="18" spans="2:31" ht="15">
      <c r="B18" s="102" t="s">
        <v>1036</v>
      </c>
      <c r="C18" s="128" t="str">
        <f>Z16</f>
        <v>Industrial Surplus Heat</v>
      </c>
      <c r="D18" s="128"/>
      <c r="E18" s="128"/>
      <c r="F18" s="102" t="s">
        <v>535</v>
      </c>
      <c r="G18" s="102" t="s">
        <v>1063</v>
      </c>
      <c r="H18" s="102">
        <v>2022</v>
      </c>
      <c r="I18" s="128">
        <v>20</v>
      </c>
      <c r="J18" s="128">
        <v>1</v>
      </c>
      <c r="K18" s="128"/>
      <c r="L18" s="128"/>
      <c r="M18" s="128"/>
      <c r="N18" s="128">
        <v>25</v>
      </c>
      <c r="O18" s="128">
        <v>0.95</v>
      </c>
      <c r="P18" s="155">
        <f>2152.97</f>
        <v>2152.9699999999998</v>
      </c>
      <c r="Q18" s="155">
        <v>22.864000000000001</v>
      </c>
      <c r="R18" s="164">
        <f>('40 Comp. hp, excess heat 10 MW'!C32/1000)/S18</f>
        <v>5.3589548452562145E-5</v>
      </c>
      <c r="S18" s="164">
        <f t="shared" si="0"/>
        <v>31.536000000000001</v>
      </c>
      <c r="T18" s="129">
        <f t="array" ref="T18">'Surplus Heat'!C6/1000</f>
        <v>10.257740372771327</v>
      </c>
      <c r="U18" s="128"/>
      <c r="X18" s="65" t="s">
        <v>1140</v>
      </c>
      <c r="Y18" s="65" t="s">
        <v>1141</v>
      </c>
      <c r="Z18" s="65" t="s">
        <v>1144</v>
      </c>
      <c r="AA18" s="65" t="s">
        <v>484</v>
      </c>
      <c r="AB18" s="65" t="s">
        <v>562</v>
      </c>
      <c r="AC18" s="214" t="s">
        <v>1169</v>
      </c>
      <c r="AD18" s="214"/>
      <c r="AE18" s="214" t="s">
        <v>1170</v>
      </c>
    </row>
    <row r="19" spans="2:31" ht="15">
      <c r="B19" s="119" t="s">
        <v>1037</v>
      </c>
      <c r="C19" s="119" t="str">
        <f>Z15</f>
        <v>Power Generation Surplus Heat</v>
      </c>
      <c r="D19" s="119"/>
      <c r="E19" s="119"/>
      <c r="F19" s="119" t="s">
        <v>535</v>
      </c>
      <c r="G19" s="119" t="s">
        <v>1063</v>
      </c>
      <c r="H19" s="119">
        <v>2022</v>
      </c>
      <c r="I19" s="119">
        <v>50</v>
      </c>
      <c r="J19" s="120">
        <v>1</v>
      </c>
      <c r="K19" s="120"/>
      <c r="L19" s="120"/>
      <c r="M19" s="121"/>
      <c r="N19" s="122">
        <v>25</v>
      </c>
      <c r="O19" s="120">
        <v>0.95</v>
      </c>
      <c r="P19" s="120">
        <f>P18*3</f>
        <v>6458.91</v>
      </c>
      <c r="Q19" s="155">
        <v>22.864000000000001</v>
      </c>
      <c r="R19" s="163">
        <f>('40 Comp. hp, excess heat 10 MW'!C32/1000)/S18</f>
        <v>5.3589548452562145E-5</v>
      </c>
      <c r="S19" s="163">
        <f t="shared" si="0"/>
        <v>31.536000000000001</v>
      </c>
      <c r="T19" s="124">
        <f t="array" ref="T19">'Surplus Heat'!C5/1000</f>
        <v>44.627692810925467</v>
      </c>
      <c r="U19" s="125"/>
      <c r="X19" s="58" t="s">
        <v>984</v>
      </c>
      <c r="Y19" s="213" t="s">
        <v>1306</v>
      </c>
      <c r="Z19" s="215" t="s">
        <v>1168</v>
      </c>
      <c r="AA19" s="214" t="s">
        <v>484</v>
      </c>
      <c r="AB19" s="214" t="s">
        <v>562</v>
      </c>
      <c r="AC19" s="214" t="s">
        <v>1169</v>
      </c>
      <c r="AD19" s="214"/>
      <c r="AE19" s="214" t="s">
        <v>1170</v>
      </c>
    </row>
    <row r="20" spans="2:31" ht="15">
      <c r="B20" s="128" t="s">
        <v>1306</v>
      </c>
      <c r="C20" s="128" t="s">
        <v>1167</v>
      </c>
      <c r="D20" s="128"/>
      <c r="E20" s="128"/>
      <c r="F20" s="128" t="s">
        <v>535</v>
      </c>
      <c r="G20" s="128" t="s">
        <v>1063</v>
      </c>
      <c r="H20" s="128">
        <v>2022</v>
      </c>
      <c r="I20" s="128">
        <v>10</v>
      </c>
      <c r="J20" s="128">
        <v>1</v>
      </c>
      <c r="K20" s="128"/>
      <c r="L20" s="128"/>
      <c r="M20" s="128">
        <f>1-M21</f>
        <v>0.8214285714285714</v>
      </c>
      <c r="N20" s="128">
        <f>HP_data!C12</f>
        <v>25</v>
      </c>
      <c r="O20" s="128">
        <f>ROUND(1-HP_data!C11/52,2)</f>
        <v>0.98</v>
      </c>
      <c r="P20" s="128">
        <f>HP_data!C28*1000+(HE_data!C27/HE_data!C8*10^3)</f>
        <v>897.64674070652813</v>
      </c>
      <c r="Q20" s="128">
        <f>HP_data!C32/1000</f>
        <v>2</v>
      </c>
      <c r="R20" s="128">
        <f>(HP_data!C33/1000)/S18</f>
        <v>6.9444444444444444E-5</v>
      </c>
      <c r="S20" s="128">
        <f t="shared" si="0"/>
        <v>31.536000000000001</v>
      </c>
      <c r="T20" s="128">
        <v>15</v>
      </c>
      <c r="U20" s="128"/>
    </row>
    <row r="21" spans="2:31" ht="15">
      <c r="B21" s="128"/>
      <c r="C21" s="128"/>
      <c r="D21" s="128"/>
      <c r="E21" s="128" t="s">
        <v>1171</v>
      </c>
      <c r="F21" s="128"/>
      <c r="G21" s="128"/>
      <c r="H21" s="128"/>
      <c r="I21" s="128"/>
      <c r="J21" s="128"/>
      <c r="K21" s="128"/>
      <c r="L21" s="128"/>
      <c r="M21" s="128">
        <f>1/(1+HP_data!C8/100)</f>
        <v>0.17857142857142858</v>
      </c>
      <c r="N21" s="128"/>
      <c r="O21" s="128"/>
      <c r="P21" s="128"/>
      <c r="Q21" s="128"/>
      <c r="R21" s="128"/>
      <c r="S21" s="128"/>
      <c r="T21" s="128"/>
      <c r="U21" s="128"/>
      <c r="X21" s="65"/>
      <c r="Y21" s="214"/>
      <c r="Z21" s="214"/>
      <c r="AA21" s="214"/>
      <c r="AB21" s="214"/>
      <c r="AC21" s="214"/>
      <c r="AD21" s="214"/>
      <c r="AE21" s="214"/>
    </row>
    <row r="22" spans="2:31" ht="15">
      <c r="B22" s="119" t="str">
        <f>Y17</f>
        <v>DH_STG_HETD_N1</v>
      </c>
      <c r="C22" s="119" t="str">
        <f>Z17</f>
        <v>Thermal decentrialised water storage tank</v>
      </c>
      <c r="D22" s="119" t="s">
        <v>485</v>
      </c>
      <c r="E22" s="119"/>
      <c r="F22" s="119" t="s">
        <v>485</v>
      </c>
      <c r="G22" s="119"/>
      <c r="H22" s="119">
        <v>2022</v>
      </c>
      <c r="I22" s="119"/>
      <c r="J22" s="120"/>
      <c r="K22" s="120">
        <v>0.98</v>
      </c>
      <c r="L22" s="120">
        <v>0.68</v>
      </c>
      <c r="M22" s="121"/>
      <c r="N22" s="122">
        <v>40</v>
      </c>
      <c r="O22" s="120">
        <v>0.95</v>
      </c>
      <c r="P22" s="120">
        <v>823.6</v>
      </c>
      <c r="Q22" s="127">
        <v>2</v>
      </c>
      <c r="R22" s="163"/>
      <c r="S22" s="123">
        <f>8760*3.6/10^3</f>
        <v>31.536000000000001</v>
      </c>
      <c r="T22" s="124"/>
      <c r="U22" s="125"/>
    </row>
    <row r="23" spans="2:31" ht="15">
      <c r="B23" s="128" t="str">
        <f>Y18</f>
        <v>DH_STG_HETC_N1</v>
      </c>
      <c r="C23" s="128" t="str">
        <f>Z18</f>
        <v>Thermal Centrialised water storage tank</v>
      </c>
      <c r="D23" s="128" t="s">
        <v>535</v>
      </c>
      <c r="E23" s="128"/>
      <c r="F23" s="128" t="s">
        <v>535</v>
      </c>
      <c r="G23" s="128"/>
      <c r="H23" s="128">
        <v>2022</v>
      </c>
      <c r="I23" s="128"/>
      <c r="J23" s="128"/>
      <c r="K23" s="128">
        <v>0.7</v>
      </c>
      <c r="L23" s="128">
        <v>0.53</v>
      </c>
      <c r="M23" s="128"/>
      <c r="N23" s="128">
        <v>20</v>
      </c>
      <c r="O23" s="128">
        <v>0.95</v>
      </c>
      <c r="P23" s="128">
        <v>161</v>
      </c>
      <c r="Q23" s="128">
        <v>2</v>
      </c>
      <c r="R23" s="128"/>
      <c r="S23" s="128">
        <f>8760*3.6/10^3</f>
        <v>31.536000000000001</v>
      </c>
      <c r="T23" s="128"/>
      <c r="U23" s="128"/>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heetViews>
  <sheetFormatPr defaultRowHeight="12.75"/>
  <sheetData>
    <row r="1" spans="1:13">
      <c r="A1" s="285"/>
      <c r="B1" s="286" t="s">
        <v>1265</v>
      </c>
      <c r="C1" s="285"/>
      <c r="D1" s="285"/>
      <c r="E1" s="285"/>
      <c r="F1" s="285"/>
      <c r="G1" s="285"/>
      <c r="H1" s="285"/>
      <c r="I1" s="285"/>
      <c r="J1" s="285"/>
      <c r="K1" s="285"/>
      <c r="L1" s="285"/>
      <c r="M1" s="285"/>
    </row>
    <row r="3" spans="1:13" ht="22.5" customHeight="1">
      <c r="A3" s="310" t="s">
        <v>656</v>
      </c>
      <c r="B3" s="310"/>
      <c r="C3" s="311" t="s">
        <v>1266</v>
      </c>
      <c r="D3" s="312"/>
      <c r="E3" s="312"/>
      <c r="F3" s="312"/>
      <c r="G3" s="312"/>
      <c r="H3" s="312"/>
      <c r="I3" s="312"/>
      <c r="J3" s="312"/>
      <c r="K3" s="312"/>
      <c r="L3" s="312"/>
      <c r="M3" s="312"/>
    </row>
    <row r="4" spans="1:13" ht="12.75" customHeight="1">
      <c r="A4" s="313" t="s">
        <v>654</v>
      </c>
      <c r="B4" s="313"/>
      <c r="C4" s="288">
        <v>2020</v>
      </c>
      <c r="D4" s="288">
        <v>2025</v>
      </c>
      <c r="E4" s="288">
        <v>2030</v>
      </c>
      <c r="F4" s="288">
        <v>2040</v>
      </c>
      <c r="G4" s="288">
        <v>2050</v>
      </c>
      <c r="H4" s="288">
        <v>2025</v>
      </c>
      <c r="I4" s="288">
        <v>2025</v>
      </c>
      <c r="J4" s="288">
        <v>2050</v>
      </c>
      <c r="K4" s="288">
        <v>2050</v>
      </c>
      <c r="L4" s="288" t="s">
        <v>653</v>
      </c>
      <c r="M4" s="288" t="s">
        <v>653</v>
      </c>
    </row>
    <row r="5" spans="1:13">
      <c r="A5" s="314" t="s">
        <v>652</v>
      </c>
      <c r="B5" s="314"/>
      <c r="C5" s="289" t="s">
        <v>651</v>
      </c>
      <c r="D5" s="289" t="s">
        <v>651</v>
      </c>
      <c r="E5" s="289" t="s">
        <v>651</v>
      </c>
      <c r="F5" s="289" t="s">
        <v>651</v>
      </c>
      <c r="G5" s="289" t="s">
        <v>651</v>
      </c>
      <c r="H5" s="288" t="s">
        <v>650</v>
      </c>
      <c r="I5" s="288" t="s">
        <v>649</v>
      </c>
      <c r="J5" s="288" t="s">
        <v>650</v>
      </c>
      <c r="K5" s="288" t="s">
        <v>649</v>
      </c>
      <c r="L5" s="288" t="s">
        <v>648</v>
      </c>
      <c r="M5" s="288" t="s">
        <v>647</v>
      </c>
    </row>
    <row r="6" spans="1:13">
      <c r="A6" s="290" t="s">
        <v>646</v>
      </c>
      <c r="B6" s="290" t="s">
        <v>645</v>
      </c>
      <c r="C6" s="288"/>
      <c r="D6" s="288"/>
      <c r="E6" s="288"/>
      <c r="F6" s="288"/>
      <c r="G6" s="288"/>
      <c r="H6" s="288"/>
      <c r="I6" s="288"/>
      <c r="J6" s="288"/>
      <c r="K6" s="288"/>
      <c r="L6" s="288"/>
      <c r="M6" s="288"/>
    </row>
    <row r="7" spans="1:13">
      <c r="A7" s="291" t="s">
        <v>644</v>
      </c>
      <c r="B7" s="291"/>
      <c r="C7" s="292"/>
      <c r="D7" s="292"/>
      <c r="E7" s="292"/>
      <c r="F7" s="292"/>
      <c r="G7" s="292"/>
      <c r="H7" s="292"/>
      <c r="I7" s="292"/>
      <c r="J7" s="292"/>
      <c r="K7" s="292"/>
      <c r="L7" s="292"/>
      <c r="M7" s="292"/>
    </row>
    <row r="8" spans="1:13">
      <c r="A8" s="292"/>
      <c r="B8" s="293" t="s">
        <v>1267</v>
      </c>
      <c r="C8" s="294">
        <v>400</v>
      </c>
      <c r="D8" s="294">
        <v>400</v>
      </c>
      <c r="E8" s="294">
        <v>400</v>
      </c>
      <c r="F8" s="294">
        <v>400</v>
      </c>
      <c r="G8" s="294">
        <v>400</v>
      </c>
      <c r="H8" s="294">
        <v>150</v>
      </c>
      <c r="I8" s="294">
        <v>500</v>
      </c>
      <c r="J8" s="294">
        <v>150</v>
      </c>
      <c r="K8" s="294">
        <v>500</v>
      </c>
      <c r="L8" s="294" t="s">
        <v>1268</v>
      </c>
      <c r="M8" s="294"/>
    </row>
    <row r="9" spans="1:13">
      <c r="A9" s="292"/>
      <c r="B9" s="293" t="s">
        <v>1269</v>
      </c>
      <c r="C9" s="295">
        <v>1</v>
      </c>
      <c r="D9" s="295">
        <v>1</v>
      </c>
      <c r="E9" s="295">
        <v>1</v>
      </c>
      <c r="F9" s="295">
        <v>1</v>
      </c>
      <c r="G9" s="295">
        <v>1</v>
      </c>
      <c r="H9" s="295">
        <v>1</v>
      </c>
      <c r="I9" s="295">
        <v>1</v>
      </c>
      <c r="J9" s="295">
        <v>1</v>
      </c>
      <c r="K9" s="295">
        <v>1</v>
      </c>
      <c r="L9" s="294"/>
      <c r="M9" s="294"/>
    </row>
    <row r="10" spans="1:13">
      <c r="A10" s="292"/>
      <c r="B10" s="293" t="s">
        <v>1270</v>
      </c>
      <c r="C10" s="295">
        <v>1</v>
      </c>
      <c r="D10" s="295">
        <v>1</v>
      </c>
      <c r="E10" s="295">
        <v>1</v>
      </c>
      <c r="F10" s="295">
        <v>1</v>
      </c>
      <c r="G10" s="295">
        <v>1</v>
      </c>
      <c r="H10" s="295">
        <v>1</v>
      </c>
      <c r="I10" s="295">
        <v>1</v>
      </c>
      <c r="J10" s="295">
        <v>1</v>
      </c>
      <c r="K10" s="295">
        <v>1</v>
      </c>
      <c r="L10" s="294"/>
      <c r="M10" s="294"/>
    </row>
    <row r="11" spans="1:13">
      <c r="A11" s="292"/>
      <c r="B11" s="293" t="s">
        <v>1271</v>
      </c>
      <c r="C11" s="295">
        <v>1</v>
      </c>
      <c r="D11" s="295">
        <v>1</v>
      </c>
      <c r="E11" s="295">
        <v>1</v>
      </c>
      <c r="F11" s="295">
        <v>1</v>
      </c>
      <c r="G11" s="295">
        <v>1</v>
      </c>
      <c r="H11" s="295">
        <v>0.98</v>
      </c>
      <c r="I11" s="295">
        <v>1</v>
      </c>
      <c r="J11" s="295">
        <v>0.98</v>
      </c>
      <c r="K11" s="295">
        <v>1</v>
      </c>
      <c r="L11" s="294" t="s">
        <v>1272</v>
      </c>
      <c r="M11" s="294"/>
    </row>
    <row r="12" spans="1:13">
      <c r="A12" s="292"/>
      <c r="B12" s="293" t="s">
        <v>1273</v>
      </c>
      <c r="C12" s="294">
        <v>600</v>
      </c>
      <c r="D12" s="294">
        <v>550</v>
      </c>
      <c r="E12" s="294">
        <v>500</v>
      </c>
      <c r="F12" s="294">
        <v>450</v>
      </c>
      <c r="G12" s="294">
        <v>400</v>
      </c>
      <c r="H12" s="294">
        <v>400</v>
      </c>
      <c r="I12" s="294">
        <v>1000</v>
      </c>
      <c r="J12" s="294">
        <v>250</v>
      </c>
      <c r="K12" s="294">
        <v>800</v>
      </c>
      <c r="L12" s="294" t="s">
        <v>772</v>
      </c>
      <c r="M12" s="294"/>
    </row>
    <row r="13" spans="1:13">
      <c r="A13" s="285"/>
      <c r="B13" s="293" t="s">
        <v>1274</v>
      </c>
      <c r="C13" s="294">
        <v>25</v>
      </c>
      <c r="D13" s="294">
        <v>25</v>
      </c>
      <c r="E13" s="294">
        <v>25</v>
      </c>
      <c r="F13" s="294">
        <v>25</v>
      </c>
      <c r="G13" s="294">
        <v>25</v>
      </c>
      <c r="H13" s="294">
        <v>20</v>
      </c>
      <c r="I13" s="294">
        <v>30</v>
      </c>
      <c r="J13" s="294">
        <v>20</v>
      </c>
      <c r="K13" s="294">
        <v>30</v>
      </c>
      <c r="L13" s="294"/>
      <c r="M13" s="294">
        <v>8</v>
      </c>
    </row>
    <row r="14" spans="1:13">
      <c r="A14" s="291" t="s">
        <v>1275</v>
      </c>
      <c r="B14" s="291"/>
      <c r="C14" s="296"/>
      <c r="D14" s="297"/>
      <c r="E14" s="297"/>
      <c r="F14" s="297"/>
      <c r="G14" s="297"/>
      <c r="H14" s="297"/>
      <c r="I14" s="297"/>
      <c r="J14" s="297"/>
      <c r="K14" s="297"/>
      <c r="L14" s="297"/>
      <c r="M14" s="297"/>
    </row>
    <row r="15" spans="1:13">
      <c r="A15" s="292"/>
      <c r="B15" s="293" t="s">
        <v>1276</v>
      </c>
      <c r="C15" s="294"/>
      <c r="D15" s="294"/>
      <c r="E15" s="294"/>
      <c r="F15" s="294"/>
      <c r="G15" s="294"/>
      <c r="H15" s="294"/>
      <c r="I15" s="294"/>
      <c r="J15" s="294"/>
      <c r="K15" s="294"/>
      <c r="L15" s="294"/>
      <c r="M15" s="294"/>
    </row>
    <row r="16" spans="1:13">
      <c r="A16" s="292"/>
      <c r="B16" s="293" t="s">
        <v>1277</v>
      </c>
      <c r="C16" s="294"/>
      <c r="D16" s="294"/>
      <c r="E16" s="294"/>
      <c r="F16" s="294"/>
      <c r="G16" s="294"/>
      <c r="H16" s="294"/>
      <c r="I16" s="294"/>
      <c r="J16" s="294"/>
      <c r="K16" s="294"/>
      <c r="L16" s="294"/>
      <c r="M16" s="294"/>
    </row>
    <row r="17" spans="1:13">
      <c r="A17" s="292"/>
      <c r="B17" s="293" t="s">
        <v>1278</v>
      </c>
      <c r="C17" s="294"/>
      <c r="D17" s="294"/>
      <c r="E17" s="294"/>
      <c r="F17" s="294"/>
      <c r="G17" s="294"/>
      <c r="H17" s="294"/>
      <c r="I17" s="294"/>
      <c r="J17" s="294"/>
      <c r="K17" s="294"/>
      <c r="L17" s="294"/>
      <c r="M17" s="294"/>
    </row>
    <row r="18" spans="1:13">
      <c r="A18" s="292"/>
      <c r="B18" s="293" t="s">
        <v>627</v>
      </c>
      <c r="C18" s="294"/>
      <c r="D18" s="294"/>
      <c r="E18" s="294"/>
      <c r="F18" s="294"/>
      <c r="G18" s="294"/>
      <c r="H18" s="294"/>
      <c r="I18" s="294"/>
      <c r="J18" s="294"/>
      <c r="K18" s="294"/>
      <c r="L18" s="294"/>
      <c r="M18" s="294"/>
    </row>
    <row r="19" spans="1:13">
      <c r="A19" s="292"/>
      <c r="B19" s="293" t="s">
        <v>626</v>
      </c>
      <c r="C19" s="294"/>
      <c r="D19" s="294"/>
      <c r="E19" s="294"/>
      <c r="F19" s="294"/>
      <c r="G19" s="294"/>
      <c r="H19" s="294"/>
      <c r="I19" s="294"/>
      <c r="J19" s="294"/>
      <c r="K19" s="294"/>
      <c r="L19" s="294"/>
      <c r="M19" s="294"/>
    </row>
    <row r="20" spans="1:13">
      <c r="A20" s="291" t="s">
        <v>625</v>
      </c>
      <c r="B20" s="291"/>
      <c r="C20" s="296"/>
      <c r="D20" s="297"/>
      <c r="E20" s="297"/>
      <c r="F20" s="297"/>
      <c r="G20" s="297"/>
      <c r="H20" s="297"/>
      <c r="I20" s="297"/>
      <c r="J20" s="297"/>
      <c r="K20" s="297"/>
      <c r="L20" s="297"/>
      <c r="M20" s="297"/>
    </row>
    <row r="21" spans="1:13">
      <c r="A21" s="292"/>
      <c r="B21" s="293" t="s">
        <v>1279</v>
      </c>
      <c r="C21" s="294"/>
      <c r="D21" s="294"/>
      <c r="E21" s="294"/>
      <c r="F21" s="294"/>
      <c r="G21" s="294"/>
      <c r="H21" s="294"/>
      <c r="I21" s="294"/>
      <c r="J21" s="294"/>
      <c r="K21" s="294"/>
      <c r="L21" s="294"/>
      <c r="M21" s="294"/>
    </row>
    <row r="22" spans="1:13">
      <c r="A22" s="292"/>
      <c r="B22" s="298" t="s">
        <v>1280</v>
      </c>
      <c r="C22" s="294"/>
      <c r="D22" s="294"/>
      <c r="E22" s="294"/>
      <c r="F22" s="294"/>
      <c r="G22" s="294"/>
      <c r="H22" s="294"/>
      <c r="I22" s="294"/>
      <c r="J22" s="294"/>
      <c r="K22" s="294"/>
      <c r="L22" s="294"/>
      <c r="M22" s="294"/>
    </row>
    <row r="23" spans="1:13">
      <c r="A23" s="292"/>
      <c r="B23" s="298" t="s">
        <v>1281</v>
      </c>
      <c r="C23" s="294"/>
      <c r="D23" s="294"/>
      <c r="E23" s="294"/>
      <c r="F23" s="294"/>
      <c r="G23" s="294"/>
      <c r="H23" s="294"/>
      <c r="I23" s="294"/>
      <c r="J23" s="294"/>
      <c r="K23" s="294"/>
      <c r="L23" s="294"/>
      <c r="M23" s="294"/>
    </row>
    <row r="24" spans="1:13">
      <c r="A24" s="292"/>
      <c r="B24" s="298" t="s">
        <v>622</v>
      </c>
      <c r="C24" s="294"/>
      <c r="D24" s="294"/>
      <c r="E24" s="294"/>
      <c r="F24" s="294"/>
      <c r="G24" s="294"/>
      <c r="H24" s="294"/>
      <c r="I24" s="294"/>
      <c r="J24" s="294"/>
      <c r="K24" s="294"/>
      <c r="L24" s="294"/>
      <c r="M24" s="294"/>
    </row>
    <row r="25" spans="1:13">
      <c r="A25" s="292"/>
      <c r="B25" s="298" t="s">
        <v>621</v>
      </c>
      <c r="C25" s="294"/>
      <c r="D25" s="294"/>
      <c r="E25" s="294"/>
      <c r="F25" s="294"/>
      <c r="G25" s="294"/>
      <c r="H25" s="294"/>
      <c r="I25" s="294"/>
      <c r="J25" s="294"/>
      <c r="K25" s="294"/>
      <c r="L25" s="294"/>
      <c r="M25" s="294"/>
    </row>
    <row r="26" spans="1:13">
      <c r="A26" s="291" t="s">
        <v>620</v>
      </c>
      <c r="B26" s="291"/>
      <c r="C26" s="296"/>
      <c r="D26" s="297"/>
      <c r="E26" s="297"/>
      <c r="F26" s="297"/>
      <c r="G26" s="297"/>
      <c r="H26" s="297"/>
      <c r="I26" s="297"/>
      <c r="J26" s="297"/>
      <c r="K26" s="297"/>
      <c r="L26" s="297"/>
      <c r="M26" s="297"/>
    </row>
    <row r="27" spans="1:13">
      <c r="A27" s="285"/>
      <c r="B27" s="298" t="s">
        <v>1282</v>
      </c>
      <c r="C27" s="299">
        <v>16.559999999999999</v>
      </c>
      <c r="D27" s="299">
        <v>16.150119351698251</v>
      </c>
      <c r="E27" s="299">
        <v>15.750383760513184</v>
      </c>
      <c r="F27" s="299">
        <v>14.980349553347672</v>
      </c>
      <c r="G27" s="299">
        <v>14.247962218107373</v>
      </c>
      <c r="H27" s="299">
        <v>13.727601448943513</v>
      </c>
      <c r="I27" s="299">
        <v>19.380143222037898</v>
      </c>
      <c r="J27" s="299">
        <v>12.110767885391267</v>
      </c>
      <c r="K27" s="299">
        <v>17.097554661728847</v>
      </c>
      <c r="L27" s="294" t="s">
        <v>628</v>
      </c>
      <c r="M27" s="294" t="s">
        <v>1283</v>
      </c>
    </row>
    <row r="28" spans="1:13">
      <c r="A28" s="285"/>
      <c r="B28" s="298" t="s">
        <v>1284</v>
      </c>
      <c r="C28" s="299">
        <v>11.591999999999999</v>
      </c>
      <c r="D28" s="299">
        <v>11.305083546188776</v>
      </c>
      <c r="E28" s="299">
        <v>11.025268632359229</v>
      </c>
      <c r="F28" s="299">
        <v>10.486244687343369</v>
      </c>
      <c r="G28" s="299">
        <v>9.9735735526751608</v>
      </c>
      <c r="H28" s="299">
        <v>9.609321014260459</v>
      </c>
      <c r="I28" s="299">
        <v>13.566100255426528</v>
      </c>
      <c r="J28" s="299">
        <v>8.477537519773886</v>
      </c>
      <c r="K28" s="299">
        <v>11.968288263210191</v>
      </c>
      <c r="L28" s="295"/>
      <c r="M28" s="295"/>
    </row>
    <row r="29" spans="1:13">
      <c r="A29" s="285"/>
      <c r="B29" s="298" t="s">
        <v>1285</v>
      </c>
      <c r="C29" s="299">
        <v>4.9679999999999991</v>
      </c>
      <c r="D29" s="299">
        <v>4.8450358055094744</v>
      </c>
      <c r="E29" s="299">
        <v>4.7251151281539547</v>
      </c>
      <c r="F29" s="299">
        <v>4.4941048660043004</v>
      </c>
      <c r="G29" s="299">
        <v>4.2743886654322107</v>
      </c>
      <c r="H29" s="299">
        <v>4.1182804346830535</v>
      </c>
      <c r="I29" s="299">
        <v>5.8140429666113684</v>
      </c>
      <c r="J29" s="299">
        <v>3.6332303656173792</v>
      </c>
      <c r="K29" s="299">
        <v>5.1292663985186522</v>
      </c>
      <c r="L29" s="295"/>
      <c r="M29" s="295"/>
    </row>
    <row r="30" spans="1:13">
      <c r="A30" s="285"/>
      <c r="B30" s="298" t="s">
        <v>1286</v>
      </c>
      <c r="C30" s="295">
        <v>4</v>
      </c>
      <c r="D30" s="295">
        <v>4</v>
      </c>
      <c r="E30" s="295">
        <v>4</v>
      </c>
      <c r="F30" s="295">
        <v>4</v>
      </c>
      <c r="G30" s="295">
        <v>4</v>
      </c>
      <c r="H30" s="295">
        <v>4</v>
      </c>
      <c r="I30" s="295">
        <v>4</v>
      </c>
      <c r="J30" s="295">
        <v>4</v>
      </c>
      <c r="K30" s="295">
        <v>4</v>
      </c>
      <c r="L30" s="294" t="s">
        <v>1287</v>
      </c>
      <c r="M30" s="295"/>
    </row>
    <row r="31" spans="1:13">
      <c r="A31" s="292"/>
      <c r="B31" s="293" t="s">
        <v>1288</v>
      </c>
      <c r="C31" s="300">
        <v>140.4</v>
      </c>
      <c r="D31" s="300">
        <v>143.25</v>
      </c>
      <c r="E31" s="300">
        <v>144.5</v>
      </c>
      <c r="F31" s="300">
        <v>138.55000000000001</v>
      </c>
      <c r="G31" s="300">
        <v>131.80000000000001</v>
      </c>
      <c r="H31" s="300">
        <v>110.5</v>
      </c>
      <c r="I31" s="300">
        <v>201.5</v>
      </c>
      <c r="J31" s="300">
        <v>94.25</v>
      </c>
      <c r="K31" s="300">
        <v>198.60000000000002</v>
      </c>
      <c r="L31" s="295" t="s">
        <v>704</v>
      </c>
      <c r="M31" s="294"/>
    </row>
    <row r="32" spans="1:13">
      <c r="A32" s="285"/>
      <c r="B32" s="293" t="s">
        <v>1289</v>
      </c>
      <c r="C32" s="301">
        <v>41.400000000000006</v>
      </c>
      <c r="D32" s="301">
        <v>46.75</v>
      </c>
      <c r="E32" s="301">
        <v>50.5</v>
      </c>
      <c r="F32" s="301">
        <v>49.05</v>
      </c>
      <c r="G32" s="301">
        <v>46.800000000000004</v>
      </c>
      <c r="H32" s="301">
        <v>34</v>
      </c>
      <c r="I32" s="301">
        <v>85</v>
      </c>
      <c r="J32" s="301">
        <v>29.25</v>
      </c>
      <c r="K32" s="301">
        <v>93.600000000000009</v>
      </c>
      <c r="L32" s="295"/>
      <c r="M32" s="295"/>
    </row>
    <row r="33" spans="1:13">
      <c r="A33" s="285"/>
      <c r="B33" s="293" t="s">
        <v>1290</v>
      </c>
      <c r="C33" s="302">
        <v>99</v>
      </c>
      <c r="D33" s="302">
        <v>96.5</v>
      </c>
      <c r="E33" s="302">
        <v>94</v>
      </c>
      <c r="F33" s="302">
        <v>89.5</v>
      </c>
      <c r="G33" s="302">
        <v>85</v>
      </c>
      <c r="H33" s="302">
        <v>76.5</v>
      </c>
      <c r="I33" s="302">
        <v>116.5</v>
      </c>
      <c r="J33" s="302">
        <v>65</v>
      </c>
      <c r="K33" s="302">
        <v>105</v>
      </c>
      <c r="L33" s="295"/>
      <c r="M33" s="295"/>
    </row>
    <row r="34" spans="1:13">
      <c r="A34" s="292"/>
      <c r="B34" s="293" t="s">
        <v>1291</v>
      </c>
      <c r="C34" s="300">
        <v>0</v>
      </c>
      <c r="D34" s="300">
        <v>0</v>
      </c>
      <c r="E34" s="300">
        <v>0</v>
      </c>
      <c r="F34" s="300">
        <v>0</v>
      </c>
      <c r="G34" s="300">
        <v>0</v>
      </c>
      <c r="H34" s="300">
        <v>0</v>
      </c>
      <c r="I34" s="300">
        <v>0</v>
      </c>
      <c r="J34" s="300">
        <v>0</v>
      </c>
      <c r="K34" s="300">
        <v>0</v>
      </c>
      <c r="L34" s="294"/>
      <c r="M34" s="294"/>
    </row>
    <row r="35" spans="1:13">
      <c r="A35" s="303" t="s">
        <v>1227</v>
      </c>
      <c r="B35" s="303"/>
      <c r="C35" s="296"/>
      <c r="D35" s="297"/>
      <c r="E35" s="297"/>
      <c r="F35" s="297"/>
      <c r="G35" s="297"/>
      <c r="H35" s="297"/>
      <c r="I35" s="297"/>
      <c r="J35" s="297"/>
      <c r="K35" s="297"/>
      <c r="L35" s="297"/>
      <c r="M35" s="297"/>
    </row>
    <row r="36" spans="1:13">
      <c r="A36" s="303"/>
      <c r="B36" s="303"/>
      <c r="C36" s="296"/>
      <c r="D36" s="297"/>
      <c r="E36" s="297"/>
      <c r="F36" s="297"/>
      <c r="G36" s="297"/>
      <c r="H36" s="297"/>
      <c r="I36" s="297"/>
      <c r="J36" s="297"/>
      <c r="K36" s="297"/>
      <c r="L36" s="297"/>
      <c r="M36" s="297"/>
    </row>
    <row r="37" spans="1:13">
      <c r="A37" s="303"/>
      <c r="B37" s="303"/>
      <c r="C37" s="296"/>
      <c r="D37" s="297"/>
      <c r="E37" s="297"/>
      <c r="F37" s="297"/>
      <c r="G37" s="297"/>
      <c r="H37" s="297"/>
      <c r="I37" s="297"/>
      <c r="J37" s="297"/>
      <c r="K37" s="297"/>
      <c r="L37" s="297"/>
      <c r="M37" s="297"/>
    </row>
    <row r="38" spans="1:13">
      <c r="A38" s="304" t="s">
        <v>567</v>
      </c>
      <c r="B38" s="285"/>
      <c r="C38" s="285"/>
      <c r="D38" s="285"/>
      <c r="E38" s="285"/>
      <c r="F38" s="285"/>
      <c r="G38" s="285"/>
      <c r="H38" s="285"/>
      <c r="I38" s="285"/>
      <c r="J38" s="285"/>
      <c r="K38" s="285"/>
      <c r="L38" s="295"/>
      <c r="M38" s="295"/>
    </row>
    <row r="39" spans="1:13">
      <c r="A39" s="295"/>
      <c r="B39" s="287" t="s">
        <v>1292</v>
      </c>
      <c r="C39" s="285"/>
      <c r="D39" s="285"/>
      <c r="E39" s="285"/>
      <c r="F39" s="285"/>
      <c r="G39" s="285"/>
      <c r="H39" s="285"/>
      <c r="I39" s="285"/>
      <c r="J39" s="285"/>
      <c r="K39" s="285"/>
      <c r="L39" s="285"/>
      <c r="M39" s="285"/>
    </row>
    <row r="40" spans="1:13">
      <c r="A40" s="295"/>
      <c r="B40" s="287" t="s">
        <v>1293</v>
      </c>
      <c r="C40" s="285"/>
      <c r="D40" s="285"/>
      <c r="E40" s="285"/>
      <c r="F40" s="285"/>
      <c r="G40" s="285"/>
      <c r="H40" s="285"/>
      <c r="I40" s="285"/>
      <c r="J40" s="285"/>
      <c r="K40" s="285"/>
      <c r="L40" s="285"/>
      <c r="M40" s="285"/>
    </row>
    <row r="41" spans="1:13">
      <c r="A41" s="295"/>
      <c r="B41" s="287" t="s">
        <v>1294</v>
      </c>
      <c r="C41" s="285"/>
      <c r="D41" s="285"/>
      <c r="E41" s="285"/>
      <c r="F41" s="285"/>
      <c r="G41" s="285"/>
      <c r="H41" s="285"/>
      <c r="I41" s="285"/>
      <c r="J41" s="285"/>
      <c r="K41" s="285"/>
      <c r="L41" s="285"/>
      <c r="M41" s="285"/>
    </row>
    <row r="42" spans="1:13">
      <c r="A42" s="295"/>
      <c r="B42" s="287" t="s">
        <v>1295</v>
      </c>
      <c r="C42" s="285"/>
      <c r="D42" s="285"/>
      <c r="E42" s="285"/>
      <c r="F42" s="285"/>
      <c r="G42" s="285"/>
      <c r="H42" s="285"/>
      <c r="I42" s="285"/>
      <c r="J42" s="285"/>
      <c r="K42" s="285"/>
      <c r="L42" s="285"/>
      <c r="M42" s="285"/>
    </row>
    <row r="43" spans="1:13">
      <c r="A43" s="295"/>
      <c r="B43" s="287" t="s">
        <v>1296</v>
      </c>
      <c r="C43" s="285"/>
      <c r="D43" s="285"/>
      <c r="E43" s="285"/>
      <c r="F43" s="285"/>
      <c r="G43" s="285"/>
      <c r="H43" s="285"/>
      <c r="I43" s="285"/>
      <c r="J43" s="285"/>
      <c r="K43" s="285"/>
      <c r="L43" s="285"/>
      <c r="M43" s="285"/>
    </row>
    <row r="44" spans="1:13">
      <c r="A44" s="295"/>
      <c r="B44" s="285"/>
      <c r="C44" s="285"/>
      <c r="D44" s="285"/>
      <c r="E44" s="285"/>
      <c r="F44" s="285"/>
      <c r="G44" s="285"/>
      <c r="H44" s="285"/>
      <c r="I44" s="285"/>
      <c r="J44" s="285"/>
      <c r="K44" s="285"/>
      <c r="L44" s="285"/>
      <c r="M44" s="285"/>
    </row>
    <row r="45" spans="1:13">
      <c r="A45" s="304" t="s">
        <v>589</v>
      </c>
      <c r="B45" s="285"/>
      <c r="C45" s="285"/>
      <c r="D45" s="285"/>
      <c r="E45" s="285"/>
      <c r="F45" s="285"/>
      <c r="G45" s="285"/>
      <c r="H45" s="285"/>
      <c r="I45" s="285"/>
      <c r="J45" s="285"/>
      <c r="K45" s="285"/>
      <c r="L45" s="285"/>
      <c r="M45" s="285"/>
    </row>
    <row r="46" spans="1:13">
      <c r="A46" s="295"/>
      <c r="B46" s="287" t="s">
        <v>1297</v>
      </c>
      <c r="C46" s="285"/>
      <c r="D46" s="285"/>
      <c r="E46" s="285"/>
      <c r="F46" s="285"/>
      <c r="G46" s="285"/>
      <c r="H46" s="285"/>
      <c r="I46" s="285"/>
      <c r="J46" s="285"/>
      <c r="K46" s="285"/>
      <c r="L46" s="285"/>
      <c r="M46" s="285"/>
    </row>
    <row r="47" spans="1:13">
      <c r="A47" s="295"/>
      <c r="B47" s="287" t="s">
        <v>1298</v>
      </c>
      <c r="C47" s="285"/>
      <c r="D47" s="285"/>
      <c r="E47" s="285"/>
      <c r="F47" s="285"/>
      <c r="G47" s="285"/>
      <c r="H47" s="285"/>
      <c r="I47" s="285"/>
      <c r="J47" s="285"/>
      <c r="K47" s="285"/>
      <c r="L47" s="285"/>
      <c r="M47" s="285"/>
    </row>
    <row r="48" spans="1:13">
      <c r="A48" s="295"/>
      <c r="B48" s="287" t="s">
        <v>1299</v>
      </c>
      <c r="C48" s="285"/>
      <c r="D48" s="285"/>
      <c r="E48" s="285"/>
      <c r="F48" s="285"/>
      <c r="G48" s="285"/>
      <c r="H48" s="285"/>
      <c r="I48" s="285"/>
      <c r="J48" s="285"/>
      <c r="K48" s="285"/>
      <c r="L48" s="285"/>
      <c r="M48" s="285"/>
    </row>
    <row r="49" spans="1:13">
      <c r="A49" s="295"/>
      <c r="B49" s="287" t="s">
        <v>1300</v>
      </c>
      <c r="C49" s="274"/>
      <c r="D49" s="274"/>
      <c r="E49" s="274"/>
      <c r="F49" s="274"/>
      <c r="G49" s="274"/>
      <c r="H49" s="274"/>
      <c r="I49" s="274"/>
      <c r="J49" s="274"/>
      <c r="K49" s="274"/>
      <c r="L49" s="274"/>
      <c r="M49" s="274"/>
    </row>
    <row r="50" spans="1:13">
      <c r="A50" s="295"/>
      <c r="B50" s="287" t="s">
        <v>1301</v>
      </c>
      <c r="C50" s="274"/>
      <c r="D50" s="274"/>
      <c r="E50" s="274"/>
      <c r="F50" s="274"/>
      <c r="G50" s="274"/>
      <c r="H50" s="274"/>
      <c r="I50" s="274"/>
      <c r="J50" s="274"/>
      <c r="K50" s="274"/>
      <c r="L50" s="274"/>
      <c r="M50" s="274"/>
    </row>
    <row r="51" spans="1:13">
      <c r="A51" s="295"/>
      <c r="B51" s="287" t="s">
        <v>1302</v>
      </c>
      <c r="C51" s="274"/>
      <c r="D51" s="274"/>
      <c r="E51" s="274"/>
      <c r="F51" s="274"/>
      <c r="G51" s="274"/>
      <c r="H51" s="274"/>
      <c r="I51" s="274"/>
      <c r="J51" s="274"/>
      <c r="K51" s="274"/>
      <c r="L51" s="274"/>
      <c r="M51" s="274"/>
    </row>
    <row r="52" spans="1:13">
      <c r="A52" s="295"/>
      <c r="B52" s="287" t="s">
        <v>1303</v>
      </c>
      <c r="C52" s="275"/>
      <c r="D52" s="275"/>
      <c r="E52" s="275"/>
      <c r="F52" s="275"/>
      <c r="G52" s="275"/>
      <c r="H52" s="275"/>
      <c r="I52" s="275"/>
      <c r="J52" s="275"/>
      <c r="K52" s="275"/>
      <c r="L52" s="275"/>
      <c r="M52" s="275"/>
    </row>
    <row r="53" spans="1:13">
      <c r="A53" s="295"/>
      <c r="B53" s="287" t="s">
        <v>1304</v>
      </c>
      <c r="C53" s="274"/>
      <c r="D53" s="274"/>
      <c r="E53" s="274"/>
      <c r="F53" s="274"/>
      <c r="G53" s="274"/>
      <c r="H53" s="274"/>
      <c r="I53" s="274"/>
      <c r="J53" s="274"/>
      <c r="K53" s="274"/>
      <c r="L53" s="274"/>
      <c r="M53" s="274"/>
    </row>
    <row r="54" spans="1:13">
      <c r="A54" s="295"/>
      <c r="B54" s="287" t="s">
        <v>1305</v>
      </c>
      <c r="C54" s="274"/>
      <c r="D54" s="274"/>
      <c r="E54" s="274"/>
      <c r="F54" s="274"/>
      <c r="G54" s="274"/>
      <c r="H54" s="274"/>
      <c r="I54" s="274"/>
      <c r="J54" s="274"/>
      <c r="K54" s="274"/>
      <c r="L54" s="274"/>
      <c r="M54" s="274"/>
    </row>
    <row r="55" spans="1:13">
      <c r="A55" s="274" t="s">
        <v>840</v>
      </c>
      <c r="B55" s="309" t="s">
        <v>1244</v>
      </c>
      <c r="C55" s="309"/>
      <c r="D55" s="309"/>
      <c r="E55" s="309"/>
      <c r="F55" s="309"/>
      <c r="G55" s="309"/>
      <c r="H55" s="309"/>
      <c r="I55" s="309"/>
      <c r="J55" s="309"/>
      <c r="K55" s="309"/>
      <c r="L55" s="309"/>
      <c r="M55" s="309"/>
    </row>
    <row r="56" spans="1:13">
      <c r="A56" s="271" t="s">
        <v>614</v>
      </c>
      <c r="B56" s="271" t="s">
        <v>1245</v>
      </c>
      <c r="C56" s="269"/>
      <c r="D56" s="269"/>
      <c r="E56" s="269"/>
      <c r="F56" s="269"/>
      <c r="G56" s="269"/>
      <c r="H56" s="269"/>
      <c r="I56" s="269"/>
      <c r="J56" s="269"/>
      <c r="K56" s="269"/>
      <c r="L56" s="269"/>
      <c r="M56" s="269"/>
    </row>
    <row r="57" spans="1:13">
      <c r="A57" s="273"/>
      <c r="B57" s="271"/>
      <c r="C57" s="276"/>
      <c r="D57" s="276"/>
      <c r="E57" s="276"/>
      <c r="F57" s="276"/>
      <c r="G57" s="276"/>
      <c r="H57" s="276"/>
      <c r="I57" s="276"/>
      <c r="J57" s="276"/>
      <c r="K57" s="276"/>
      <c r="L57" s="276"/>
      <c r="M57" s="276"/>
    </row>
    <row r="58" spans="1:13">
      <c r="A58" s="273" t="s">
        <v>1246</v>
      </c>
      <c r="B58" s="271"/>
      <c r="C58" s="277"/>
      <c r="D58" s="277"/>
      <c r="E58" s="277"/>
      <c r="F58" s="277"/>
      <c r="G58" s="277"/>
      <c r="H58" s="277"/>
      <c r="I58" s="277"/>
      <c r="J58" s="277"/>
      <c r="K58" s="277"/>
      <c r="L58" s="277"/>
      <c r="M58" s="277"/>
    </row>
    <row r="59" spans="1:13">
      <c r="A59" s="277">
        <v>1</v>
      </c>
      <c r="B59" s="277" t="s">
        <v>1247</v>
      </c>
      <c r="C59" s="277"/>
      <c r="D59" s="277"/>
      <c r="E59" s="277"/>
      <c r="F59" s="277"/>
      <c r="G59" s="277"/>
      <c r="H59" s="277"/>
      <c r="I59" s="277"/>
      <c r="J59" s="277"/>
      <c r="K59" s="277"/>
      <c r="L59" s="277"/>
      <c r="M59" s="277"/>
    </row>
    <row r="60" spans="1:13">
      <c r="A60" s="277">
        <v>2</v>
      </c>
      <c r="B60" s="278" t="s">
        <v>1248</v>
      </c>
      <c r="C60" s="277"/>
      <c r="D60" s="277"/>
      <c r="E60" s="277"/>
      <c r="F60" s="277"/>
      <c r="G60" s="277"/>
      <c r="H60" s="277"/>
      <c r="I60" s="277"/>
      <c r="J60" s="277"/>
      <c r="K60" s="277"/>
      <c r="L60" s="277"/>
      <c r="M60" s="277"/>
    </row>
    <row r="61" spans="1:13">
      <c r="A61" s="277">
        <v>3</v>
      </c>
      <c r="B61" s="277" t="s">
        <v>1249</v>
      </c>
      <c r="C61" s="279"/>
      <c r="D61" s="279"/>
      <c r="E61" s="279"/>
      <c r="F61" s="279"/>
      <c r="G61" s="279"/>
      <c r="H61" s="279"/>
      <c r="I61" s="279"/>
      <c r="J61" s="279"/>
      <c r="K61" s="279"/>
      <c r="L61" s="279"/>
      <c r="M61" s="279"/>
    </row>
    <row r="62" spans="1:13">
      <c r="A62" s="277">
        <v>4</v>
      </c>
      <c r="B62" s="277" t="s">
        <v>1250</v>
      </c>
      <c r="C62" s="279"/>
      <c r="D62" s="279"/>
      <c r="E62" s="279"/>
      <c r="F62" s="279"/>
      <c r="G62" s="279"/>
      <c r="H62" s="279"/>
      <c r="I62" s="279"/>
      <c r="J62" s="279"/>
      <c r="K62" s="279"/>
      <c r="L62" s="279"/>
      <c r="M62" s="279"/>
    </row>
    <row r="63" spans="1:13">
      <c r="A63" s="277">
        <v>5</v>
      </c>
      <c r="B63" s="277" t="s">
        <v>1251</v>
      </c>
      <c r="C63" s="279"/>
      <c r="D63" s="279"/>
      <c r="E63" s="279"/>
      <c r="F63" s="279"/>
      <c r="G63" s="279"/>
      <c r="H63" s="279"/>
      <c r="I63" s="279"/>
      <c r="J63" s="279"/>
      <c r="K63" s="279"/>
      <c r="L63" s="279"/>
      <c r="M63" s="279"/>
    </row>
    <row r="64" spans="1:13" ht="56.25">
      <c r="A64" s="277">
        <v>6</v>
      </c>
      <c r="B64" s="280" t="s">
        <v>1252</v>
      </c>
      <c r="C64" s="272"/>
      <c r="D64" s="272"/>
      <c r="E64" s="272"/>
      <c r="F64" s="272"/>
      <c r="G64" s="272"/>
      <c r="H64" s="272"/>
      <c r="I64" s="272"/>
      <c r="J64" s="272"/>
      <c r="K64" s="272"/>
      <c r="L64" s="272"/>
      <c r="M64" s="272"/>
    </row>
    <row r="65" spans="1:13" ht="45">
      <c r="A65" s="277">
        <v>7</v>
      </c>
      <c r="B65" s="272" t="s">
        <v>1253</v>
      </c>
      <c r="C65" s="272"/>
      <c r="D65" s="272"/>
      <c r="E65" s="272"/>
      <c r="F65" s="272"/>
      <c r="G65" s="272"/>
      <c r="H65" s="272"/>
      <c r="I65" s="272"/>
      <c r="J65" s="272"/>
      <c r="K65" s="272"/>
      <c r="L65" s="272"/>
      <c r="M65" s="272"/>
    </row>
    <row r="66" spans="1:13" ht="45">
      <c r="A66" s="277">
        <v>8</v>
      </c>
      <c r="B66" s="272" t="s">
        <v>1254</v>
      </c>
      <c r="C66" s="272"/>
      <c r="D66" s="272"/>
      <c r="E66" s="272"/>
      <c r="F66" s="272"/>
      <c r="G66" s="272"/>
      <c r="H66" s="272"/>
      <c r="I66" s="272"/>
      <c r="J66" s="272"/>
      <c r="K66" s="272"/>
      <c r="L66" s="272"/>
      <c r="M66" s="272"/>
    </row>
    <row r="67" spans="1:13" ht="56.25">
      <c r="A67" s="277">
        <v>9</v>
      </c>
      <c r="B67" s="272" t="s">
        <v>1255</v>
      </c>
      <c r="C67" s="272"/>
      <c r="D67" s="272"/>
      <c r="E67" s="272"/>
      <c r="F67" s="272"/>
      <c r="G67" s="272"/>
      <c r="H67" s="272"/>
      <c r="I67" s="272"/>
      <c r="J67" s="272"/>
      <c r="K67" s="272"/>
      <c r="L67" s="272"/>
      <c r="M67" s="272"/>
    </row>
    <row r="68" spans="1:13" ht="56.25">
      <c r="A68" s="277">
        <v>10</v>
      </c>
      <c r="B68" s="272" t="s">
        <v>1256</v>
      </c>
      <c r="C68" s="272"/>
      <c r="D68" s="272"/>
      <c r="E68" s="272"/>
      <c r="F68" s="272"/>
      <c r="G68" s="272"/>
      <c r="H68" s="272"/>
      <c r="I68" s="272"/>
      <c r="J68" s="272"/>
      <c r="K68" s="272"/>
      <c r="L68" s="272"/>
      <c r="M68" s="272"/>
    </row>
    <row r="69" spans="1:13" ht="45">
      <c r="A69" s="277">
        <v>11</v>
      </c>
      <c r="B69" s="272" t="s">
        <v>1257</v>
      </c>
      <c r="C69" s="269"/>
      <c r="D69" s="269"/>
      <c r="E69" s="269"/>
      <c r="F69" s="269"/>
      <c r="G69" s="269"/>
      <c r="H69" s="269"/>
      <c r="I69" s="269"/>
      <c r="J69" s="269"/>
      <c r="K69" s="269"/>
      <c r="L69" s="269"/>
      <c r="M69" s="269"/>
    </row>
    <row r="70" spans="1:13">
      <c r="A70" s="277">
        <v>12</v>
      </c>
      <c r="B70" s="270" t="s">
        <v>1258</v>
      </c>
      <c r="C70" s="269"/>
      <c r="D70" s="269"/>
      <c r="E70" s="269"/>
      <c r="F70" s="269"/>
      <c r="G70" s="269"/>
      <c r="H70" s="269"/>
      <c r="I70" s="269"/>
      <c r="J70" s="269"/>
      <c r="K70" s="269"/>
      <c r="L70" s="269"/>
      <c r="M70" s="269"/>
    </row>
    <row r="71" spans="1:13">
      <c r="A71" s="277">
        <v>13</v>
      </c>
      <c r="B71" s="270" t="s">
        <v>1259</v>
      </c>
      <c r="C71" s="269"/>
      <c r="D71" s="269"/>
      <c r="E71" s="269"/>
      <c r="F71" s="269"/>
      <c r="G71" s="269"/>
      <c r="H71" s="269"/>
      <c r="I71" s="269"/>
      <c r="J71" s="269"/>
      <c r="K71" s="269"/>
      <c r="L71" s="269"/>
      <c r="M71" s="269"/>
    </row>
    <row r="72" spans="1:13">
      <c r="A72" s="277">
        <v>14</v>
      </c>
      <c r="B72" s="270" t="s">
        <v>1260</v>
      </c>
      <c r="C72" s="269"/>
      <c r="D72" s="269"/>
      <c r="E72" s="269"/>
      <c r="F72" s="269"/>
      <c r="G72" s="269"/>
      <c r="H72" s="269"/>
      <c r="I72" s="269"/>
      <c r="J72" s="269"/>
      <c r="K72" s="269"/>
      <c r="L72" s="269"/>
      <c r="M72" s="269"/>
    </row>
    <row r="73" spans="1:13">
      <c r="A73" s="277">
        <v>15</v>
      </c>
      <c r="B73" s="270" t="s">
        <v>1261</v>
      </c>
      <c r="C73" s="269"/>
      <c r="D73" s="269"/>
      <c r="E73" s="269"/>
      <c r="F73" s="269"/>
      <c r="G73" s="269"/>
      <c r="H73" s="269"/>
      <c r="I73" s="269"/>
      <c r="J73" s="269"/>
      <c r="K73" s="269"/>
      <c r="L73" s="269"/>
      <c r="M73" s="269"/>
    </row>
    <row r="74" spans="1:13">
      <c r="A74" s="277">
        <v>16</v>
      </c>
      <c r="B74" s="270" t="s">
        <v>1262</v>
      </c>
      <c r="C74" s="269"/>
      <c r="D74" s="269"/>
      <c r="E74" s="269"/>
      <c r="F74" s="269"/>
      <c r="G74" s="269"/>
      <c r="H74" s="269"/>
      <c r="I74" s="269"/>
      <c r="J74" s="269"/>
      <c r="K74" s="269"/>
      <c r="L74" s="269"/>
      <c r="M74" s="269"/>
    </row>
    <row r="75" spans="1:13">
      <c r="A75" s="277">
        <v>17</v>
      </c>
      <c r="B75" s="270" t="s">
        <v>1263</v>
      </c>
      <c r="C75" s="269"/>
      <c r="D75" s="269"/>
      <c r="E75" s="269"/>
      <c r="F75" s="269"/>
      <c r="G75" s="269"/>
      <c r="H75" s="269"/>
      <c r="I75" s="269"/>
      <c r="J75" s="269"/>
      <c r="K75" s="269"/>
      <c r="L75" s="269"/>
      <c r="M75" s="269"/>
    </row>
    <row r="76" spans="1:13">
      <c r="A76" s="277">
        <v>18</v>
      </c>
      <c r="B76" s="270" t="s">
        <v>1264</v>
      </c>
      <c r="C76" s="269"/>
      <c r="D76" s="269"/>
      <c r="E76" s="269"/>
      <c r="F76" s="269"/>
      <c r="G76" s="269"/>
      <c r="H76" s="269"/>
      <c r="I76" s="269"/>
      <c r="J76" s="269"/>
      <c r="K76" s="269"/>
      <c r="L76" s="269"/>
      <c r="M76" s="269"/>
    </row>
    <row r="83" spans="2:13">
      <c r="B83" s="281"/>
      <c r="C83" s="282"/>
      <c r="D83" s="282"/>
      <c r="E83" s="282"/>
      <c r="F83" s="282"/>
      <c r="G83" s="282"/>
      <c r="H83" s="282"/>
      <c r="I83" s="282"/>
      <c r="J83" s="282"/>
      <c r="K83" s="282"/>
      <c r="L83" s="282"/>
      <c r="M83" s="282"/>
    </row>
    <row r="86" spans="2:13">
      <c r="B86" s="269"/>
      <c r="C86" s="283"/>
      <c r="D86" s="283"/>
      <c r="E86" s="269"/>
      <c r="F86" s="269"/>
      <c r="G86" s="269"/>
      <c r="H86" s="269"/>
      <c r="I86" s="269"/>
      <c r="J86" s="269"/>
      <c r="K86" s="269"/>
      <c r="L86" s="269"/>
      <c r="M86" s="269"/>
    </row>
    <row r="87" spans="2:13">
      <c r="B87" s="269"/>
      <c r="C87" s="284"/>
      <c r="D87" s="284"/>
      <c r="E87" s="284"/>
      <c r="F87" s="284"/>
      <c r="G87" s="269"/>
      <c r="H87" s="269"/>
      <c r="I87" s="269"/>
      <c r="J87" s="269"/>
      <c r="K87" s="269"/>
      <c r="L87" s="269"/>
      <c r="M87" s="269"/>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17"/>
      <c r="B1" s="219" t="s">
        <v>1172</v>
      </c>
      <c r="C1" s="219"/>
      <c r="D1" s="217"/>
      <c r="E1" s="217"/>
      <c r="F1" s="217"/>
      <c r="G1" s="217"/>
      <c r="H1" s="217"/>
      <c r="I1" s="217"/>
      <c r="J1" s="217"/>
      <c r="K1" s="217"/>
      <c r="L1" s="217"/>
      <c r="M1" s="217"/>
    </row>
    <row r="2" spans="1:13">
      <c r="A2" s="216"/>
    </row>
    <row r="3" spans="1:13" ht="72">
      <c r="A3" s="220"/>
      <c r="B3" s="221" t="s">
        <v>656</v>
      </c>
      <c r="C3" s="264" t="s">
        <v>1173</v>
      </c>
      <c r="D3" s="265"/>
      <c r="E3" s="265"/>
      <c r="F3" s="265"/>
      <c r="G3" s="265"/>
      <c r="H3" s="265"/>
      <c r="I3" s="265"/>
      <c r="J3" s="265"/>
      <c r="K3" s="265"/>
      <c r="L3" s="265"/>
      <c r="M3" s="266"/>
    </row>
    <row r="4" spans="1:13" ht="22.5">
      <c r="A4" s="220"/>
      <c r="B4" s="222"/>
      <c r="C4" s="223">
        <v>2020</v>
      </c>
      <c r="D4" s="223">
        <v>2025</v>
      </c>
      <c r="E4" s="223">
        <v>2030</v>
      </c>
      <c r="F4" s="223">
        <v>2040</v>
      </c>
      <c r="G4" s="223">
        <v>2050</v>
      </c>
      <c r="H4" s="267" t="s">
        <v>1174</v>
      </c>
      <c r="I4" s="268"/>
      <c r="J4" s="267" t="s">
        <v>1175</v>
      </c>
      <c r="K4" s="268"/>
      <c r="L4" s="223" t="s">
        <v>1176</v>
      </c>
      <c r="M4" s="223" t="s">
        <v>1177</v>
      </c>
    </row>
    <row r="5" spans="1:13" ht="33.75">
      <c r="A5" s="220"/>
      <c r="B5" s="224" t="s">
        <v>644</v>
      </c>
      <c r="C5" s="225"/>
      <c r="D5" s="225"/>
      <c r="E5" s="225"/>
      <c r="F5" s="225"/>
      <c r="G5" s="225"/>
      <c r="H5" s="226" t="s">
        <v>1178</v>
      </c>
      <c r="I5" s="226" t="s">
        <v>1179</v>
      </c>
      <c r="J5" s="226" t="s">
        <v>1178</v>
      </c>
      <c r="K5" s="226" t="s">
        <v>1179</v>
      </c>
      <c r="L5" s="225"/>
      <c r="M5" s="227"/>
    </row>
    <row r="6" spans="1:13" ht="56.25">
      <c r="A6" s="220"/>
      <c r="B6" s="228" t="s">
        <v>1180</v>
      </c>
      <c r="C6" s="229">
        <v>3</v>
      </c>
      <c r="D6" s="229">
        <v>3</v>
      </c>
      <c r="E6" s="229">
        <v>3</v>
      </c>
      <c r="F6" s="229">
        <v>3</v>
      </c>
      <c r="G6" s="229">
        <v>3</v>
      </c>
      <c r="H6" s="229">
        <v>1.5</v>
      </c>
      <c r="I6" s="230">
        <v>5</v>
      </c>
      <c r="J6" s="231">
        <v>1.5</v>
      </c>
      <c r="K6" s="231">
        <v>5</v>
      </c>
      <c r="L6" s="232"/>
      <c r="M6" s="233"/>
    </row>
    <row r="7" spans="1:13" ht="45">
      <c r="A7" s="220"/>
      <c r="B7" s="228" t="s">
        <v>1181</v>
      </c>
      <c r="C7" s="234">
        <v>450</v>
      </c>
      <c r="D7" s="234">
        <v>460</v>
      </c>
      <c r="E7" s="234">
        <v>470</v>
      </c>
      <c r="F7" s="234">
        <v>480</v>
      </c>
      <c r="G7" s="234">
        <v>490</v>
      </c>
      <c r="H7" s="234">
        <v>440</v>
      </c>
      <c r="I7" s="234">
        <v>480</v>
      </c>
      <c r="J7" s="234">
        <v>450</v>
      </c>
      <c r="K7" s="234">
        <v>510</v>
      </c>
      <c r="L7" s="235" t="s">
        <v>1182</v>
      </c>
      <c r="M7" s="236" t="s">
        <v>1183</v>
      </c>
    </row>
    <row r="8" spans="1:13" ht="56.25">
      <c r="A8" s="220"/>
      <c r="B8" s="237" t="s">
        <v>1184</v>
      </c>
      <c r="C8" s="238">
        <v>460</v>
      </c>
      <c r="D8" s="238">
        <v>470</v>
      </c>
      <c r="E8" s="238">
        <v>480</v>
      </c>
      <c r="F8" s="238">
        <v>490</v>
      </c>
      <c r="G8" s="238">
        <v>500</v>
      </c>
      <c r="H8" s="238">
        <v>450</v>
      </c>
      <c r="I8" s="238">
        <v>490</v>
      </c>
      <c r="J8" s="238">
        <v>460</v>
      </c>
      <c r="K8" s="238">
        <v>520</v>
      </c>
      <c r="L8" s="239" t="s">
        <v>1185</v>
      </c>
      <c r="M8" s="236" t="s">
        <v>1183</v>
      </c>
    </row>
    <row r="9" spans="1:13" ht="56.25">
      <c r="A9" s="220"/>
      <c r="B9" s="228" t="s">
        <v>1186</v>
      </c>
      <c r="C9" s="240">
        <v>1</v>
      </c>
      <c r="D9" s="240">
        <v>1</v>
      </c>
      <c r="E9" s="240">
        <v>1</v>
      </c>
      <c r="F9" s="240">
        <v>1</v>
      </c>
      <c r="G9" s="238">
        <v>1</v>
      </c>
      <c r="H9" s="238">
        <v>1</v>
      </c>
      <c r="I9" s="238">
        <v>1</v>
      </c>
      <c r="J9" s="238">
        <v>1</v>
      </c>
      <c r="K9" s="238">
        <v>1</v>
      </c>
      <c r="L9" s="239" t="s">
        <v>704</v>
      </c>
      <c r="M9" s="236" t="s">
        <v>1183</v>
      </c>
    </row>
    <row r="10" spans="1:13" ht="22.5">
      <c r="A10" s="220"/>
      <c r="B10" s="228" t="s">
        <v>1187</v>
      </c>
      <c r="C10" s="238">
        <v>0</v>
      </c>
      <c r="D10" s="238">
        <v>0</v>
      </c>
      <c r="E10" s="238">
        <v>0</v>
      </c>
      <c r="F10" s="238">
        <v>0</v>
      </c>
      <c r="G10" s="238">
        <v>0</v>
      </c>
      <c r="H10" s="238">
        <v>0</v>
      </c>
      <c r="I10" s="238">
        <v>5</v>
      </c>
      <c r="J10" s="238">
        <v>0</v>
      </c>
      <c r="K10" s="238">
        <v>5</v>
      </c>
      <c r="L10" s="239"/>
      <c r="M10" s="236" t="s">
        <v>1183</v>
      </c>
    </row>
    <row r="11" spans="1:13" ht="45">
      <c r="A11" s="220"/>
      <c r="B11" s="222" t="s">
        <v>1188</v>
      </c>
      <c r="C11" s="233">
        <v>1</v>
      </c>
      <c r="D11" s="233">
        <v>1</v>
      </c>
      <c r="E11" s="233">
        <v>1</v>
      </c>
      <c r="F11" s="233">
        <v>1</v>
      </c>
      <c r="G11" s="233">
        <v>1</v>
      </c>
      <c r="H11" s="233" t="s">
        <v>1189</v>
      </c>
      <c r="I11" s="233">
        <v>2</v>
      </c>
      <c r="J11" s="233" t="s">
        <v>1189</v>
      </c>
      <c r="K11" s="233">
        <v>2</v>
      </c>
      <c r="L11" s="232"/>
      <c r="M11" s="236" t="s">
        <v>1183</v>
      </c>
    </row>
    <row r="12" spans="1:13" ht="33.75">
      <c r="A12" s="220"/>
      <c r="B12" s="222" t="s">
        <v>1190</v>
      </c>
      <c r="C12" s="233">
        <v>25</v>
      </c>
      <c r="D12" s="233">
        <v>25</v>
      </c>
      <c r="E12" s="233">
        <v>25</v>
      </c>
      <c r="F12" s="233">
        <v>25</v>
      </c>
      <c r="G12" s="233">
        <v>25</v>
      </c>
      <c r="H12" s="233">
        <v>15</v>
      </c>
      <c r="I12" s="233">
        <v>40</v>
      </c>
      <c r="J12" s="233">
        <v>15</v>
      </c>
      <c r="K12" s="233">
        <v>40</v>
      </c>
      <c r="L12" s="232"/>
      <c r="M12" s="236" t="s">
        <v>1191</v>
      </c>
    </row>
    <row r="13" spans="1:13" ht="33.75">
      <c r="A13" s="220"/>
      <c r="B13" s="222" t="s">
        <v>1192</v>
      </c>
      <c r="C13" s="233" t="s">
        <v>1189</v>
      </c>
      <c r="D13" s="233" t="s">
        <v>1189</v>
      </c>
      <c r="E13" s="233" t="s">
        <v>1189</v>
      </c>
      <c r="F13" s="233" t="s">
        <v>1189</v>
      </c>
      <c r="G13" s="233" t="s">
        <v>1189</v>
      </c>
      <c r="H13" s="233" t="s">
        <v>1193</v>
      </c>
      <c r="I13" s="233">
        <v>1</v>
      </c>
      <c r="J13" s="233" t="s">
        <v>1193</v>
      </c>
      <c r="K13" s="233">
        <v>1</v>
      </c>
      <c r="L13" s="232" t="s">
        <v>1194</v>
      </c>
      <c r="M13" s="236" t="s">
        <v>1195</v>
      </c>
    </row>
    <row r="14" spans="1:13" ht="45">
      <c r="A14" s="220"/>
      <c r="B14" s="241" t="s">
        <v>1196</v>
      </c>
      <c r="C14" s="238" t="s">
        <v>1197</v>
      </c>
      <c r="D14" s="238" t="s">
        <v>1197</v>
      </c>
      <c r="E14" s="238" t="s">
        <v>1197</v>
      </c>
      <c r="F14" s="238" t="s">
        <v>1197</v>
      </c>
      <c r="G14" s="238" t="s">
        <v>1197</v>
      </c>
      <c r="H14" s="238" t="s">
        <v>1198</v>
      </c>
      <c r="I14" s="238" t="s">
        <v>1199</v>
      </c>
      <c r="J14" s="238" t="s">
        <v>1198</v>
      </c>
      <c r="K14" s="238" t="s">
        <v>1199</v>
      </c>
      <c r="L14" s="239"/>
      <c r="M14" s="238" t="s">
        <v>1200</v>
      </c>
    </row>
    <row r="15" spans="1:13" ht="22.5">
      <c r="A15" s="220"/>
      <c r="B15" s="224" t="s">
        <v>632</v>
      </c>
      <c r="C15" s="225"/>
      <c r="D15" s="225"/>
      <c r="E15" s="225"/>
      <c r="F15" s="225"/>
      <c r="G15" s="225"/>
      <c r="H15" s="225"/>
      <c r="I15" s="225"/>
      <c r="J15" s="225"/>
      <c r="K15" s="225"/>
      <c r="L15" s="242"/>
      <c r="M15" s="227"/>
    </row>
    <row r="16" spans="1:13" ht="45">
      <c r="A16" s="220"/>
      <c r="B16" s="222" t="s">
        <v>1201</v>
      </c>
      <c r="C16" s="233">
        <v>5</v>
      </c>
      <c r="D16" s="233">
        <v>5</v>
      </c>
      <c r="E16" s="233">
        <v>5</v>
      </c>
      <c r="F16" s="233">
        <v>5</v>
      </c>
      <c r="G16" s="233">
        <v>5</v>
      </c>
      <c r="H16" s="233">
        <v>5</v>
      </c>
      <c r="I16" s="233">
        <v>50</v>
      </c>
      <c r="J16" s="233">
        <v>5</v>
      </c>
      <c r="K16" s="233">
        <v>50</v>
      </c>
      <c r="L16" s="232" t="s">
        <v>772</v>
      </c>
      <c r="M16" s="233" t="s">
        <v>1202</v>
      </c>
    </row>
    <row r="17" spans="1:13" ht="45">
      <c r="A17" s="220"/>
      <c r="B17" s="222" t="s">
        <v>1203</v>
      </c>
      <c r="C17" s="233">
        <v>10</v>
      </c>
      <c r="D17" s="233">
        <v>10</v>
      </c>
      <c r="E17" s="233">
        <v>10</v>
      </c>
      <c r="F17" s="233">
        <v>10</v>
      </c>
      <c r="G17" s="233">
        <v>10</v>
      </c>
      <c r="H17" s="233">
        <v>10</v>
      </c>
      <c r="I17" s="233">
        <v>100</v>
      </c>
      <c r="J17" s="233">
        <v>10</v>
      </c>
      <c r="K17" s="233">
        <v>100</v>
      </c>
      <c r="L17" s="232" t="s">
        <v>772</v>
      </c>
      <c r="M17" s="233" t="s">
        <v>1202</v>
      </c>
    </row>
    <row r="18" spans="1:13" ht="33.75">
      <c r="A18" s="220"/>
      <c r="B18" s="222" t="s">
        <v>1204</v>
      </c>
      <c r="C18" s="233">
        <v>25</v>
      </c>
      <c r="D18" s="233">
        <v>25</v>
      </c>
      <c r="E18" s="233">
        <v>25</v>
      </c>
      <c r="F18" s="233">
        <v>25</v>
      </c>
      <c r="G18" s="233">
        <v>25</v>
      </c>
      <c r="H18" s="233">
        <v>10</v>
      </c>
      <c r="I18" s="233">
        <v>50</v>
      </c>
      <c r="J18" s="233">
        <v>10</v>
      </c>
      <c r="K18" s="233">
        <v>50</v>
      </c>
      <c r="L18" s="232" t="s">
        <v>1205</v>
      </c>
      <c r="M18" s="233" t="s">
        <v>1202</v>
      </c>
    </row>
    <row r="19" spans="1:13" ht="33.75">
      <c r="A19" s="220"/>
      <c r="B19" s="222" t="s">
        <v>1206</v>
      </c>
      <c r="C19" s="233" t="s">
        <v>1199</v>
      </c>
      <c r="D19" s="233" t="s">
        <v>1199</v>
      </c>
      <c r="E19" s="233" t="s">
        <v>1199</v>
      </c>
      <c r="F19" s="233" t="s">
        <v>1199</v>
      </c>
      <c r="G19" s="233" t="s">
        <v>1199</v>
      </c>
      <c r="H19" s="233" t="s">
        <v>1199</v>
      </c>
      <c r="I19" s="233" t="s">
        <v>1207</v>
      </c>
      <c r="J19" s="233" t="s">
        <v>1199</v>
      </c>
      <c r="K19" s="233" t="s">
        <v>1207</v>
      </c>
      <c r="L19" s="232" t="s">
        <v>772</v>
      </c>
      <c r="M19" s="236" t="s">
        <v>1195</v>
      </c>
    </row>
    <row r="20" spans="1:13" ht="33.75">
      <c r="A20" s="220"/>
      <c r="B20" s="222" t="s">
        <v>1208</v>
      </c>
      <c r="C20" s="233">
        <v>1</v>
      </c>
      <c r="D20" s="233">
        <v>1</v>
      </c>
      <c r="E20" s="233">
        <v>1</v>
      </c>
      <c r="F20" s="233">
        <v>1</v>
      </c>
      <c r="G20" s="233">
        <v>1</v>
      </c>
      <c r="H20" s="233" t="s">
        <v>1207</v>
      </c>
      <c r="I20" s="233">
        <v>1</v>
      </c>
      <c r="J20" s="233" t="s">
        <v>1207</v>
      </c>
      <c r="K20" s="233">
        <v>1</v>
      </c>
      <c r="L20" s="232" t="s">
        <v>1209</v>
      </c>
      <c r="M20" s="236" t="s">
        <v>1195</v>
      </c>
    </row>
    <row r="21" spans="1:13" ht="22.5">
      <c r="A21" s="220"/>
      <c r="B21" s="224" t="s">
        <v>625</v>
      </c>
      <c r="C21" s="225"/>
      <c r="D21" s="225"/>
      <c r="E21" s="225"/>
      <c r="F21" s="225"/>
      <c r="G21" s="225"/>
      <c r="H21" s="225"/>
      <c r="I21" s="225"/>
      <c r="J21" s="225"/>
      <c r="K21" s="225"/>
      <c r="L21" s="242"/>
      <c r="M21" s="227"/>
    </row>
    <row r="22" spans="1:13" ht="45">
      <c r="A22" s="220"/>
      <c r="B22" s="222" t="s">
        <v>1210</v>
      </c>
      <c r="C22" s="233"/>
      <c r="D22" s="233"/>
      <c r="E22" s="233"/>
      <c r="F22" s="233"/>
      <c r="G22" s="233"/>
      <c r="H22" s="233"/>
      <c r="I22" s="233"/>
      <c r="J22" s="233"/>
      <c r="K22" s="233"/>
      <c r="L22" s="239"/>
      <c r="M22" s="234"/>
    </row>
    <row r="23" spans="1:13" ht="22.5">
      <c r="A23" s="220"/>
      <c r="B23" s="222" t="s">
        <v>1211</v>
      </c>
      <c r="C23" s="233"/>
      <c r="D23" s="233"/>
      <c r="E23" s="233"/>
      <c r="F23" s="233"/>
      <c r="G23" s="233"/>
      <c r="H23" s="233"/>
      <c r="I23" s="233"/>
      <c r="J23" s="233"/>
      <c r="K23" s="233"/>
      <c r="L23" s="232"/>
      <c r="M23" s="238"/>
    </row>
    <row r="24" spans="1:13" ht="22.5">
      <c r="A24" s="220"/>
      <c r="B24" s="222" t="s">
        <v>1212</v>
      </c>
      <c r="C24" s="243"/>
      <c r="D24" s="243"/>
      <c r="E24" s="243"/>
      <c r="F24" s="243"/>
      <c r="G24" s="243"/>
      <c r="H24" s="243"/>
      <c r="I24" s="243"/>
      <c r="J24" s="243"/>
      <c r="K24" s="243"/>
      <c r="L24" s="232"/>
      <c r="M24" s="238"/>
    </row>
    <row r="25" spans="1:13" ht="22.5">
      <c r="A25" s="220"/>
      <c r="B25" s="222" t="s">
        <v>1213</v>
      </c>
      <c r="C25" s="244"/>
      <c r="D25" s="244"/>
      <c r="E25" s="244"/>
      <c r="F25" s="244"/>
      <c r="G25" s="244"/>
      <c r="H25" s="244"/>
      <c r="I25" s="244"/>
      <c r="J25" s="244"/>
      <c r="K25" s="244"/>
      <c r="L25" s="245"/>
      <c r="M25" s="238"/>
    </row>
    <row r="26" spans="1:13" ht="22.5">
      <c r="A26" s="220"/>
      <c r="B26" s="222" t="s">
        <v>1214</v>
      </c>
      <c r="C26" s="244"/>
      <c r="D26" s="244"/>
      <c r="E26" s="244"/>
      <c r="F26" s="244"/>
      <c r="G26" s="244"/>
      <c r="H26" s="244"/>
      <c r="I26" s="244"/>
      <c r="J26" s="244"/>
      <c r="K26" s="244"/>
      <c r="L26" s="245"/>
      <c r="M26" s="238"/>
    </row>
    <row r="27" spans="1:13" ht="22.5">
      <c r="A27" s="220"/>
      <c r="B27" s="224" t="s">
        <v>1215</v>
      </c>
      <c r="C27" s="225"/>
      <c r="D27" s="225"/>
      <c r="E27" s="225"/>
      <c r="F27" s="225"/>
      <c r="G27" s="225"/>
      <c r="H27" s="225"/>
      <c r="I27" s="225"/>
      <c r="J27" s="225"/>
      <c r="K27" s="225"/>
      <c r="L27" s="242"/>
      <c r="M27" s="227"/>
    </row>
    <row r="28" spans="1:13" ht="45">
      <c r="A28" s="220"/>
      <c r="B28" s="222" t="s">
        <v>1216</v>
      </c>
      <c r="C28" s="246">
        <v>0.85624674070652818</v>
      </c>
      <c r="D28" s="246">
        <v>0.85624674070652818</v>
      </c>
      <c r="E28" s="246">
        <v>0.76110821396135842</v>
      </c>
      <c r="F28" s="246">
        <v>0.76110821396135842</v>
      </c>
      <c r="G28" s="246">
        <v>0.76110821396135842</v>
      </c>
      <c r="H28" s="246">
        <v>0.66596968721618854</v>
      </c>
      <c r="I28" s="246">
        <v>1.1416623209420376</v>
      </c>
      <c r="J28" s="246">
        <v>0.66596968721618854</v>
      </c>
      <c r="K28" s="246">
        <v>1.1416623209420376</v>
      </c>
      <c r="L28" s="232" t="s">
        <v>1217</v>
      </c>
      <c r="M28" s="236" t="s">
        <v>1183</v>
      </c>
    </row>
    <row r="29" spans="1:13" ht="22.5">
      <c r="A29" s="220"/>
      <c r="B29" s="222" t="s">
        <v>1218</v>
      </c>
      <c r="C29" s="246">
        <v>0.68499739256522263</v>
      </c>
      <c r="D29" s="246">
        <v>0.68499739256522263</v>
      </c>
      <c r="E29" s="246">
        <v>0.60888657116908673</v>
      </c>
      <c r="F29" s="246">
        <v>0.60888657116908673</v>
      </c>
      <c r="G29" s="246">
        <v>0.60888657116908673</v>
      </c>
      <c r="H29" s="246">
        <v>0.53277574977295084</v>
      </c>
      <c r="I29" s="246">
        <v>0.9133298567536301</v>
      </c>
      <c r="J29" s="246">
        <v>0.53277574977295084</v>
      </c>
      <c r="K29" s="246">
        <v>0.9133298567536301</v>
      </c>
      <c r="L29" s="232" t="s">
        <v>591</v>
      </c>
      <c r="M29" s="236" t="s">
        <v>1183</v>
      </c>
    </row>
    <row r="30" spans="1:13" ht="22.5">
      <c r="A30" s="220"/>
      <c r="B30" s="222" t="s">
        <v>1219</v>
      </c>
      <c r="C30" s="246">
        <v>0.15412441332717505</v>
      </c>
      <c r="D30" s="246">
        <v>0.15412441332717505</v>
      </c>
      <c r="E30" s="246">
        <v>0.1369994785130445</v>
      </c>
      <c r="F30" s="246">
        <v>0.1369994785130445</v>
      </c>
      <c r="G30" s="246">
        <v>0.1369994785130445</v>
      </c>
      <c r="H30" s="246">
        <v>0.11987454369891393</v>
      </c>
      <c r="I30" s="246">
        <v>0.11416623209420376</v>
      </c>
      <c r="J30" s="246">
        <v>0.11987454369891393</v>
      </c>
      <c r="K30" s="246">
        <v>0.11416623209420376</v>
      </c>
      <c r="L30" s="232" t="s">
        <v>591</v>
      </c>
      <c r="M30" s="236" t="s">
        <v>1183</v>
      </c>
    </row>
    <row r="31" spans="1:13" ht="33.75">
      <c r="A31" s="220"/>
      <c r="B31" s="222" t="s">
        <v>1220</v>
      </c>
      <c r="C31" s="246">
        <v>1.7124934814130563E-2</v>
      </c>
      <c r="D31" s="246">
        <v>1.7124934814130563E-2</v>
      </c>
      <c r="E31" s="246">
        <v>1.5222164279227169E-2</v>
      </c>
      <c r="F31" s="246">
        <v>1.5222164279227169E-2</v>
      </c>
      <c r="G31" s="246">
        <v>1.5222164279227169E-2</v>
      </c>
      <c r="H31" s="246">
        <v>1.3319393744323772E-2</v>
      </c>
      <c r="I31" s="246">
        <v>0.11416623209420376</v>
      </c>
      <c r="J31" s="246">
        <v>1.3319393744323772E-2</v>
      </c>
      <c r="K31" s="246">
        <v>0.11416623209420376</v>
      </c>
      <c r="L31" s="232" t="s">
        <v>633</v>
      </c>
      <c r="M31" s="236" t="s">
        <v>1183</v>
      </c>
    </row>
    <row r="32" spans="1:13" ht="33.75">
      <c r="A32" s="220"/>
      <c r="B32" s="222" t="s">
        <v>1221</v>
      </c>
      <c r="C32" s="233">
        <v>2000</v>
      </c>
      <c r="D32" s="233">
        <v>2000</v>
      </c>
      <c r="E32" s="233">
        <v>2000</v>
      </c>
      <c r="F32" s="233">
        <v>2000</v>
      </c>
      <c r="G32" s="233">
        <v>2000</v>
      </c>
      <c r="H32" s="233">
        <v>1000</v>
      </c>
      <c r="I32" s="233">
        <v>3000</v>
      </c>
      <c r="J32" s="233">
        <v>1000</v>
      </c>
      <c r="K32" s="233">
        <v>5000</v>
      </c>
      <c r="L32" s="232" t="s">
        <v>595</v>
      </c>
      <c r="M32" s="236" t="s">
        <v>1183</v>
      </c>
    </row>
    <row r="33" spans="1:13" ht="33.75">
      <c r="A33" s="220"/>
      <c r="B33" s="222" t="s">
        <v>1222</v>
      </c>
      <c r="C33" s="244">
        <v>2.19</v>
      </c>
      <c r="D33" s="244">
        <v>2.19</v>
      </c>
      <c r="E33" s="244">
        <v>2.5099999999999998</v>
      </c>
      <c r="F33" s="244">
        <v>2.19</v>
      </c>
      <c r="G33" s="244">
        <v>2.67</v>
      </c>
      <c r="H33" s="244">
        <v>2.19</v>
      </c>
      <c r="I33" s="244">
        <v>2.19</v>
      </c>
      <c r="J33" s="244">
        <v>2.17</v>
      </c>
      <c r="K33" s="244">
        <v>2.19</v>
      </c>
      <c r="L33" s="232"/>
      <c r="M33" s="236" t="s">
        <v>1183</v>
      </c>
    </row>
    <row r="34" spans="1:13" ht="45">
      <c r="A34" s="220"/>
      <c r="B34" s="247" t="s">
        <v>1223</v>
      </c>
      <c r="C34" s="244">
        <v>0</v>
      </c>
      <c r="D34" s="244">
        <v>0</v>
      </c>
      <c r="E34" s="244">
        <v>0</v>
      </c>
      <c r="F34" s="244">
        <v>0</v>
      </c>
      <c r="G34" s="244">
        <v>0</v>
      </c>
      <c r="H34" s="244">
        <v>0</v>
      </c>
      <c r="I34" s="244">
        <v>0</v>
      </c>
      <c r="J34" s="244">
        <v>0</v>
      </c>
      <c r="K34" s="244">
        <v>0</v>
      </c>
      <c r="L34" s="232" t="s">
        <v>1224</v>
      </c>
      <c r="M34" s="236" t="s">
        <v>1183</v>
      </c>
    </row>
    <row r="35" spans="1:13" ht="45">
      <c r="A35" s="220"/>
      <c r="B35" s="247" t="s">
        <v>1225</v>
      </c>
      <c r="C35" s="233">
        <v>2.19</v>
      </c>
      <c r="D35" s="233">
        <v>2.19</v>
      </c>
      <c r="E35" s="233">
        <v>2.5099999999999998</v>
      </c>
      <c r="F35" s="233">
        <v>2.19</v>
      </c>
      <c r="G35" s="233">
        <v>2.67</v>
      </c>
      <c r="H35" s="233">
        <v>2.19</v>
      </c>
      <c r="I35" s="233">
        <v>2.19</v>
      </c>
      <c r="J35" s="233">
        <v>2.17</v>
      </c>
      <c r="K35" s="233">
        <v>2.19</v>
      </c>
      <c r="L35" s="232" t="s">
        <v>595</v>
      </c>
      <c r="M35" s="236" t="s">
        <v>1183</v>
      </c>
    </row>
    <row r="36" spans="1:13" ht="45">
      <c r="A36" s="220"/>
      <c r="B36" s="222" t="s">
        <v>1226</v>
      </c>
      <c r="C36" s="233">
        <v>10</v>
      </c>
      <c r="D36" s="233">
        <v>10</v>
      </c>
      <c r="E36" s="233">
        <v>10</v>
      </c>
      <c r="F36" s="233">
        <v>10</v>
      </c>
      <c r="G36" s="233">
        <v>10</v>
      </c>
      <c r="H36" s="233">
        <v>5</v>
      </c>
      <c r="I36" s="233">
        <v>20</v>
      </c>
      <c r="J36" s="233">
        <v>2</v>
      </c>
      <c r="K36" s="233">
        <v>20</v>
      </c>
      <c r="L36" s="232" t="s">
        <v>840</v>
      </c>
      <c r="M36" s="233">
        <v>15</v>
      </c>
    </row>
    <row r="37" spans="1:13" ht="45">
      <c r="A37" s="220"/>
      <c r="B37" s="224" t="s">
        <v>1227</v>
      </c>
      <c r="C37" s="225"/>
      <c r="D37" s="225"/>
      <c r="E37" s="225"/>
      <c r="F37" s="225"/>
      <c r="G37" s="225"/>
      <c r="H37" s="225"/>
      <c r="I37" s="225"/>
      <c r="J37" s="225"/>
      <c r="K37" s="225"/>
      <c r="L37" s="242"/>
      <c r="M37" s="227"/>
    </row>
    <row r="38" spans="1:13">
      <c r="A38" s="220"/>
      <c r="B38" s="222"/>
      <c r="C38" s="243"/>
      <c r="D38" s="243"/>
      <c r="E38" s="243"/>
      <c r="F38" s="243"/>
      <c r="G38" s="243"/>
      <c r="H38" s="243"/>
      <c r="I38" s="243"/>
      <c r="J38" s="243"/>
      <c r="K38" s="243"/>
      <c r="L38" s="232"/>
      <c r="M38" s="238"/>
    </row>
    <row r="39" spans="1:13">
      <c r="A39" s="220"/>
      <c r="B39" s="248"/>
      <c r="C39" s="249"/>
      <c r="D39" s="249"/>
      <c r="E39" s="249"/>
      <c r="F39" s="249"/>
      <c r="G39" s="249"/>
      <c r="H39" s="249"/>
      <c r="I39" s="249"/>
      <c r="J39" s="249"/>
      <c r="K39" s="249"/>
      <c r="L39" s="250"/>
      <c r="M39" s="250"/>
    </row>
    <row r="40" spans="1:13">
      <c r="A40" s="251" t="s">
        <v>1228</v>
      </c>
      <c r="B40" s="220"/>
      <c r="C40" s="220"/>
      <c r="D40" s="220"/>
      <c r="E40" s="220"/>
      <c r="F40" s="220"/>
      <c r="G40" s="220"/>
      <c r="H40" s="220"/>
      <c r="I40" s="220"/>
      <c r="J40" s="220"/>
      <c r="K40" s="220"/>
      <c r="L40" s="220"/>
      <c r="M40" s="220"/>
    </row>
    <row r="41" spans="1:13">
      <c r="A41" s="252" t="s">
        <v>591</v>
      </c>
      <c r="B41" s="252" t="s">
        <v>1229</v>
      </c>
      <c r="C41" s="252"/>
      <c r="D41" s="252"/>
      <c r="E41" s="252"/>
      <c r="F41" s="252"/>
      <c r="G41" s="252"/>
      <c r="H41" s="252"/>
      <c r="I41" s="252"/>
      <c r="J41" s="252"/>
      <c r="K41" s="252"/>
      <c r="L41" s="252"/>
      <c r="M41" s="252"/>
    </row>
    <row r="42" spans="1:13">
      <c r="A42" s="252" t="s">
        <v>1230</v>
      </c>
      <c r="B42" s="252" t="s">
        <v>1231</v>
      </c>
      <c r="C42" s="252"/>
      <c r="D42" s="252"/>
      <c r="E42" s="252"/>
      <c r="F42" s="252"/>
      <c r="G42" s="252"/>
      <c r="H42" s="252"/>
      <c r="I42" s="252"/>
      <c r="J42" s="252"/>
      <c r="K42" s="252"/>
      <c r="L42" s="252"/>
      <c r="M42" s="252"/>
    </row>
    <row r="43" spans="1:13">
      <c r="A43" s="252" t="s">
        <v>597</v>
      </c>
      <c r="B43" s="252" t="s">
        <v>1232</v>
      </c>
      <c r="C43" s="252"/>
      <c r="D43" s="252"/>
      <c r="E43" s="252"/>
      <c r="F43" s="252"/>
      <c r="G43" s="252"/>
      <c r="H43" s="252"/>
      <c r="I43" s="252"/>
      <c r="J43" s="252"/>
      <c r="K43" s="252"/>
      <c r="L43" s="252"/>
      <c r="M43" s="252"/>
    </row>
    <row r="44" spans="1:13">
      <c r="A44" s="252" t="s">
        <v>739</v>
      </c>
      <c r="B44" s="252" t="s">
        <v>1233</v>
      </c>
      <c r="C44" s="252"/>
      <c r="D44" s="252"/>
      <c r="E44" s="252"/>
      <c r="F44" s="252"/>
      <c r="G44" s="252"/>
      <c r="H44" s="252"/>
      <c r="I44" s="252"/>
      <c r="J44" s="252"/>
      <c r="K44" s="252"/>
      <c r="L44" s="252"/>
      <c r="M44" s="252"/>
    </row>
    <row r="45" spans="1:13">
      <c r="A45" s="252" t="s">
        <v>704</v>
      </c>
      <c r="B45" s="252" t="s">
        <v>1234</v>
      </c>
      <c r="C45" s="252"/>
      <c r="D45" s="252"/>
      <c r="E45" s="252"/>
      <c r="F45" s="252"/>
      <c r="G45" s="252"/>
      <c r="H45" s="252"/>
      <c r="I45" s="252"/>
      <c r="J45" s="252"/>
      <c r="K45" s="252"/>
      <c r="L45" s="252"/>
      <c r="M45" s="252"/>
    </row>
    <row r="46" spans="1:13">
      <c r="A46" s="252" t="s">
        <v>740</v>
      </c>
      <c r="B46" s="253" t="s">
        <v>1235</v>
      </c>
      <c r="C46" s="253"/>
      <c r="D46" s="253"/>
      <c r="E46" s="253"/>
      <c r="F46" s="253"/>
      <c r="G46" s="253"/>
      <c r="H46" s="253"/>
      <c r="I46" s="253"/>
      <c r="J46" s="253"/>
      <c r="K46" s="253"/>
      <c r="L46" s="253"/>
      <c r="M46" s="253"/>
    </row>
    <row r="47" spans="1:13">
      <c r="A47" s="252" t="s">
        <v>628</v>
      </c>
      <c r="B47" s="252" t="s">
        <v>1236</v>
      </c>
      <c r="C47" s="252"/>
      <c r="D47" s="252"/>
      <c r="E47" s="252"/>
      <c r="F47" s="252"/>
      <c r="G47" s="252"/>
      <c r="H47" s="252"/>
      <c r="I47" s="252"/>
      <c r="J47" s="252"/>
      <c r="K47" s="252"/>
      <c r="L47" s="252"/>
      <c r="M47" s="252"/>
    </row>
    <row r="48" spans="1:13">
      <c r="A48" s="252" t="s">
        <v>772</v>
      </c>
      <c r="B48" s="252" t="s">
        <v>1237</v>
      </c>
      <c r="C48" s="252"/>
      <c r="D48" s="252"/>
      <c r="E48" s="252"/>
      <c r="F48" s="252"/>
      <c r="G48" s="252"/>
      <c r="H48" s="252"/>
      <c r="I48" s="252"/>
      <c r="J48" s="252"/>
      <c r="K48" s="252"/>
      <c r="L48" s="252"/>
      <c r="M48" s="252"/>
    </row>
    <row r="49" spans="1:13">
      <c r="A49" s="252" t="s">
        <v>702</v>
      </c>
      <c r="B49" s="252" t="s">
        <v>1238</v>
      </c>
      <c r="C49" s="252"/>
      <c r="D49" s="252"/>
      <c r="E49" s="252"/>
      <c r="F49" s="252"/>
      <c r="G49" s="252"/>
      <c r="H49" s="252"/>
      <c r="I49" s="252"/>
      <c r="J49" s="252"/>
      <c r="K49" s="252"/>
      <c r="L49" s="252"/>
      <c r="M49" s="252"/>
    </row>
    <row r="50" spans="1:13">
      <c r="A50" s="252" t="s">
        <v>637</v>
      </c>
      <c r="B50" s="252" t="s">
        <v>1239</v>
      </c>
      <c r="C50" s="252"/>
      <c r="D50" s="252"/>
      <c r="E50" s="252"/>
      <c r="F50" s="252"/>
      <c r="G50" s="252"/>
      <c r="H50" s="252"/>
      <c r="I50" s="252"/>
      <c r="J50" s="252"/>
      <c r="K50" s="252"/>
      <c r="L50" s="252"/>
      <c r="M50" s="252"/>
    </row>
    <row r="51" spans="1:13">
      <c r="A51" s="252" t="s">
        <v>633</v>
      </c>
      <c r="B51" s="252" t="s">
        <v>1240</v>
      </c>
      <c r="C51" s="252"/>
      <c r="D51" s="252"/>
      <c r="E51" s="252"/>
      <c r="F51" s="252"/>
      <c r="G51" s="252"/>
      <c r="H51" s="252"/>
      <c r="I51" s="252"/>
      <c r="J51" s="252"/>
      <c r="K51" s="252"/>
      <c r="L51" s="252"/>
      <c r="M51" s="252"/>
    </row>
    <row r="52" spans="1:13">
      <c r="A52" s="252" t="s">
        <v>639</v>
      </c>
      <c r="B52" s="254" t="s">
        <v>1241</v>
      </c>
      <c r="C52" s="254"/>
      <c r="D52" s="254"/>
      <c r="E52" s="254"/>
      <c r="F52" s="254"/>
      <c r="G52" s="254"/>
      <c r="H52" s="254"/>
      <c r="I52" s="254"/>
      <c r="J52" s="254"/>
      <c r="K52" s="254"/>
      <c r="L52" s="254"/>
      <c r="M52" s="254"/>
    </row>
    <row r="53" spans="1:13">
      <c r="A53" s="252" t="s">
        <v>595</v>
      </c>
      <c r="B53" s="252" t="s">
        <v>1242</v>
      </c>
      <c r="C53" s="252"/>
      <c r="D53" s="252"/>
      <c r="E53" s="252"/>
      <c r="F53" s="252"/>
      <c r="G53" s="252"/>
      <c r="H53" s="252"/>
      <c r="I53" s="252"/>
      <c r="J53" s="252"/>
      <c r="K53" s="252"/>
      <c r="L53" s="252"/>
      <c r="M53" s="252"/>
    </row>
    <row r="54" spans="1:13">
      <c r="A54" s="252" t="s">
        <v>690</v>
      </c>
      <c r="B54" s="252" t="s">
        <v>1243</v>
      </c>
      <c r="C54" s="252"/>
      <c r="D54" s="252"/>
      <c r="E54" s="252"/>
      <c r="F54" s="252"/>
      <c r="G54" s="252"/>
      <c r="H54" s="252"/>
      <c r="I54" s="252"/>
      <c r="J54" s="252"/>
      <c r="K54" s="252"/>
      <c r="L54" s="252"/>
      <c r="M54" s="252"/>
    </row>
    <row r="55" spans="1:13">
      <c r="A55" s="252" t="s">
        <v>840</v>
      </c>
      <c r="B55" s="252" t="s">
        <v>1244</v>
      </c>
      <c r="C55" s="252"/>
      <c r="D55" s="252"/>
      <c r="E55" s="252"/>
      <c r="F55" s="252"/>
      <c r="G55" s="252"/>
      <c r="H55" s="252"/>
      <c r="I55" s="252"/>
      <c r="J55" s="252"/>
      <c r="K55" s="252"/>
      <c r="L55" s="252"/>
      <c r="M55" s="252"/>
    </row>
    <row r="56" spans="1:13">
      <c r="A56" s="220" t="s">
        <v>614</v>
      </c>
      <c r="B56" s="220" t="s">
        <v>1245</v>
      </c>
      <c r="C56" s="217"/>
      <c r="D56" s="217"/>
      <c r="E56" s="217"/>
      <c r="F56" s="217"/>
      <c r="G56" s="217"/>
      <c r="H56" s="217"/>
      <c r="I56" s="217"/>
      <c r="J56" s="217"/>
      <c r="K56" s="217"/>
      <c r="L56" s="217"/>
      <c r="M56" s="217"/>
    </row>
    <row r="57" spans="1:13">
      <c r="A57" s="251"/>
      <c r="B57" s="220"/>
      <c r="C57" s="255"/>
      <c r="D57" s="255"/>
      <c r="E57" s="255"/>
      <c r="F57" s="255"/>
      <c r="G57" s="255"/>
      <c r="H57" s="255"/>
      <c r="I57" s="255"/>
      <c r="J57" s="255"/>
      <c r="K57" s="255"/>
      <c r="L57" s="255"/>
      <c r="M57" s="255"/>
    </row>
    <row r="58" spans="1:13">
      <c r="A58" s="251" t="s">
        <v>1246</v>
      </c>
      <c r="B58" s="220"/>
      <c r="C58" s="256"/>
      <c r="D58" s="256"/>
      <c r="E58" s="256"/>
      <c r="F58" s="256"/>
      <c r="G58" s="256"/>
      <c r="H58" s="256"/>
      <c r="I58" s="256"/>
      <c r="J58" s="256"/>
      <c r="K58" s="256"/>
      <c r="L58" s="256"/>
      <c r="M58" s="256"/>
    </row>
    <row r="59" spans="1:13">
      <c r="A59" s="256">
        <v>1</v>
      </c>
      <c r="B59" s="256" t="s">
        <v>1247</v>
      </c>
      <c r="C59" s="256"/>
      <c r="D59" s="256"/>
      <c r="E59" s="256"/>
      <c r="F59" s="256"/>
      <c r="G59" s="256"/>
      <c r="H59" s="256"/>
      <c r="I59" s="256"/>
      <c r="J59" s="256"/>
      <c r="K59" s="256"/>
      <c r="L59" s="256"/>
      <c r="M59" s="256"/>
    </row>
    <row r="60" spans="1:13">
      <c r="A60" s="256">
        <v>2</v>
      </c>
      <c r="B60" s="257" t="s">
        <v>1248</v>
      </c>
      <c r="C60" s="256"/>
      <c r="D60" s="256"/>
      <c r="E60" s="256"/>
      <c r="F60" s="256"/>
      <c r="G60" s="256"/>
      <c r="H60" s="256"/>
      <c r="I60" s="256"/>
      <c r="J60" s="256"/>
      <c r="K60" s="256"/>
      <c r="L60" s="256"/>
      <c r="M60" s="256"/>
    </row>
    <row r="61" spans="1:13">
      <c r="A61" s="256">
        <v>3</v>
      </c>
      <c r="B61" s="256" t="s">
        <v>1249</v>
      </c>
      <c r="C61" s="258"/>
      <c r="D61" s="258"/>
      <c r="E61" s="258"/>
      <c r="F61" s="258"/>
      <c r="G61" s="258"/>
      <c r="H61" s="258"/>
      <c r="I61" s="258"/>
      <c r="J61" s="258"/>
      <c r="K61" s="258"/>
      <c r="L61" s="258"/>
      <c r="M61" s="258"/>
    </row>
    <row r="62" spans="1:13">
      <c r="A62" s="256">
        <v>4</v>
      </c>
      <c r="B62" s="256" t="s">
        <v>1250</v>
      </c>
      <c r="C62" s="258"/>
      <c r="D62" s="258"/>
      <c r="E62" s="258"/>
      <c r="F62" s="258"/>
      <c r="G62" s="258"/>
      <c r="H62" s="258"/>
      <c r="I62" s="258"/>
      <c r="J62" s="258"/>
      <c r="K62" s="258"/>
      <c r="L62" s="258"/>
      <c r="M62" s="258"/>
    </row>
    <row r="63" spans="1:13">
      <c r="A63" s="256">
        <v>5</v>
      </c>
      <c r="B63" s="256" t="s">
        <v>1251</v>
      </c>
      <c r="C63" s="258"/>
      <c r="D63" s="258"/>
      <c r="E63" s="258"/>
      <c r="F63" s="258"/>
      <c r="G63" s="258"/>
      <c r="H63" s="258"/>
      <c r="I63" s="258"/>
      <c r="J63" s="258"/>
      <c r="K63" s="258"/>
      <c r="L63" s="258"/>
      <c r="M63" s="258"/>
    </row>
    <row r="64" spans="1:13" ht="56.25">
      <c r="A64" s="256">
        <v>6</v>
      </c>
      <c r="B64" s="259" t="s">
        <v>1252</v>
      </c>
      <c r="C64" s="248"/>
      <c r="D64" s="248"/>
      <c r="E64" s="248"/>
      <c r="F64" s="248"/>
      <c r="G64" s="248"/>
      <c r="H64" s="248"/>
      <c r="I64" s="248"/>
      <c r="J64" s="248"/>
      <c r="K64" s="248"/>
      <c r="L64" s="248"/>
      <c r="M64" s="248"/>
    </row>
    <row r="65" spans="1:13" ht="45">
      <c r="A65" s="256">
        <v>7</v>
      </c>
      <c r="B65" s="248" t="s">
        <v>1253</v>
      </c>
      <c r="C65" s="248"/>
      <c r="D65" s="248"/>
      <c r="E65" s="248"/>
      <c r="F65" s="248"/>
      <c r="G65" s="248"/>
      <c r="H65" s="248"/>
      <c r="I65" s="248"/>
      <c r="J65" s="248"/>
      <c r="K65" s="248"/>
      <c r="L65" s="248"/>
      <c r="M65" s="248"/>
    </row>
    <row r="66" spans="1:13" ht="45">
      <c r="A66" s="256">
        <v>8</v>
      </c>
      <c r="B66" s="248" t="s">
        <v>1254</v>
      </c>
      <c r="C66" s="248"/>
      <c r="D66" s="248"/>
      <c r="E66" s="248"/>
      <c r="F66" s="248"/>
      <c r="G66" s="248"/>
      <c r="H66" s="248"/>
      <c r="I66" s="248"/>
      <c r="J66" s="248"/>
      <c r="K66" s="248"/>
      <c r="L66" s="248"/>
      <c r="M66" s="248"/>
    </row>
    <row r="67" spans="1:13" ht="56.25">
      <c r="A67" s="256">
        <v>9</v>
      </c>
      <c r="B67" s="248" t="s">
        <v>1255</v>
      </c>
      <c r="C67" s="248"/>
      <c r="D67" s="248"/>
      <c r="E67" s="248"/>
      <c r="F67" s="248"/>
      <c r="G67" s="248"/>
      <c r="H67" s="248"/>
      <c r="I67" s="248"/>
      <c r="J67" s="248"/>
      <c r="K67" s="248"/>
      <c r="L67" s="248"/>
      <c r="M67" s="248"/>
    </row>
    <row r="68" spans="1:13" ht="56.25">
      <c r="A68" s="256">
        <v>10</v>
      </c>
      <c r="B68" s="248" t="s">
        <v>1256</v>
      </c>
      <c r="C68" s="248"/>
      <c r="D68" s="248"/>
      <c r="E68" s="248"/>
      <c r="F68" s="248"/>
      <c r="G68" s="248"/>
      <c r="H68" s="248"/>
      <c r="I68" s="248"/>
      <c r="J68" s="248"/>
      <c r="K68" s="248"/>
      <c r="L68" s="248"/>
      <c r="M68" s="248"/>
    </row>
    <row r="69" spans="1:13" ht="45">
      <c r="A69" s="256">
        <v>11</v>
      </c>
      <c r="B69" s="248" t="s">
        <v>1257</v>
      </c>
      <c r="C69" s="217"/>
      <c r="D69" s="217"/>
      <c r="E69" s="217"/>
      <c r="F69" s="217"/>
      <c r="G69" s="217"/>
      <c r="H69" s="217"/>
      <c r="I69" s="217"/>
      <c r="J69" s="217"/>
      <c r="K69" s="217"/>
      <c r="L69" s="217"/>
      <c r="M69" s="217"/>
    </row>
    <row r="70" spans="1:13">
      <c r="A70" s="256">
        <v>12</v>
      </c>
      <c r="B70" s="218" t="s">
        <v>1258</v>
      </c>
      <c r="C70" s="217"/>
      <c r="D70" s="217"/>
      <c r="E70" s="217"/>
      <c r="F70" s="217"/>
      <c r="G70" s="217"/>
      <c r="H70" s="217"/>
      <c r="I70" s="217"/>
      <c r="J70" s="217"/>
      <c r="K70" s="217"/>
      <c r="L70" s="217"/>
      <c r="M70" s="217"/>
    </row>
    <row r="71" spans="1:13">
      <c r="A71" s="256">
        <v>13</v>
      </c>
      <c r="B71" s="218" t="s">
        <v>1259</v>
      </c>
      <c r="C71" s="217"/>
      <c r="D71" s="217"/>
      <c r="E71" s="217"/>
      <c r="F71" s="217"/>
      <c r="G71" s="217"/>
      <c r="H71" s="217"/>
      <c r="I71" s="217"/>
      <c r="J71" s="217"/>
      <c r="K71" s="217"/>
      <c r="L71" s="217"/>
      <c r="M71" s="217"/>
    </row>
    <row r="72" spans="1:13">
      <c r="A72" s="256">
        <v>14</v>
      </c>
      <c r="B72" s="218" t="s">
        <v>1260</v>
      </c>
      <c r="C72" s="217"/>
      <c r="D72" s="217"/>
      <c r="E72" s="217"/>
      <c r="F72" s="217"/>
      <c r="G72" s="217"/>
      <c r="H72" s="217"/>
      <c r="I72" s="217"/>
      <c r="J72" s="217"/>
      <c r="K72" s="217"/>
      <c r="L72" s="217"/>
      <c r="M72" s="217"/>
    </row>
    <row r="73" spans="1:13">
      <c r="A73" s="256">
        <v>15</v>
      </c>
      <c r="B73" s="218" t="s">
        <v>1261</v>
      </c>
      <c r="C73" s="217"/>
      <c r="D73" s="217"/>
      <c r="E73" s="217"/>
      <c r="F73" s="217"/>
      <c r="G73" s="217"/>
      <c r="H73" s="217"/>
      <c r="I73" s="217"/>
      <c r="J73" s="217"/>
      <c r="K73" s="217"/>
      <c r="L73" s="217"/>
      <c r="M73" s="217"/>
    </row>
    <row r="74" spans="1:13">
      <c r="A74" s="256">
        <v>16</v>
      </c>
      <c r="B74" s="218" t="s">
        <v>1262</v>
      </c>
      <c r="C74" s="217"/>
      <c r="D74" s="217"/>
      <c r="E74" s="217"/>
      <c r="F74" s="217"/>
      <c r="G74" s="217"/>
      <c r="H74" s="217"/>
      <c r="I74" s="217"/>
      <c r="J74" s="217"/>
      <c r="K74" s="217"/>
      <c r="L74" s="217"/>
      <c r="M74" s="217"/>
    </row>
    <row r="75" spans="1:13">
      <c r="A75" s="256">
        <v>17</v>
      </c>
      <c r="B75" s="218" t="s">
        <v>1263</v>
      </c>
      <c r="C75" s="217"/>
      <c r="D75" s="217"/>
      <c r="E75" s="217"/>
      <c r="F75" s="217"/>
      <c r="G75" s="217"/>
      <c r="H75" s="217"/>
      <c r="I75" s="217"/>
      <c r="J75" s="217"/>
      <c r="K75" s="217"/>
      <c r="L75" s="217"/>
      <c r="M75" s="217"/>
    </row>
    <row r="76" spans="1:13">
      <c r="A76" s="256">
        <v>18</v>
      </c>
      <c r="B76" s="218" t="s">
        <v>1264</v>
      </c>
      <c r="C76" s="217"/>
      <c r="D76" s="217"/>
      <c r="E76" s="217"/>
      <c r="F76" s="217"/>
      <c r="G76" s="217"/>
      <c r="H76" s="217"/>
      <c r="I76" s="217"/>
      <c r="J76" s="217"/>
      <c r="K76" s="217"/>
      <c r="L76" s="217"/>
      <c r="M76" s="217"/>
    </row>
    <row r="83" spans="2:13">
      <c r="B83" s="260"/>
      <c r="C83" s="261"/>
      <c r="D83" s="261"/>
      <c r="E83" s="261"/>
      <c r="F83" s="261"/>
      <c r="G83" s="261"/>
      <c r="H83" s="261"/>
      <c r="I83" s="261"/>
      <c r="J83" s="261"/>
      <c r="K83" s="261"/>
      <c r="L83" s="261"/>
      <c r="M83" s="261"/>
    </row>
    <row r="86" spans="2:13">
      <c r="B86" s="217"/>
      <c r="C86" s="262"/>
      <c r="D86" s="262"/>
      <c r="E86" s="217"/>
      <c r="F86" s="217"/>
      <c r="G86" s="217"/>
      <c r="H86" s="217"/>
      <c r="I86" s="217"/>
      <c r="J86" s="217"/>
      <c r="K86" s="217"/>
      <c r="L86" s="217"/>
      <c r="M86" s="217"/>
    </row>
    <row r="87" spans="2:13">
      <c r="B87" s="217"/>
      <c r="C87" s="263"/>
      <c r="D87" s="263"/>
      <c r="E87" s="263"/>
      <c r="F87" s="263"/>
      <c r="G87" s="217"/>
      <c r="H87" s="217"/>
      <c r="I87" s="217"/>
      <c r="J87" s="217"/>
      <c r="K87" s="217"/>
      <c r="L87" s="217"/>
      <c r="M87" s="217"/>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workbookViewId="0"/>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1039</v>
      </c>
    </row>
    <row r="2" spans="2:30" ht="13.5" thickTop="1"/>
    <row r="3" spans="2:30" ht="15">
      <c r="B3" s="23" t="s">
        <v>976</v>
      </c>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1037</v>
      </c>
      <c r="C5" s="104">
        <f>SUM(D5:AC5)</f>
        <v>44627.692810925466</v>
      </c>
      <c r="D5" s="104">
        <f>SUMIF(F12:F27,D4,INDEX(E12:E27,0))</f>
        <v>0</v>
      </c>
      <c r="E5" s="104">
        <f t="shared" ref="E5:AC5" si="0">SUMIF($G$12:$G$27,E4,INDEX($F$12:$F$27,0))</f>
        <v>29742.103665509312</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7697.0695824447212</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44627.692810925466</v>
      </c>
    </row>
    <row r="6" spans="2:30" ht="15">
      <c r="B6" s="66" t="s">
        <v>1036</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1030</v>
      </c>
    </row>
    <row r="11" spans="2:30" ht="60">
      <c r="B11" s="105" t="s">
        <v>1033</v>
      </c>
      <c r="C11" s="105" t="s">
        <v>973</v>
      </c>
      <c r="D11" s="105" t="s">
        <v>972</v>
      </c>
      <c r="E11" s="81" t="s">
        <v>971</v>
      </c>
      <c r="F11" s="81" t="s">
        <v>970</v>
      </c>
      <c r="G11" s="81" t="s">
        <v>1041</v>
      </c>
      <c r="H11" s="81" t="s">
        <v>1042</v>
      </c>
    </row>
    <row r="12" spans="2:30" ht="15">
      <c r="B12" s="111" t="s">
        <v>987</v>
      </c>
      <c r="C12" s="106" t="s">
        <v>969</v>
      </c>
      <c r="D12" s="106" t="s">
        <v>958</v>
      </c>
      <c r="E12" s="80">
        <v>266.57523809523809</v>
      </c>
      <c r="F12" s="80">
        <v>5468.1085769142855</v>
      </c>
      <c r="G12" s="107" t="s">
        <v>434</v>
      </c>
    </row>
    <row r="13" spans="2:30" ht="16.5" customHeight="1">
      <c r="B13" s="111" t="s">
        <v>988</v>
      </c>
      <c r="C13" s="106" t="s">
        <v>968</v>
      </c>
      <c r="D13" s="106" t="s">
        <v>958</v>
      </c>
      <c r="E13" s="80">
        <v>210.45841269841262</v>
      </c>
      <c r="F13" s="80">
        <v>4317.0155629714272</v>
      </c>
      <c r="G13" s="107" t="s">
        <v>450</v>
      </c>
    </row>
    <row r="14" spans="2:30" ht="15">
      <c r="B14" s="111"/>
      <c r="C14" s="106" t="s">
        <v>967</v>
      </c>
      <c r="D14" s="106" t="s">
        <v>958</v>
      </c>
      <c r="E14" s="80">
        <v>1162.3579591836751</v>
      </c>
      <c r="F14" s="80">
        <v>23842.797896277589</v>
      </c>
      <c r="G14" s="108" t="s">
        <v>1031</v>
      </c>
      <c r="H14" s="87" t="s">
        <v>445</v>
      </c>
    </row>
    <row r="15" spans="2:30" ht="15" customHeight="1">
      <c r="B15" s="315" t="s">
        <v>998</v>
      </c>
      <c r="C15" s="106" t="s">
        <v>966</v>
      </c>
      <c r="D15" s="106" t="s">
        <v>958</v>
      </c>
      <c r="E15" s="80">
        <v>188.45078282828283</v>
      </c>
      <c r="F15" s="80">
        <v>3865.5853757181821</v>
      </c>
      <c r="G15" s="109" t="s">
        <v>434</v>
      </c>
    </row>
    <row r="16" spans="2:30" ht="15">
      <c r="B16" s="316"/>
      <c r="C16" s="106" t="s">
        <v>965</v>
      </c>
      <c r="D16" s="106" t="s">
        <v>958</v>
      </c>
      <c r="E16" s="80">
        <v>206.69695916165827</v>
      </c>
      <c r="F16" s="80">
        <v>4239.858972985965</v>
      </c>
      <c r="G16" s="107" t="s">
        <v>434</v>
      </c>
    </row>
    <row r="17" spans="2:10" ht="15">
      <c r="B17" s="111"/>
      <c r="C17" s="106" t="s">
        <v>964</v>
      </c>
      <c r="D17" s="106" t="s">
        <v>958</v>
      </c>
      <c r="E17" s="132">
        <v>217.18108995210142</v>
      </c>
      <c r="F17" s="132">
        <v>4454.9140767770832</v>
      </c>
      <c r="G17" s="108" t="s">
        <v>1031</v>
      </c>
      <c r="H17" s="87" t="s">
        <v>451</v>
      </c>
    </row>
    <row r="18" spans="2:10" ht="48" customHeight="1">
      <c r="B18" s="111" t="s">
        <v>986</v>
      </c>
      <c r="C18" s="106" t="s">
        <v>963</v>
      </c>
      <c r="D18" s="106" t="s">
        <v>958</v>
      </c>
      <c r="E18" s="132">
        <v>342.34666666666601</v>
      </c>
      <c r="F18" s="132">
        <v>7022.3654591999866</v>
      </c>
      <c r="G18" s="107" t="s">
        <v>434</v>
      </c>
    </row>
    <row r="19" spans="2:10" ht="15" customHeight="1">
      <c r="B19" s="315" t="s">
        <v>992</v>
      </c>
      <c r="C19" s="106" t="s">
        <v>962</v>
      </c>
      <c r="D19" s="106" t="s">
        <v>958</v>
      </c>
      <c r="E19" s="132">
        <v>186.57015873015874</v>
      </c>
      <c r="F19" s="132">
        <v>3827.0091867428573</v>
      </c>
      <c r="G19" s="107" t="s">
        <v>446</v>
      </c>
    </row>
    <row r="20" spans="2:10" ht="16.5" customHeight="1">
      <c r="B20" s="316"/>
      <c r="C20" s="106" t="s">
        <v>961</v>
      </c>
      <c r="D20" s="106" t="s">
        <v>958</v>
      </c>
      <c r="E20" s="132">
        <v>429.08000000000106</v>
      </c>
      <c r="F20" s="132">
        <v>8801.4777552000232</v>
      </c>
      <c r="G20" s="108" t="s">
        <v>1031</v>
      </c>
      <c r="H20" s="87" t="s">
        <v>446</v>
      </c>
    </row>
    <row r="21" spans="2:10" ht="15">
      <c r="B21" s="111" t="s">
        <v>991</v>
      </c>
      <c r="C21" s="106" t="s">
        <v>960</v>
      </c>
      <c r="D21" s="106" t="s">
        <v>958</v>
      </c>
      <c r="E21" s="132">
        <v>188.66894409937888</v>
      </c>
      <c r="F21" s="132">
        <v>3870.0603957018634</v>
      </c>
      <c r="G21" s="107" t="s">
        <v>446</v>
      </c>
    </row>
    <row r="22" spans="2:10" ht="15" customHeight="1">
      <c r="B22" s="111"/>
      <c r="C22" s="106" t="s">
        <v>959</v>
      </c>
      <c r="D22" s="106" t="s">
        <v>958</v>
      </c>
      <c r="E22" s="132">
        <v>196.99111111111114</v>
      </c>
      <c r="F22" s="132">
        <v>4040.7683472000003</v>
      </c>
      <c r="G22" s="108" t="s">
        <v>1031</v>
      </c>
      <c r="H22" s="87" t="s">
        <v>434</v>
      </c>
    </row>
    <row r="23" spans="2:10" ht="15">
      <c r="B23" s="112" t="s">
        <v>1023</v>
      </c>
      <c r="C23" s="106" t="s">
        <v>1000</v>
      </c>
      <c r="D23" s="106" t="s">
        <v>958</v>
      </c>
      <c r="E23" s="132"/>
      <c r="F23" s="132">
        <v>822</v>
      </c>
      <c r="G23" s="111" t="s">
        <v>434</v>
      </c>
    </row>
    <row r="24" spans="2:10" ht="15">
      <c r="B24" s="112" t="s">
        <v>1028</v>
      </c>
      <c r="C24" s="106" t="s">
        <v>1005</v>
      </c>
      <c r="D24" s="106" t="s">
        <v>958</v>
      </c>
      <c r="E24" s="132"/>
      <c r="F24" s="132">
        <v>7227</v>
      </c>
      <c r="G24" s="111" t="s">
        <v>434</v>
      </c>
    </row>
    <row r="25" spans="2:10" ht="15" customHeight="1">
      <c r="B25" s="131" t="s">
        <v>990</v>
      </c>
      <c r="C25" s="134" t="s">
        <v>999</v>
      </c>
      <c r="D25" s="134" t="s">
        <v>954</v>
      </c>
      <c r="E25" s="133"/>
      <c r="F25" s="133">
        <v>2430</v>
      </c>
      <c r="G25" s="111" t="s">
        <v>440</v>
      </c>
      <c r="H25" s="87"/>
    </row>
    <row r="26" spans="2:10" ht="15">
      <c r="B26" s="111" t="s">
        <v>989</v>
      </c>
      <c r="C26" s="134" t="s">
        <v>955</v>
      </c>
      <c r="D26" s="134" t="s">
        <v>954</v>
      </c>
      <c r="E26" s="78">
        <v>34.791517018356608</v>
      </c>
      <c r="F26" s="78">
        <v>1097.1852806908939</v>
      </c>
      <c r="G26" s="107" t="s">
        <v>434</v>
      </c>
    </row>
    <row r="27" spans="2:10" ht="15">
      <c r="B27" s="131" t="s">
        <v>1050</v>
      </c>
      <c r="C27" s="134" t="s">
        <v>1022</v>
      </c>
      <c r="D27" s="134" t="s">
        <v>954</v>
      </c>
      <c r="E27" s="133">
        <v>14</v>
      </c>
      <c r="F27" s="133">
        <f>(E27/E26)*F26</f>
        <v>441.50399999999996</v>
      </c>
      <c r="G27" s="111" t="s">
        <v>440</v>
      </c>
      <c r="H27" s="118"/>
      <c r="I27" s="1" t="s">
        <v>1033</v>
      </c>
      <c r="J27" s="1" t="s">
        <v>1032</v>
      </c>
    </row>
    <row r="28" spans="2:10" ht="15">
      <c r="B28" s="111" t="s">
        <v>985</v>
      </c>
      <c r="C28" s="113" t="s">
        <v>994</v>
      </c>
      <c r="D28" s="114" t="s">
        <v>1038</v>
      </c>
      <c r="E28" s="115">
        <f>I28*$J$28</f>
        <v>63</v>
      </c>
      <c r="F28" s="116">
        <f>108*I28</f>
        <v>1944</v>
      </c>
      <c r="G28" s="108" t="s">
        <v>434</v>
      </c>
      <c r="H28" s="1"/>
      <c r="I28">
        <v>18</v>
      </c>
      <c r="J28">
        <v>3.5</v>
      </c>
    </row>
    <row r="29" spans="2:10" ht="15">
      <c r="B29" s="111" t="s">
        <v>993</v>
      </c>
      <c r="C29" s="113" t="s">
        <v>996</v>
      </c>
      <c r="D29" s="114" t="s">
        <v>1038</v>
      </c>
      <c r="E29" s="115">
        <f t="shared" ref="E29:E30" si="3">I29*$J$28</f>
        <v>3.5</v>
      </c>
      <c r="F29" s="116">
        <f t="shared" ref="F29:F30" si="4">108*I29</f>
        <v>108</v>
      </c>
      <c r="G29" s="108" t="s">
        <v>1040</v>
      </c>
      <c r="H29" s="1"/>
      <c r="I29">
        <v>1</v>
      </c>
    </row>
    <row r="30" spans="2:10" ht="15">
      <c r="B30" s="111" t="s">
        <v>995</v>
      </c>
      <c r="C30" s="113" t="s">
        <v>997</v>
      </c>
      <c r="D30" s="114" t="s">
        <v>1038</v>
      </c>
      <c r="E30" s="115">
        <f t="shared" si="3"/>
        <v>3.5</v>
      </c>
      <c r="F30" s="116">
        <f t="shared" si="4"/>
        <v>108</v>
      </c>
      <c r="G30" s="108" t="s">
        <v>451</v>
      </c>
      <c r="H30" s="1"/>
      <c r="I30">
        <v>1</v>
      </c>
    </row>
    <row r="31" spans="2:10" ht="15">
      <c r="B31" s="111" t="s">
        <v>1024</v>
      </c>
      <c r="C31" s="117" t="s">
        <v>1001</v>
      </c>
      <c r="D31" s="130" t="s">
        <v>1048</v>
      </c>
      <c r="E31" s="117"/>
      <c r="F31" s="117">
        <v>612</v>
      </c>
      <c r="G31" s="111" t="s">
        <v>439</v>
      </c>
    </row>
    <row r="32" spans="2:10" ht="15">
      <c r="B32" s="112" t="s">
        <v>1025</v>
      </c>
      <c r="C32" s="117" t="s">
        <v>1002</v>
      </c>
      <c r="D32" s="130" t="s">
        <v>1049</v>
      </c>
      <c r="E32" s="117"/>
      <c r="F32" s="117">
        <v>1776</v>
      </c>
      <c r="G32" s="111" t="s">
        <v>456</v>
      </c>
    </row>
    <row r="33" spans="2:7" ht="15">
      <c r="B33" s="111" t="s">
        <v>1026</v>
      </c>
      <c r="C33" s="117" t="s">
        <v>1003</v>
      </c>
      <c r="D33" s="130" t="s">
        <v>1049</v>
      </c>
      <c r="E33" s="117"/>
      <c r="F33" s="117">
        <v>1225</v>
      </c>
      <c r="G33" s="111" t="s">
        <v>448</v>
      </c>
    </row>
    <row r="34" spans="2:7" ht="15">
      <c r="B34" s="112" t="s">
        <v>1027</v>
      </c>
      <c r="C34" s="117" t="s">
        <v>1004</v>
      </c>
      <c r="D34" s="130" t="s">
        <v>1049</v>
      </c>
      <c r="E34" s="117"/>
      <c r="F34" s="117">
        <v>2465</v>
      </c>
      <c r="G34" s="111" t="s">
        <v>439</v>
      </c>
    </row>
    <row r="35" spans="2:7" ht="15">
      <c r="B35" s="111" t="s">
        <v>1029</v>
      </c>
      <c r="C35" s="110" t="s">
        <v>957</v>
      </c>
      <c r="D35" s="110" t="s">
        <v>956</v>
      </c>
      <c r="E35" s="79">
        <v>67.470204616036483</v>
      </c>
      <c r="F35" s="79">
        <v>2127.7403727713267</v>
      </c>
      <c r="G35" s="107" t="s">
        <v>446</v>
      </c>
    </row>
  </sheetData>
  <mergeCells count="2">
    <mergeCell ref="B15:B16"/>
    <mergeCell ref="B19:B20"/>
  </mergeCells>
  <phoneticPr fontId="106"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workbookViewId="0"/>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5" max="35" width="14.85546875" customWidth="1"/>
  </cols>
  <sheetData>
    <row r="3" spans="1:63" ht="23.25" customHeight="1" thickBot="1">
      <c r="G3" s="330" t="s">
        <v>1309</v>
      </c>
      <c r="H3" s="330"/>
      <c r="I3" s="330"/>
      <c r="J3" s="330"/>
    </row>
    <row r="4" spans="1:63" ht="36" customHeight="1" thickBot="1">
      <c r="A4" s="2" t="s">
        <v>1</v>
      </c>
      <c r="C4" s="2" t="s">
        <v>464</v>
      </c>
      <c r="E4" s="2" t="s">
        <v>1307</v>
      </c>
      <c r="G4" s="2" t="s">
        <v>1308</v>
      </c>
      <c r="H4" s="2" t="s">
        <v>1310</v>
      </c>
      <c r="I4" s="2" t="s">
        <v>1311</v>
      </c>
      <c r="J4" s="2" t="s">
        <v>1312</v>
      </c>
    </row>
    <row r="5" spans="1:63">
      <c r="A5" s="22">
        <v>0.03</v>
      </c>
      <c r="C5" s="22">
        <v>0.6</v>
      </c>
      <c r="E5" s="22">
        <v>0.3</v>
      </c>
      <c r="G5">
        <v>31888</v>
      </c>
      <c r="H5">
        <v>24053</v>
      </c>
      <c r="I5">
        <v>10291</v>
      </c>
      <c r="J5">
        <v>2536</v>
      </c>
    </row>
    <row r="7" spans="1:63">
      <c r="A7" s="22"/>
      <c r="C7" s="22"/>
    </row>
    <row r="8" spans="1:63">
      <c r="A8" s="22"/>
      <c r="C8" s="206"/>
      <c r="D8" s="206"/>
      <c r="E8" s="206"/>
      <c r="F8" s="206"/>
      <c r="G8" s="206"/>
      <c r="H8" s="206"/>
      <c r="I8" s="206"/>
      <c r="J8" s="206"/>
      <c r="K8" s="206"/>
      <c r="L8" s="206"/>
      <c r="N8" s="206"/>
    </row>
    <row r="9" spans="1:63">
      <c r="A9" s="22"/>
      <c r="C9" s="22"/>
    </row>
    <row r="10" spans="1:63" ht="15">
      <c r="D10" s="317" t="s">
        <v>1062</v>
      </c>
      <c r="E10" s="317"/>
      <c r="AI10" s="317" t="s">
        <v>1061</v>
      </c>
      <c r="AJ10" s="317"/>
    </row>
    <row r="11" spans="1:63" ht="15">
      <c r="C11" s="142" t="s">
        <v>0</v>
      </c>
      <c r="D11" s="142" t="s">
        <v>476</v>
      </c>
      <c r="E11" s="142" t="s">
        <v>460</v>
      </c>
      <c r="F11" s="142" t="s">
        <v>433</v>
      </c>
      <c r="G11" s="142" t="s">
        <v>434</v>
      </c>
      <c r="H11" s="142" t="s">
        <v>435</v>
      </c>
      <c r="I11" s="142" t="s">
        <v>436</v>
      </c>
      <c r="J11" s="142" t="s">
        <v>437</v>
      </c>
      <c r="K11" s="142" t="s">
        <v>438</v>
      </c>
      <c r="L11" s="142" t="s">
        <v>439</v>
      </c>
      <c r="M11" s="142" t="s">
        <v>440</v>
      </c>
      <c r="N11" s="142" t="s">
        <v>441</v>
      </c>
      <c r="O11" s="142" t="s">
        <v>442</v>
      </c>
      <c r="P11" s="142" t="s">
        <v>443</v>
      </c>
      <c r="Q11" s="142" t="s">
        <v>444</v>
      </c>
      <c r="R11" s="142" t="s">
        <v>445</v>
      </c>
      <c r="S11" s="142" t="s">
        <v>446</v>
      </c>
      <c r="T11" s="142" t="s">
        <v>447</v>
      </c>
      <c r="U11" s="142" t="s">
        <v>448</v>
      </c>
      <c r="V11" s="142" t="s">
        <v>449</v>
      </c>
      <c r="W11" s="142" t="s">
        <v>450</v>
      </c>
      <c r="X11" s="142" t="s">
        <v>451</v>
      </c>
      <c r="Y11" s="142" t="s">
        <v>452</v>
      </c>
      <c r="Z11" s="142" t="s">
        <v>453</v>
      </c>
      <c r="AA11" s="142" t="s">
        <v>454</v>
      </c>
      <c r="AB11" s="142" t="s">
        <v>455</v>
      </c>
      <c r="AC11" s="142" t="s">
        <v>456</v>
      </c>
      <c r="AD11" s="142" t="s">
        <v>457</v>
      </c>
      <c r="AE11" s="142" t="s">
        <v>458</v>
      </c>
      <c r="AF11" s="142" t="s">
        <v>463</v>
      </c>
      <c r="AH11" s="142" t="s">
        <v>0</v>
      </c>
      <c r="AI11" s="142" t="s">
        <v>476</v>
      </c>
      <c r="AJ11" s="142" t="s">
        <v>460</v>
      </c>
      <c r="AK11" s="142" t="s">
        <v>433</v>
      </c>
      <c r="AL11" s="142" t="s">
        <v>434</v>
      </c>
      <c r="AM11" s="142" t="s">
        <v>435</v>
      </c>
      <c r="AN11" s="142" t="s">
        <v>436</v>
      </c>
      <c r="AO11" s="142" t="s">
        <v>437</v>
      </c>
      <c r="AP11" s="142" t="s">
        <v>438</v>
      </c>
      <c r="AQ11" s="142" t="s">
        <v>439</v>
      </c>
      <c r="AR11" s="142" t="s">
        <v>440</v>
      </c>
      <c r="AS11" s="142" t="s">
        <v>441</v>
      </c>
      <c r="AT11" s="142" t="s">
        <v>442</v>
      </c>
      <c r="AU11" s="142" t="s">
        <v>443</v>
      </c>
      <c r="AV11" s="142" t="s">
        <v>444</v>
      </c>
      <c r="AW11" s="142" t="s">
        <v>445</v>
      </c>
      <c r="AX11" s="142" t="s">
        <v>446</v>
      </c>
      <c r="AY11" s="142" t="s">
        <v>447</v>
      </c>
      <c r="AZ11" s="142" t="s">
        <v>448</v>
      </c>
      <c r="BA11" s="142" t="s">
        <v>449</v>
      </c>
      <c r="BB11" s="142" t="s">
        <v>450</v>
      </c>
      <c r="BC11" s="142" t="s">
        <v>451</v>
      </c>
      <c r="BD11" s="142" t="s">
        <v>452</v>
      </c>
      <c r="BE11" s="142" t="s">
        <v>453</v>
      </c>
      <c r="BF11" s="142" t="s">
        <v>454</v>
      </c>
      <c r="BG11" s="142" t="s">
        <v>455</v>
      </c>
      <c r="BH11" s="142" t="s">
        <v>456</v>
      </c>
      <c r="BI11" s="142" t="s">
        <v>457</v>
      </c>
      <c r="BJ11" s="142" t="s">
        <v>458</v>
      </c>
      <c r="BK11" s="142" t="s">
        <v>463</v>
      </c>
    </row>
    <row r="12" spans="1:63">
      <c r="A12" s="22"/>
      <c r="C12" s="138" t="s">
        <v>465</v>
      </c>
      <c r="D12" s="138" t="s">
        <v>1052</v>
      </c>
      <c r="E12" s="143">
        <v>0.61361805337652753</v>
      </c>
      <c r="F12" s="139">
        <v>0.6945736434108527</v>
      </c>
      <c r="G12" s="139">
        <v>0.57412331029078389</v>
      </c>
      <c r="H12" s="139">
        <v>0.73369239976062239</v>
      </c>
      <c r="I12" s="139">
        <v>0.76045197740112991</v>
      </c>
      <c r="J12" s="139">
        <v>0.59503105590062111</v>
      </c>
      <c r="K12" s="139">
        <v>0.88073394495412849</v>
      </c>
      <c r="L12" s="139">
        <v>0.81102056655025223</v>
      </c>
      <c r="M12" s="139">
        <v>0.6209535020600353</v>
      </c>
      <c r="N12" s="139">
        <v>0.77865612648221338</v>
      </c>
      <c r="O12" s="139">
        <v>0.47006369426751593</v>
      </c>
      <c r="P12" s="139">
        <v>0.73553719008264462</v>
      </c>
      <c r="Q12" s="139">
        <v>0.7128607053794086</v>
      </c>
      <c r="R12" s="139">
        <v>0.74453941120607792</v>
      </c>
      <c r="S12" s="139">
        <v>0.6833764553686934</v>
      </c>
      <c r="T12" s="139">
        <v>0.64555984555984558</v>
      </c>
      <c r="U12" s="139">
        <v>0.59628957451099007</v>
      </c>
      <c r="V12" s="139">
        <v>0.77071823204419887</v>
      </c>
      <c r="W12" s="139">
        <v>0.6481279534714649</v>
      </c>
      <c r="X12" s="139">
        <v>0.56522659889877169</v>
      </c>
      <c r="Y12" s="139">
        <v>0.74045801526717558</v>
      </c>
      <c r="Z12" s="139">
        <v>0.7182795698924731</v>
      </c>
      <c r="AA12" s="139">
        <v>0.810126582278481</v>
      </c>
      <c r="AB12" s="139">
        <v>0.67241379310344829</v>
      </c>
      <c r="AC12" s="139">
        <v>0.77777777777777779</v>
      </c>
      <c r="AD12" s="139">
        <v>0.54545454545454541</v>
      </c>
      <c r="AE12" s="139">
        <v>0.85989010989010994</v>
      </c>
      <c r="AF12" s="139">
        <f>E12</f>
        <v>0.61361805337652753</v>
      </c>
      <c r="AH12" s="138" t="s">
        <v>465</v>
      </c>
      <c r="AI12" s="138" t="s">
        <v>1052</v>
      </c>
      <c r="AJ12" s="143">
        <v>5</v>
      </c>
      <c r="AK12" s="143">
        <v>5</v>
      </c>
      <c r="AL12" s="143">
        <v>5</v>
      </c>
      <c r="AM12" s="143">
        <v>5</v>
      </c>
      <c r="AN12" s="143">
        <v>5</v>
      </c>
      <c r="AO12" s="143">
        <v>5</v>
      </c>
      <c r="AP12" s="143">
        <v>5</v>
      </c>
      <c r="AQ12" s="143">
        <v>5</v>
      </c>
      <c r="AR12" s="143">
        <v>5</v>
      </c>
      <c r="AS12" s="143">
        <v>5</v>
      </c>
      <c r="AT12" s="143">
        <v>5</v>
      </c>
      <c r="AU12" s="143">
        <v>5</v>
      </c>
      <c r="AV12" s="143">
        <v>5</v>
      </c>
      <c r="AW12" s="143">
        <v>5</v>
      </c>
      <c r="AX12" s="143">
        <v>5</v>
      </c>
      <c r="AY12" s="143">
        <v>5</v>
      </c>
      <c r="AZ12" s="143">
        <v>5</v>
      </c>
      <c r="BA12" s="143">
        <v>5</v>
      </c>
      <c r="BB12" s="143">
        <v>5</v>
      </c>
      <c r="BC12" s="143">
        <v>5</v>
      </c>
      <c r="BD12" s="143">
        <v>5</v>
      </c>
      <c r="BE12" s="143">
        <v>5</v>
      </c>
      <c r="BF12" s="143">
        <v>5</v>
      </c>
      <c r="BG12" s="143">
        <v>5</v>
      </c>
      <c r="BH12" s="143">
        <v>5</v>
      </c>
      <c r="BI12" s="143">
        <v>5</v>
      </c>
      <c r="BJ12" s="143">
        <v>5</v>
      </c>
      <c r="BK12" s="143">
        <v>5</v>
      </c>
    </row>
    <row r="13" spans="1:63">
      <c r="C13" s="140"/>
      <c r="D13" s="1" t="s">
        <v>1053</v>
      </c>
      <c r="E13" s="141">
        <v>5.1434483577431585E-2</v>
      </c>
      <c r="F13" s="141">
        <v>7.441860465116279E-2</v>
      </c>
      <c r="G13" s="141">
        <v>3.793624583694831E-2</v>
      </c>
      <c r="H13" s="141">
        <v>0.10083782166367444</v>
      </c>
      <c r="I13" s="141">
        <v>8.0225988700564965E-2</v>
      </c>
      <c r="J13" s="141">
        <v>0.1515527950310559</v>
      </c>
      <c r="K13" s="141">
        <v>5.0458715596330278E-2</v>
      </c>
      <c r="L13" s="141">
        <v>6.3639891346526964E-2</v>
      </c>
      <c r="M13" s="141">
        <v>0.12007062978222484</v>
      </c>
      <c r="N13" s="141">
        <v>3.9525691699604744E-2</v>
      </c>
      <c r="O13" s="141">
        <v>3.949044585987261E-2</v>
      </c>
      <c r="P13" s="141">
        <v>9.9173553719008267E-2</v>
      </c>
      <c r="Q13" s="141">
        <v>9.9038118988243676E-2</v>
      </c>
      <c r="R13" s="141">
        <v>7.7872744539411204E-2</v>
      </c>
      <c r="S13" s="141">
        <v>6.241914618369987E-2</v>
      </c>
      <c r="T13" s="141">
        <v>8.4169884169884177E-2</v>
      </c>
      <c r="U13" s="141">
        <v>4.0532365396249243E-2</v>
      </c>
      <c r="V13" s="141">
        <v>7.18232044198895E-2</v>
      </c>
      <c r="W13" s="141">
        <v>6.5067248273355138E-2</v>
      </c>
      <c r="X13" s="141">
        <v>7.4332909783989834E-2</v>
      </c>
      <c r="Y13" s="141">
        <v>8.3969465648854963E-2</v>
      </c>
      <c r="Z13" s="141">
        <v>6.4516129032258063E-2</v>
      </c>
      <c r="AA13" s="141">
        <v>2.5316455696202531E-2</v>
      </c>
      <c r="AB13" s="141">
        <v>3.5919540229885055E-2</v>
      </c>
      <c r="AC13" s="141">
        <v>6.3492063492063489E-2</v>
      </c>
      <c r="AD13" s="141">
        <v>7.0381231671554259E-2</v>
      </c>
      <c r="AE13" s="141">
        <v>6.5934065934065936E-2</v>
      </c>
      <c r="AF13" s="26">
        <f>E13</f>
        <v>5.1434483577431585E-2</v>
      </c>
      <c r="AH13" s="140"/>
      <c r="AI13" s="1" t="s">
        <v>1053</v>
      </c>
      <c r="AJ13" s="141">
        <v>5</v>
      </c>
      <c r="AK13" s="141">
        <v>5</v>
      </c>
      <c r="AL13" s="141">
        <v>5</v>
      </c>
      <c r="AM13" s="141">
        <v>5</v>
      </c>
      <c r="AN13" s="141">
        <v>5</v>
      </c>
      <c r="AO13" s="141">
        <v>5</v>
      </c>
      <c r="AP13" s="141">
        <v>5</v>
      </c>
      <c r="AQ13" s="141">
        <v>5</v>
      </c>
      <c r="AR13" s="141">
        <v>5</v>
      </c>
      <c r="AS13" s="141">
        <v>5</v>
      </c>
      <c r="AT13" s="141">
        <v>5</v>
      </c>
      <c r="AU13" s="141">
        <v>5</v>
      </c>
      <c r="AV13" s="141">
        <v>5</v>
      </c>
      <c r="AW13" s="141">
        <v>5</v>
      </c>
      <c r="AX13" s="141">
        <v>5</v>
      </c>
      <c r="AY13" s="141">
        <v>5</v>
      </c>
      <c r="AZ13" s="141">
        <v>5</v>
      </c>
      <c r="BA13" s="141">
        <v>5</v>
      </c>
      <c r="BB13" s="141">
        <v>5</v>
      </c>
      <c r="BC13" s="141">
        <v>5</v>
      </c>
      <c r="BD13" s="141">
        <v>5</v>
      </c>
      <c r="BE13" s="141">
        <v>5</v>
      </c>
      <c r="BF13" s="141">
        <v>5</v>
      </c>
      <c r="BG13" s="141">
        <v>5</v>
      </c>
      <c r="BH13" s="141">
        <v>5</v>
      </c>
      <c r="BI13" s="141">
        <v>5</v>
      </c>
      <c r="BJ13" s="141">
        <v>5</v>
      </c>
      <c r="BK13" s="141">
        <v>5</v>
      </c>
    </row>
    <row r="14" spans="1:63">
      <c r="C14" s="144"/>
      <c r="D14" s="135" t="s">
        <v>1054</v>
      </c>
      <c r="E14" s="136">
        <f>1-(E12+E13)</f>
        <v>0.33494746304604084</v>
      </c>
      <c r="F14" s="136">
        <f t="shared" ref="F14:AE14" si="0">1-(F12+F13)</f>
        <v>0.23100775193798451</v>
      </c>
      <c r="G14" s="136">
        <f t="shared" si="0"/>
        <v>0.38794044387226778</v>
      </c>
      <c r="H14" s="136">
        <f t="shared" si="0"/>
        <v>0.16546977857570311</v>
      </c>
      <c r="I14" s="136">
        <f t="shared" si="0"/>
        <v>0.15932203389830513</v>
      </c>
      <c r="J14" s="136">
        <f t="shared" si="0"/>
        <v>0.25341614906832299</v>
      </c>
      <c r="K14" s="136">
        <f t="shared" si="0"/>
        <v>6.8807339449541205E-2</v>
      </c>
      <c r="L14" s="136">
        <f t="shared" si="0"/>
        <v>0.12533954210322085</v>
      </c>
      <c r="M14" s="136">
        <f t="shared" si="0"/>
        <v>0.25897586815773987</v>
      </c>
      <c r="N14" s="136">
        <f t="shared" si="0"/>
        <v>0.18181818181818188</v>
      </c>
      <c r="O14" s="136">
        <f t="shared" si="0"/>
        <v>0.49044585987261147</v>
      </c>
      <c r="P14" s="136">
        <f t="shared" si="0"/>
        <v>0.16528925619834711</v>
      </c>
      <c r="Q14" s="136">
        <f t="shared" si="0"/>
        <v>0.18810117563234774</v>
      </c>
      <c r="R14" s="136">
        <f t="shared" si="0"/>
        <v>0.17758784425451091</v>
      </c>
      <c r="S14" s="136">
        <f t="shared" si="0"/>
        <v>0.25420439844760678</v>
      </c>
      <c r="T14" s="136">
        <f t="shared" si="0"/>
        <v>0.27027027027027029</v>
      </c>
      <c r="U14" s="136">
        <f t="shared" si="0"/>
        <v>0.36317806009276066</v>
      </c>
      <c r="V14" s="136">
        <f t="shared" si="0"/>
        <v>0.15745856353591159</v>
      </c>
      <c r="W14" s="136">
        <f t="shared" si="0"/>
        <v>0.28680479825518002</v>
      </c>
      <c r="X14" s="136">
        <f t="shared" si="0"/>
        <v>0.36044049131723843</v>
      </c>
      <c r="Y14" s="136">
        <f t="shared" si="0"/>
        <v>0.17557251908396942</v>
      </c>
      <c r="Z14" s="136">
        <f t="shared" si="0"/>
        <v>0.21720430107526889</v>
      </c>
      <c r="AA14" s="136">
        <f t="shared" si="0"/>
        <v>0.16455696202531644</v>
      </c>
      <c r="AB14" s="136">
        <f t="shared" si="0"/>
        <v>0.29166666666666663</v>
      </c>
      <c r="AC14" s="136">
        <f t="shared" si="0"/>
        <v>0.15873015873015872</v>
      </c>
      <c r="AD14" s="136">
        <f t="shared" si="0"/>
        <v>0.38416422287390029</v>
      </c>
      <c r="AE14" s="136">
        <f t="shared" si="0"/>
        <v>7.4175824175824134E-2</v>
      </c>
      <c r="AF14" s="137">
        <f>E14</f>
        <v>0.33494746304604084</v>
      </c>
      <c r="AH14" s="144"/>
      <c r="AI14" s="135" t="s">
        <v>1054</v>
      </c>
      <c r="AJ14" s="136">
        <v>5</v>
      </c>
      <c r="AK14" s="136">
        <v>5</v>
      </c>
      <c r="AL14" s="136">
        <v>5</v>
      </c>
      <c r="AM14" s="136">
        <v>5</v>
      </c>
      <c r="AN14" s="136">
        <v>5</v>
      </c>
      <c r="AO14" s="136">
        <v>5</v>
      </c>
      <c r="AP14" s="136">
        <v>5</v>
      </c>
      <c r="AQ14" s="136">
        <v>5</v>
      </c>
      <c r="AR14" s="136">
        <v>5</v>
      </c>
      <c r="AS14" s="136">
        <v>5</v>
      </c>
      <c r="AT14" s="136">
        <v>5</v>
      </c>
      <c r="AU14" s="136">
        <v>5</v>
      </c>
      <c r="AV14" s="136">
        <v>5</v>
      </c>
      <c r="AW14" s="136">
        <v>5</v>
      </c>
      <c r="AX14" s="136">
        <v>5</v>
      </c>
      <c r="AY14" s="136">
        <v>5</v>
      </c>
      <c r="AZ14" s="136">
        <v>5</v>
      </c>
      <c r="BA14" s="136">
        <v>5</v>
      </c>
      <c r="BB14" s="136">
        <v>5</v>
      </c>
      <c r="BC14" s="136">
        <v>5</v>
      </c>
      <c r="BD14" s="136">
        <v>5</v>
      </c>
      <c r="BE14" s="136">
        <v>5</v>
      </c>
      <c r="BF14" s="136">
        <v>5</v>
      </c>
      <c r="BG14" s="136">
        <v>5</v>
      </c>
      <c r="BH14" s="136">
        <v>5</v>
      </c>
      <c r="BI14" s="136">
        <v>5</v>
      </c>
      <c r="BJ14" s="136">
        <v>5</v>
      </c>
      <c r="BK14" s="136">
        <v>5</v>
      </c>
    </row>
    <row r="15" spans="1:63">
      <c r="C15" s="140" t="s">
        <v>466</v>
      </c>
      <c r="D15" s="140" t="s">
        <v>1052</v>
      </c>
      <c r="E15" s="143">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0" t="s">
        <v>466</v>
      </c>
      <c r="AI15" s="140" t="s">
        <v>1052</v>
      </c>
      <c r="AJ15" s="143">
        <v>5</v>
      </c>
      <c r="AK15" s="143">
        <v>5</v>
      </c>
      <c r="AL15" s="143">
        <v>5</v>
      </c>
      <c r="AM15" s="143">
        <v>5</v>
      </c>
      <c r="AN15" s="143">
        <v>5</v>
      </c>
      <c r="AO15" s="143">
        <v>5</v>
      </c>
      <c r="AP15" s="143">
        <v>5</v>
      </c>
      <c r="AQ15" s="143">
        <v>5</v>
      </c>
      <c r="AR15" s="143">
        <v>5</v>
      </c>
      <c r="AS15" s="143">
        <v>5</v>
      </c>
      <c r="AT15" s="143">
        <v>5</v>
      </c>
      <c r="AU15" s="143">
        <v>5</v>
      </c>
      <c r="AV15" s="143">
        <v>5</v>
      </c>
      <c r="AW15" s="143">
        <v>5</v>
      </c>
      <c r="AX15" s="143">
        <v>5</v>
      </c>
      <c r="AY15" s="143">
        <v>5</v>
      </c>
      <c r="AZ15" s="143">
        <v>5</v>
      </c>
      <c r="BA15" s="143">
        <v>5</v>
      </c>
      <c r="BB15" s="143">
        <v>5</v>
      </c>
      <c r="BC15" s="143">
        <v>5</v>
      </c>
      <c r="BD15" s="143">
        <v>5</v>
      </c>
      <c r="BE15" s="143">
        <v>5</v>
      </c>
      <c r="BF15" s="143">
        <v>5</v>
      </c>
      <c r="BG15" s="143">
        <v>5</v>
      </c>
      <c r="BH15" s="143">
        <v>5</v>
      </c>
      <c r="BI15" s="143">
        <v>5</v>
      </c>
      <c r="BJ15" s="143">
        <v>5</v>
      </c>
      <c r="BK15" s="143">
        <v>5</v>
      </c>
    </row>
    <row r="16" spans="1:63">
      <c r="C16" s="140"/>
      <c r="D16" s="1" t="s">
        <v>1053</v>
      </c>
      <c r="E16" s="141">
        <v>5.1434483577431585E-2</v>
      </c>
      <c r="F16" s="141">
        <v>7.441860465116279E-2</v>
      </c>
      <c r="G16" s="141">
        <v>3.793624583694831E-2</v>
      </c>
      <c r="H16" s="141">
        <v>0.10083782166367444</v>
      </c>
      <c r="I16" s="141">
        <v>8.0225988700564965E-2</v>
      </c>
      <c r="J16" s="141">
        <v>0.1515527950310559</v>
      </c>
      <c r="K16" s="141">
        <v>5.0458715596330278E-2</v>
      </c>
      <c r="L16" s="141">
        <v>6.3639891346526964E-2</v>
      </c>
      <c r="M16" s="141">
        <v>0.12007062978222484</v>
      </c>
      <c r="N16" s="141">
        <v>3.9525691699604744E-2</v>
      </c>
      <c r="O16" s="141">
        <v>3.949044585987261E-2</v>
      </c>
      <c r="P16" s="141">
        <v>9.9173553719008267E-2</v>
      </c>
      <c r="Q16" s="141">
        <v>9.9038118988243676E-2</v>
      </c>
      <c r="R16" s="141">
        <v>7.7872744539411204E-2</v>
      </c>
      <c r="S16" s="141">
        <v>6.241914618369987E-2</v>
      </c>
      <c r="T16" s="141">
        <v>8.4169884169884177E-2</v>
      </c>
      <c r="U16" s="141">
        <v>4.0532365396249243E-2</v>
      </c>
      <c r="V16" s="141">
        <v>7.18232044198895E-2</v>
      </c>
      <c r="W16" s="141">
        <v>6.5067248273355138E-2</v>
      </c>
      <c r="X16" s="141">
        <v>7.4332909783989834E-2</v>
      </c>
      <c r="Y16" s="141">
        <v>8.3969465648854963E-2</v>
      </c>
      <c r="Z16" s="141">
        <v>6.4516129032258063E-2</v>
      </c>
      <c r="AA16" s="141">
        <v>2.5316455696202531E-2</v>
      </c>
      <c r="AB16" s="141">
        <v>3.5919540229885055E-2</v>
      </c>
      <c r="AC16" s="141">
        <v>6.3492063492063489E-2</v>
      </c>
      <c r="AD16" s="141">
        <v>7.0381231671554259E-2</v>
      </c>
      <c r="AE16" s="141">
        <v>6.5934065934065936E-2</v>
      </c>
      <c r="AF16" s="26">
        <f t="shared" si="1"/>
        <v>5.1434483577431585E-2</v>
      </c>
      <c r="AH16" s="140"/>
      <c r="AI16" s="1" t="s">
        <v>1053</v>
      </c>
      <c r="AJ16" s="141">
        <v>5</v>
      </c>
      <c r="AK16" s="141">
        <v>5</v>
      </c>
      <c r="AL16" s="141">
        <v>5</v>
      </c>
      <c r="AM16" s="141">
        <v>5</v>
      </c>
      <c r="AN16" s="141">
        <v>5</v>
      </c>
      <c r="AO16" s="141">
        <v>5</v>
      </c>
      <c r="AP16" s="141">
        <v>5</v>
      </c>
      <c r="AQ16" s="141">
        <v>5</v>
      </c>
      <c r="AR16" s="141">
        <v>5</v>
      </c>
      <c r="AS16" s="141">
        <v>5</v>
      </c>
      <c r="AT16" s="141">
        <v>5</v>
      </c>
      <c r="AU16" s="141">
        <v>5</v>
      </c>
      <c r="AV16" s="141">
        <v>5</v>
      </c>
      <c r="AW16" s="141">
        <v>5</v>
      </c>
      <c r="AX16" s="141">
        <v>5</v>
      </c>
      <c r="AY16" s="141">
        <v>5</v>
      </c>
      <c r="AZ16" s="141">
        <v>5</v>
      </c>
      <c r="BA16" s="141">
        <v>5</v>
      </c>
      <c r="BB16" s="141">
        <v>5</v>
      </c>
      <c r="BC16" s="141">
        <v>5</v>
      </c>
      <c r="BD16" s="141">
        <v>5</v>
      </c>
      <c r="BE16" s="141">
        <v>5</v>
      </c>
      <c r="BF16" s="141">
        <v>5</v>
      </c>
      <c r="BG16" s="141">
        <v>5</v>
      </c>
      <c r="BH16" s="141">
        <v>5</v>
      </c>
      <c r="BI16" s="141">
        <v>5</v>
      </c>
      <c r="BJ16" s="141">
        <v>5</v>
      </c>
      <c r="BK16" s="141">
        <v>5</v>
      </c>
    </row>
    <row r="17" spans="3:63">
      <c r="C17" s="140"/>
      <c r="D17" s="1" t="s">
        <v>1054</v>
      </c>
      <c r="E17" s="136">
        <f>1-(E15+E16)</f>
        <v>0.33494746304604084</v>
      </c>
      <c r="F17" s="141">
        <f t="shared" ref="F17:AE17" si="2">1-(F15+F16)</f>
        <v>0.23100775193798451</v>
      </c>
      <c r="G17" s="141">
        <f t="shared" si="2"/>
        <v>0.38794044387226778</v>
      </c>
      <c r="H17" s="141">
        <f t="shared" si="2"/>
        <v>0.16546977857570311</v>
      </c>
      <c r="I17" s="141">
        <f t="shared" si="2"/>
        <v>0.15932203389830513</v>
      </c>
      <c r="J17" s="141">
        <f t="shared" si="2"/>
        <v>0.25341614906832299</v>
      </c>
      <c r="K17" s="141">
        <f t="shared" si="2"/>
        <v>6.8807339449541205E-2</v>
      </c>
      <c r="L17" s="141">
        <f t="shared" si="2"/>
        <v>0.12533954210322085</v>
      </c>
      <c r="M17" s="141">
        <f t="shared" si="2"/>
        <v>0.25897586815773987</v>
      </c>
      <c r="N17" s="141">
        <f t="shared" si="2"/>
        <v>0.18181818181818188</v>
      </c>
      <c r="O17" s="141">
        <f t="shared" si="2"/>
        <v>0.49044585987261147</v>
      </c>
      <c r="P17" s="141">
        <f t="shared" si="2"/>
        <v>0.16528925619834711</v>
      </c>
      <c r="Q17" s="141">
        <f t="shared" si="2"/>
        <v>0.18810117563234774</v>
      </c>
      <c r="R17" s="141">
        <f t="shared" si="2"/>
        <v>0.17758784425451091</v>
      </c>
      <c r="S17" s="141">
        <f t="shared" si="2"/>
        <v>0.25420439844760678</v>
      </c>
      <c r="T17" s="141">
        <f t="shared" si="2"/>
        <v>0.27027027027027029</v>
      </c>
      <c r="U17" s="141">
        <f t="shared" si="2"/>
        <v>0.36317806009276066</v>
      </c>
      <c r="V17" s="141">
        <f t="shared" si="2"/>
        <v>0.15745856353591159</v>
      </c>
      <c r="W17" s="141">
        <f t="shared" si="2"/>
        <v>0.28680479825518002</v>
      </c>
      <c r="X17" s="141">
        <f t="shared" si="2"/>
        <v>0.36044049131723843</v>
      </c>
      <c r="Y17" s="141">
        <f t="shared" si="2"/>
        <v>0.17557251908396942</v>
      </c>
      <c r="Z17" s="141">
        <f t="shared" si="2"/>
        <v>0.21720430107526889</v>
      </c>
      <c r="AA17" s="141">
        <f t="shared" si="2"/>
        <v>0.16455696202531644</v>
      </c>
      <c r="AB17" s="141">
        <f t="shared" si="2"/>
        <v>0.29166666666666663</v>
      </c>
      <c r="AC17" s="141">
        <f t="shared" si="2"/>
        <v>0.15873015873015872</v>
      </c>
      <c r="AD17" s="141">
        <f t="shared" si="2"/>
        <v>0.38416422287390029</v>
      </c>
      <c r="AE17" s="141">
        <f t="shared" si="2"/>
        <v>7.4175824175824134E-2</v>
      </c>
      <c r="AF17" s="26">
        <f t="shared" si="1"/>
        <v>0.33494746304604084</v>
      </c>
      <c r="AH17" s="140"/>
      <c r="AI17" s="1" t="s">
        <v>1054</v>
      </c>
      <c r="AJ17" s="136">
        <v>5</v>
      </c>
      <c r="AK17" s="136">
        <v>5</v>
      </c>
      <c r="AL17" s="136">
        <v>5</v>
      </c>
      <c r="AM17" s="136">
        <v>5</v>
      </c>
      <c r="AN17" s="136">
        <v>5</v>
      </c>
      <c r="AO17" s="136">
        <v>5</v>
      </c>
      <c r="AP17" s="136">
        <v>5</v>
      </c>
      <c r="AQ17" s="136">
        <v>5</v>
      </c>
      <c r="AR17" s="136">
        <v>5</v>
      </c>
      <c r="AS17" s="136">
        <v>5</v>
      </c>
      <c r="AT17" s="136">
        <v>5</v>
      </c>
      <c r="AU17" s="136">
        <v>5</v>
      </c>
      <c r="AV17" s="136">
        <v>5</v>
      </c>
      <c r="AW17" s="136">
        <v>5</v>
      </c>
      <c r="AX17" s="136">
        <v>5</v>
      </c>
      <c r="AY17" s="136">
        <v>5</v>
      </c>
      <c r="AZ17" s="136">
        <v>5</v>
      </c>
      <c r="BA17" s="136">
        <v>5</v>
      </c>
      <c r="BB17" s="136">
        <v>5</v>
      </c>
      <c r="BC17" s="136">
        <v>5</v>
      </c>
      <c r="BD17" s="136">
        <v>5</v>
      </c>
      <c r="BE17" s="136">
        <v>5</v>
      </c>
      <c r="BF17" s="136">
        <v>5</v>
      </c>
      <c r="BG17" s="136">
        <v>5</v>
      </c>
      <c r="BH17" s="136">
        <v>5</v>
      </c>
      <c r="BI17" s="136">
        <v>5</v>
      </c>
      <c r="BJ17" s="136">
        <v>5</v>
      </c>
      <c r="BK17" s="136">
        <v>5</v>
      </c>
    </row>
    <row r="18" spans="3:63">
      <c r="C18" s="138" t="s">
        <v>467</v>
      </c>
      <c r="D18" s="138" t="s">
        <v>1052</v>
      </c>
      <c r="E18" s="143">
        <v>0.61361805337652753</v>
      </c>
      <c r="F18" s="139">
        <v>0.72127417519908987</v>
      </c>
      <c r="G18" s="139">
        <v>0.68827452667814115</v>
      </c>
      <c r="H18" s="139">
        <v>0.65054744525547448</v>
      </c>
      <c r="I18" s="139">
        <v>0.69774011299435024</v>
      </c>
      <c r="J18" s="139">
        <v>0.69097399286078531</v>
      </c>
      <c r="K18" s="139">
        <v>0.64042303172737958</v>
      </c>
      <c r="L18" s="139">
        <v>0.70898229144442071</v>
      </c>
      <c r="M18" s="139">
        <v>0.65239628717560139</v>
      </c>
      <c r="N18" s="139">
        <v>0.71935235158057054</v>
      </c>
      <c r="O18" s="139">
        <v>0.64579256360078274</v>
      </c>
      <c r="P18" s="139">
        <v>0.66745442268737343</v>
      </c>
      <c r="Q18" s="139">
        <v>0.64216928535225548</v>
      </c>
      <c r="R18" s="139">
        <v>0.59632294164668265</v>
      </c>
      <c r="S18" s="139">
        <v>0.68252823840422971</v>
      </c>
      <c r="T18" s="139">
        <v>0.63496341932999611</v>
      </c>
      <c r="U18" s="139">
        <v>0.73918039065492147</v>
      </c>
      <c r="V18" s="139">
        <v>0.77610138805069406</v>
      </c>
      <c r="W18" s="139">
        <v>0.69228627123363962</v>
      </c>
      <c r="X18" s="139">
        <v>0.5828374569370498</v>
      </c>
      <c r="Y18" s="139">
        <v>0.60474308300395252</v>
      </c>
      <c r="Z18" s="139">
        <v>0.64798206278026904</v>
      </c>
      <c r="AA18" s="139">
        <v>0.66276803118908378</v>
      </c>
      <c r="AB18" s="139">
        <v>0.61085450346420322</v>
      </c>
      <c r="AC18" s="139">
        <v>0.68844221105527637</v>
      </c>
      <c r="AD18" s="139">
        <v>0.6504592112371691</v>
      </c>
      <c r="AE18" s="139">
        <v>0.75409836065573765</v>
      </c>
      <c r="AF18" s="139">
        <f t="shared" si="1"/>
        <v>0.61361805337652753</v>
      </c>
      <c r="AH18" s="138" t="s">
        <v>467</v>
      </c>
      <c r="AI18" s="138" t="s">
        <v>1052</v>
      </c>
      <c r="AJ18" s="143">
        <v>5</v>
      </c>
      <c r="AK18" s="143">
        <v>5</v>
      </c>
      <c r="AL18" s="143">
        <v>5</v>
      </c>
      <c r="AM18" s="143">
        <v>5</v>
      </c>
      <c r="AN18" s="143">
        <v>5</v>
      </c>
      <c r="AO18" s="143">
        <v>5</v>
      </c>
      <c r="AP18" s="143">
        <v>5</v>
      </c>
      <c r="AQ18" s="143">
        <v>5</v>
      </c>
      <c r="AR18" s="143">
        <v>5</v>
      </c>
      <c r="AS18" s="143">
        <v>5</v>
      </c>
      <c r="AT18" s="143">
        <v>5</v>
      </c>
      <c r="AU18" s="143">
        <v>5</v>
      </c>
      <c r="AV18" s="143">
        <v>5</v>
      </c>
      <c r="AW18" s="143">
        <v>5</v>
      </c>
      <c r="AX18" s="143">
        <v>5</v>
      </c>
      <c r="AY18" s="143">
        <v>5</v>
      </c>
      <c r="AZ18" s="143">
        <v>5</v>
      </c>
      <c r="BA18" s="143">
        <v>5</v>
      </c>
      <c r="BB18" s="143">
        <v>5</v>
      </c>
      <c r="BC18" s="143">
        <v>5</v>
      </c>
      <c r="BD18" s="143">
        <v>5</v>
      </c>
      <c r="BE18" s="143">
        <v>5</v>
      </c>
      <c r="BF18" s="143">
        <v>5</v>
      </c>
      <c r="BG18" s="143">
        <v>5</v>
      </c>
      <c r="BH18" s="143">
        <v>5</v>
      </c>
      <c r="BI18" s="143">
        <v>5</v>
      </c>
      <c r="BJ18" s="143">
        <v>5</v>
      </c>
      <c r="BK18" s="143">
        <v>5</v>
      </c>
    </row>
    <row r="19" spans="3:63">
      <c r="C19" s="140"/>
      <c r="D19" s="1" t="s">
        <v>1053</v>
      </c>
      <c r="E19" s="141">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40"/>
      <c r="AI19" s="1" t="s">
        <v>1053</v>
      </c>
      <c r="AJ19" s="141">
        <v>5</v>
      </c>
      <c r="AK19" s="141">
        <v>5</v>
      </c>
      <c r="AL19" s="141">
        <v>5</v>
      </c>
      <c r="AM19" s="141">
        <v>5</v>
      </c>
      <c r="AN19" s="141">
        <v>5</v>
      </c>
      <c r="AO19" s="141">
        <v>5</v>
      </c>
      <c r="AP19" s="141">
        <v>5</v>
      </c>
      <c r="AQ19" s="141">
        <v>5</v>
      </c>
      <c r="AR19" s="141">
        <v>5</v>
      </c>
      <c r="AS19" s="141">
        <v>5</v>
      </c>
      <c r="AT19" s="141">
        <v>5</v>
      </c>
      <c r="AU19" s="141">
        <v>5</v>
      </c>
      <c r="AV19" s="141">
        <v>5</v>
      </c>
      <c r="AW19" s="141">
        <v>5</v>
      </c>
      <c r="AX19" s="141">
        <v>5</v>
      </c>
      <c r="AY19" s="141">
        <v>5</v>
      </c>
      <c r="AZ19" s="141">
        <v>5</v>
      </c>
      <c r="BA19" s="141">
        <v>5</v>
      </c>
      <c r="BB19" s="141">
        <v>5</v>
      </c>
      <c r="BC19" s="141">
        <v>5</v>
      </c>
      <c r="BD19" s="141">
        <v>5</v>
      </c>
      <c r="BE19" s="141">
        <v>5</v>
      </c>
      <c r="BF19" s="141">
        <v>5</v>
      </c>
      <c r="BG19" s="141">
        <v>5</v>
      </c>
      <c r="BH19" s="141">
        <v>5</v>
      </c>
      <c r="BI19" s="141">
        <v>5</v>
      </c>
      <c r="BJ19" s="141">
        <v>5</v>
      </c>
      <c r="BK19" s="141">
        <v>5</v>
      </c>
    </row>
    <row r="20" spans="3:63">
      <c r="C20" s="144"/>
      <c r="D20" s="135" t="s">
        <v>1054</v>
      </c>
      <c r="E20" s="136">
        <f>1-(E18+E19)</f>
        <v>0.33494746304604084</v>
      </c>
      <c r="F20" s="137">
        <f t="shared" ref="F20:AE20" si="3">1-(F18+F19)</f>
        <v>0.13822525597269619</v>
      </c>
      <c r="G20" s="137">
        <f t="shared" si="3"/>
        <v>0.18431583476764202</v>
      </c>
      <c r="H20" s="137">
        <f t="shared" si="3"/>
        <v>0.13670924574209242</v>
      </c>
      <c r="I20" s="137">
        <f t="shared" si="3"/>
        <v>0.12994350282485878</v>
      </c>
      <c r="J20" s="137">
        <f t="shared" si="3"/>
        <v>5.2524222335543103E-2</v>
      </c>
      <c r="K20" s="137">
        <f t="shared" si="3"/>
        <v>0.18801410105757932</v>
      </c>
      <c r="L20" s="137">
        <f t="shared" si="3"/>
        <v>0.12972050352037556</v>
      </c>
      <c r="M20" s="137">
        <f t="shared" si="3"/>
        <v>0.12123508240197012</v>
      </c>
      <c r="N20" s="137">
        <f t="shared" si="3"/>
        <v>0.10177332305319964</v>
      </c>
      <c r="O20" s="137">
        <f t="shared" si="3"/>
        <v>0.20352250489236789</v>
      </c>
      <c r="P20" s="137">
        <f t="shared" si="3"/>
        <v>0.14044564483457123</v>
      </c>
      <c r="Q20" s="137">
        <f t="shared" si="3"/>
        <v>9.1991890522047592E-2</v>
      </c>
      <c r="R20" s="137">
        <f t="shared" si="3"/>
        <v>0.17905675459632298</v>
      </c>
      <c r="S20" s="137">
        <f t="shared" si="3"/>
        <v>0.12412881518865659</v>
      </c>
      <c r="T20" s="137">
        <f t="shared" si="3"/>
        <v>0.17635733538698495</v>
      </c>
      <c r="U20" s="137">
        <f t="shared" si="3"/>
        <v>0.113941018766756</v>
      </c>
      <c r="V20" s="137">
        <f t="shared" si="3"/>
        <v>7.9963789981895017E-2</v>
      </c>
      <c r="W20" s="137">
        <f t="shared" si="3"/>
        <v>0.11417432470064059</v>
      </c>
      <c r="X20" s="137">
        <f t="shared" si="3"/>
        <v>0.19934231130598179</v>
      </c>
      <c r="Y20" s="137">
        <f t="shared" si="3"/>
        <v>9.4861660079051502E-2</v>
      </c>
      <c r="Z20" s="137">
        <f t="shared" si="3"/>
        <v>0.16771300448430493</v>
      </c>
      <c r="AA20" s="137">
        <f t="shared" si="3"/>
        <v>0.21832358674463936</v>
      </c>
      <c r="AB20" s="137">
        <f t="shared" si="3"/>
        <v>0.23672055427251737</v>
      </c>
      <c r="AC20" s="137">
        <f t="shared" si="3"/>
        <v>0.18391959798994972</v>
      </c>
      <c r="AD20" s="137">
        <f t="shared" si="3"/>
        <v>0.14370610480821178</v>
      </c>
      <c r="AE20" s="137">
        <f t="shared" si="3"/>
        <v>0.17564402810304458</v>
      </c>
      <c r="AF20" s="137">
        <f t="shared" si="1"/>
        <v>0.33494746304604084</v>
      </c>
      <c r="AH20" s="144"/>
      <c r="AI20" s="135" t="s">
        <v>1054</v>
      </c>
      <c r="AJ20" s="136">
        <v>5</v>
      </c>
      <c r="AK20" s="136">
        <v>5</v>
      </c>
      <c r="AL20" s="136">
        <v>5</v>
      </c>
      <c r="AM20" s="136">
        <v>5</v>
      </c>
      <c r="AN20" s="136">
        <v>5</v>
      </c>
      <c r="AO20" s="136">
        <v>5</v>
      </c>
      <c r="AP20" s="136">
        <v>5</v>
      </c>
      <c r="AQ20" s="136">
        <v>5</v>
      </c>
      <c r="AR20" s="136">
        <v>5</v>
      </c>
      <c r="AS20" s="136">
        <v>5</v>
      </c>
      <c r="AT20" s="136">
        <v>5</v>
      </c>
      <c r="AU20" s="136">
        <v>5</v>
      </c>
      <c r="AV20" s="136">
        <v>5</v>
      </c>
      <c r="AW20" s="136">
        <v>5</v>
      </c>
      <c r="AX20" s="136">
        <v>5</v>
      </c>
      <c r="AY20" s="136">
        <v>5</v>
      </c>
      <c r="AZ20" s="136">
        <v>5</v>
      </c>
      <c r="BA20" s="136">
        <v>5</v>
      </c>
      <c r="BB20" s="136">
        <v>5</v>
      </c>
      <c r="BC20" s="136">
        <v>5</v>
      </c>
      <c r="BD20" s="136">
        <v>5</v>
      </c>
      <c r="BE20" s="136">
        <v>5</v>
      </c>
      <c r="BF20" s="136">
        <v>5</v>
      </c>
      <c r="BG20" s="136">
        <v>5</v>
      </c>
      <c r="BH20" s="136">
        <v>5</v>
      </c>
      <c r="BI20" s="136">
        <v>5</v>
      </c>
      <c r="BJ20" s="136">
        <v>5</v>
      </c>
      <c r="BK20" s="136">
        <v>5</v>
      </c>
    </row>
    <row r="21" spans="3:63">
      <c r="C21" s="140" t="s">
        <v>468</v>
      </c>
      <c r="D21" s="140" t="s">
        <v>1052</v>
      </c>
      <c r="E21" s="143">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40" t="s">
        <v>468</v>
      </c>
      <c r="AI21" s="140" t="s">
        <v>1052</v>
      </c>
      <c r="AJ21" s="143">
        <v>5</v>
      </c>
      <c r="AK21" s="143">
        <v>5</v>
      </c>
      <c r="AL21" s="143">
        <v>5</v>
      </c>
      <c r="AM21" s="143">
        <v>5</v>
      </c>
      <c r="AN21" s="143">
        <v>5</v>
      </c>
      <c r="AO21" s="143">
        <v>5</v>
      </c>
      <c r="AP21" s="143">
        <v>5</v>
      </c>
      <c r="AQ21" s="143">
        <v>5</v>
      </c>
      <c r="AR21" s="143">
        <v>5</v>
      </c>
      <c r="AS21" s="143">
        <v>5</v>
      </c>
      <c r="AT21" s="143">
        <v>5</v>
      </c>
      <c r="AU21" s="143">
        <v>5</v>
      </c>
      <c r="AV21" s="143">
        <v>5</v>
      </c>
      <c r="AW21" s="143">
        <v>5</v>
      </c>
      <c r="AX21" s="143">
        <v>5</v>
      </c>
      <c r="AY21" s="143">
        <v>5</v>
      </c>
      <c r="AZ21" s="143">
        <v>5</v>
      </c>
      <c r="BA21" s="143">
        <v>5</v>
      </c>
      <c r="BB21" s="143">
        <v>5</v>
      </c>
      <c r="BC21" s="143">
        <v>5</v>
      </c>
      <c r="BD21" s="143">
        <v>5</v>
      </c>
      <c r="BE21" s="143">
        <v>5</v>
      </c>
      <c r="BF21" s="143">
        <v>5</v>
      </c>
      <c r="BG21" s="143">
        <v>5</v>
      </c>
      <c r="BH21" s="143">
        <v>5</v>
      </c>
      <c r="BI21" s="143">
        <v>5</v>
      </c>
      <c r="BJ21" s="143">
        <v>5</v>
      </c>
      <c r="BK21" s="143">
        <v>5</v>
      </c>
    </row>
    <row r="22" spans="3:63">
      <c r="C22" s="140"/>
      <c r="D22" s="1" t="s">
        <v>1053</v>
      </c>
      <c r="E22" s="141">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40"/>
      <c r="AI22" s="1" t="s">
        <v>1053</v>
      </c>
      <c r="AJ22" s="141">
        <v>5</v>
      </c>
      <c r="AK22" s="141">
        <v>5</v>
      </c>
      <c r="AL22" s="141">
        <v>5</v>
      </c>
      <c r="AM22" s="141">
        <v>5</v>
      </c>
      <c r="AN22" s="141">
        <v>5</v>
      </c>
      <c r="AO22" s="141">
        <v>5</v>
      </c>
      <c r="AP22" s="141">
        <v>5</v>
      </c>
      <c r="AQ22" s="141">
        <v>5</v>
      </c>
      <c r="AR22" s="141">
        <v>5</v>
      </c>
      <c r="AS22" s="141">
        <v>5</v>
      </c>
      <c r="AT22" s="141">
        <v>5</v>
      </c>
      <c r="AU22" s="141">
        <v>5</v>
      </c>
      <c r="AV22" s="141">
        <v>5</v>
      </c>
      <c r="AW22" s="141">
        <v>5</v>
      </c>
      <c r="AX22" s="141">
        <v>5</v>
      </c>
      <c r="AY22" s="141">
        <v>5</v>
      </c>
      <c r="AZ22" s="141">
        <v>5</v>
      </c>
      <c r="BA22" s="141">
        <v>5</v>
      </c>
      <c r="BB22" s="141">
        <v>5</v>
      </c>
      <c r="BC22" s="141">
        <v>5</v>
      </c>
      <c r="BD22" s="141">
        <v>5</v>
      </c>
      <c r="BE22" s="141">
        <v>5</v>
      </c>
      <c r="BF22" s="141">
        <v>5</v>
      </c>
      <c r="BG22" s="141">
        <v>5</v>
      </c>
      <c r="BH22" s="141">
        <v>5</v>
      </c>
      <c r="BI22" s="141">
        <v>5</v>
      </c>
      <c r="BJ22" s="141">
        <v>5</v>
      </c>
      <c r="BK22" s="141">
        <v>5</v>
      </c>
    </row>
    <row r="23" spans="3:63">
      <c r="D23" s="1" t="s">
        <v>1054</v>
      </c>
      <c r="E23" s="136">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1054</v>
      </c>
      <c r="AJ23" s="136">
        <v>5</v>
      </c>
      <c r="AK23" s="136">
        <v>5</v>
      </c>
      <c r="AL23" s="136">
        <v>5</v>
      </c>
      <c r="AM23" s="136">
        <v>5</v>
      </c>
      <c r="AN23" s="136">
        <v>5</v>
      </c>
      <c r="AO23" s="136">
        <v>5</v>
      </c>
      <c r="AP23" s="136">
        <v>5</v>
      </c>
      <c r="AQ23" s="136">
        <v>5</v>
      </c>
      <c r="AR23" s="136">
        <v>5</v>
      </c>
      <c r="AS23" s="136">
        <v>5</v>
      </c>
      <c r="AT23" s="136">
        <v>5</v>
      </c>
      <c r="AU23" s="136">
        <v>5</v>
      </c>
      <c r="AV23" s="136">
        <v>5</v>
      </c>
      <c r="AW23" s="136">
        <v>5</v>
      </c>
      <c r="AX23" s="136">
        <v>5</v>
      </c>
      <c r="AY23" s="136">
        <v>5</v>
      </c>
      <c r="AZ23" s="136">
        <v>5</v>
      </c>
      <c r="BA23" s="136">
        <v>5</v>
      </c>
      <c r="BB23" s="136">
        <v>5</v>
      </c>
      <c r="BC23" s="136">
        <v>5</v>
      </c>
      <c r="BD23" s="136">
        <v>5</v>
      </c>
      <c r="BE23" s="136">
        <v>5</v>
      </c>
      <c r="BF23" s="136">
        <v>5</v>
      </c>
      <c r="BG23" s="136">
        <v>5</v>
      </c>
      <c r="BH23" s="136">
        <v>5</v>
      </c>
      <c r="BI23" s="136">
        <v>5</v>
      </c>
      <c r="BJ23" s="136">
        <v>5</v>
      </c>
      <c r="BK23" s="136">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1059</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5" t="s">
        <v>558</v>
      </c>
      <c r="E26" s="145" t="s">
        <v>460</v>
      </c>
      <c r="F26" s="146" t="s">
        <v>433</v>
      </c>
      <c r="G26" s="146" t="s">
        <v>434</v>
      </c>
      <c r="H26" s="146" t="s">
        <v>435</v>
      </c>
      <c r="I26" s="146" t="s">
        <v>436</v>
      </c>
      <c r="J26" s="146" t="s">
        <v>437</v>
      </c>
      <c r="K26" s="146" t="s">
        <v>438</v>
      </c>
      <c r="L26" s="146" t="s">
        <v>439</v>
      </c>
      <c r="M26" s="146" t="s">
        <v>440</v>
      </c>
      <c r="N26" s="146" t="s">
        <v>441</v>
      </c>
      <c r="O26" s="146" t="s">
        <v>442</v>
      </c>
      <c r="P26" s="146" t="s">
        <v>443</v>
      </c>
      <c r="Q26" s="146" t="s">
        <v>444</v>
      </c>
      <c r="R26" s="146" t="s">
        <v>445</v>
      </c>
      <c r="S26" s="146" t="s">
        <v>446</v>
      </c>
      <c r="T26" s="146" t="s">
        <v>447</v>
      </c>
      <c r="U26" s="146" t="s">
        <v>448</v>
      </c>
      <c r="V26" s="146" t="s">
        <v>449</v>
      </c>
      <c r="W26" s="146" t="s">
        <v>450</v>
      </c>
      <c r="X26" s="146" t="s">
        <v>451</v>
      </c>
      <c r="Y26" s="146" t="s">
        <v>452</v>
      </c>
      <c r="Z26" s="146" t="s">
        <v>453</v>
      </c>
      <c r="AA26" s="146" t="s">
        <v>454</v>
      </c>
      <c r="AB26" s="146" t="s">
        <v>455</v>
      </c>
      <c r="AC26" s="146" t="s">
        <v>456</v>
      </c>
      <c r="AD26" s="146" t="s">
        <v>457</v>
      </c>
      <c r="AE26" s="146" t="s">
        <v>458</v>
      </c>
      <c r="AF26" s="26"/>
      <c r="AG26" s="26"/>
      <c r="AH26" s="104"/>
    </row>
    <row r="27" spans="3:63">
      <c r="C27" t="s">
        <v>1056</v>
      </c>
      <c r="D27">
        <v>2018</v>
      </c>
      <c r="E27" s="147">
        <f>SUM(F27:AE27)</f>
        <v>776.10435365928083</v>
      </c>
      <c r="F27" s="147">
        <v>9.0173696255538793</v>
      </c>
      <c r="G27" s="147">
        <v>299.73987494657928</v>
      </c>
      <c r="H27" s="147">
        <v>38.144204386107944</v>
      </c>
      <c r="I27" s="147">
        <v>12.508441600918088</v>
      </c>
      <c r="J27" s="147">
        <v>11.510583914522281</v>
      </c>
      <c r="K27" s="147">
        <v>4.7462770797513549</v>
      </c>
      <c r="L27" s="147">
        <v>24.289540001760251</v>
      </c>
      <c r="M27" s="147">
        <v>27.103374443441172</v>
      </c>
      <c r="N27" s="147">
        <v>10.239258420802399</v>
      </c>
      <c r="O27" s="147">
        <v>12.264197780781444</v>
      </c>
      <c r="P27" s="147">
        <v>18.38550107756636</v>
      </c>
      <c r="Q27" s="147">
        <v>23.167339151815657</v>
      </c>
      <c r="R27" s="147">
        <v>15.118989670799881</v>
      </c>
      <c r="S27" s="147">
        <v>91.446903647123108</v>
      </c>
      <c r="T27" s="147">
        <v>15.686699374231551</v>
      </c>
      <c r="U27" s="147">
        <v>31.695949118274743</v>
      </c>
      <c r="V27" s="147">
        <v>21.954232438086233</v>
      </c>
      <c r="W27" s="147">
        <v>21.769226916806353</v>
      </c>
      <c r="X27" s="147">
        <v>27.589465054026704</v>
      </c>
      <c r="Y27" s="147">
        <v>2.7377793125602312</v>
      </c>
      <c r="Z27" s="147">
        <v>12.519701036831018</v>
      </c>
      <c r="AA27" s="147">
        <v>5.3722948402948401</v>
      </c>
      <c r="AB27" s="147">
        <v>8.8895641738149855</v>
      </c>
      <c r="AC27" s="147">
        <v>7.7068792520168046</v>
      </c>
      <c r="AD27" s="147">
        <v>15.881582138278784</v>
      </c>
      <c r="AE27" s="147">
        <v>6.6191242565355708</v>
      </c>
      <c r="AF27" s="26"/>
      <c r="AG27" s="26"/>
      <c r="AH27" s="104"/>
    </row>
    <row r="28" spans="3:63">
      <c r="C28" t="s">
        <v>1057</v>
      </c>
      <c r="D28">
        <v>2018</v>
      </c>
      <c r="E28" s="147">
        <f>SUM(F28:AE28)</f>
        <v>729.49943220136686</v>
      </c>
      <c r="F28" s="147">
        <v>10.817005161415981</v>
      </c>
      <c r="G28" s="147">
        <v>56.159174425610253</v>
      </c>
      <c r="H28" s="147">
        <v>30.304517514538837</v>
      </c>
      <c r="I28" s="147">
        <v>20.891382011189211</v>
      </c>
      <c r="J28" s="147">
        <v>16.295614216511488</v>
      </c>
      <c r="K28" s="147">
        <v>9.7189087422298659</v>
      </c>
      <c r="L28" s="147">
        <v>18.866743201020949</v>
      </c>
      <c r="M28" s="147">
        <v>34.324098203443661</v>
      </c>
      <c r="N28" s="147">
        <v>15.966202026112715</v>
      </c>
      <c r="O28" s="147">
        <v>16.822932669034671</v>
      </c>
      <c r="P28" s="147">
        <v>33.878287885206944</v>
      </c>
      <c r="Q28" s="147">
        <v>22.529580764463226</v>
      </c>
      <c r="R28" s="147">
        <v>26.221499459384844</v>
      </c>
      <c r="S28" s="147">
        <v>88.706618668082697</v>
      </c>
      <c r="T28" s="147">
        <v>36.376580790193238</v>
      </c>
      <c r="U28" s="147">
        <v>32.750827361563516</v>
      </c>
      <c r="V28" s="147">
        <v>34.965040184897767</v>
      </c>
      <c r="W28" s="147">
        <v>19.142703253806058</v>
      </c>
      <c r="X28" s="147">
        <v>55.372585087977008</v>
      </c>
      <c r="Y28" s="147">
        <v>9.101160857693543</v>
      </c>
      <c r="Z28" s="147">
        <v>34.699308942923167</v>
      </c>
      <c r="AA28" s="147">
        <v>18.080993461874819</v>
      </c>
      <c r="AB28" s="147">
        <v>14.4942150134912</v>
      </c>
      <c r="AC28" s="147">
        <v>18.119875348525962</v>
      </c>
      <c r="AD28" s="147">
        <v>40.738467908725752</v>
      </c>
      <c r="AE28" s="147">
        <v>14.155109041449583</v>
      </c>
      <c r="AF28" s="26"/>
      <c r="AG28" s="26"/>
      <c r="AH28" s="104"/>
    </row>
    <row r="29" spans="3:63" ht="13.5" thickBot="1">
      <c r="C29" s="148" t="s">
        <v>1055</v>
      </c>
      <c r="D29" s="148">
        <v>2018</v>
      </c>
      <c r="E29" s="149">
        <f>SUM(F29:AE29)</f>
        <v>211.73948952455299</v>
      </c>
      <c r="F29" s="149">
        <v>1.272084432974631</v>
      </c>
      <c r="G29" s="149">
        <v>123.31467820831671</v>
      </c>
      <c r="H29" s="149">
        <v>7.3637968231969131</v>
      </c>
      <c r="I29" s="149">
        <v>1.7513817529766174</v>
      </c>
      <c r="J29" s="149">
        <v>1.4349997251520255</v>
      </c>
      <c r="K29" s="149">
        <v>0.69143208570294923</v>
      </c>
      <c r="L29" s="149">
        <v>3.0388153054039786</v>
      </c>
      <c r="M29" s="149">
        <v>5.4114225176697692</v>
      </c>
      <c r="N29" s="149">
        <v>1.1752936766265591</v>
      </c>
      <c r="O29" s="149">
        <v>2.8889605821519497</v>
      </c>
      <c r="P29" s="149">
        <v>2.6689797196485481</v>
      </c>
      <c r="Q29" s="149">
        <v>4.5131911767694204</v>
      </c>
      <c r="R29" s="149">
        <v>2.4912235846235253</v>
      </c>
      <c r="S29" s="149">
        <v>18.164569738528382</v>
      </c>
      <c r="T29" s="149">
        <v>2.9060721193547803</v>
      </c>
      <c r="U29" s="149">
        <v>7.461125800292038</v>
      </c>
      <c r="V29" s="149">
        <v>2.3822341251096568</v>
      </c>
      <c r="W29" s="149">
        <v>3.1991719442467104</v>
      </c>
      <c r="X29" s="149">
        <v>9.8815892011882625</v>
      </c>
      <c r="Y29" s="149">
        <v>0.54302409251525863</v>
      </c>
      <c r="Z29" s="149">
        <v>2.1413166117916522</v>
      </c>
      <c r="AA29" s="149">
        <v>0.67645175529921286</v>
      </c>
      <c r="AB29" s="149">
        <v>1.6760939551367242</v>
      </c>
      <c r="AC29" s="149">
        <v>1.271052567009926</v>
      </c>
      <c r="AD29" s="149">
        <v>2.3929923596273825</v>
      </c>
      <c r="AE29" s="149">
        <v>1.0275356632394301</v>
      </c>
      <c r="AF29" s="26"/>
      <c r="AG29" s="26"/>
      <c r="AH29" s="104"/>
    </row>
    <row r="30" spans="3:63">
      <c r="C30" t="s">
        <v>1056</v>
      </c>
      <c r="D30">
        <v>2070</v>
      </c>
      <c r="E30" s="147">
        <f>SUM(F30:AE30)</f>
        <v>1122.2809999999995</v>
      </c>
      <c r="F30" s="147">
        <v>14.882390276614156</v>
      </c>
      <c r="G30" s="147">
        <v>402.03345897252723</v>
      </c>
      <c r="H30" s="147">
        <v>67.808307000787423</v>
      </c>
      <c r="I30" s="147">
        <v>16.688301912557151</v>
      </c>
      <c r="J30" s="147">
        <v>17.247972890032759</v>
      </c>
      <c r="K30" s="147">
        <v>6.5298623171374564</v>
      </c>
      <c r="L30" s="147">
        <v>41.304301265798131</v>
      </c>
      <c r="M30" s="147">
        <v>45.537828356084404</v>
      </c>
      <c r="N30" s="147">
        <v>15.260943493810583</v>
      </c>
      <c r="O30" s="147">
        <v>16.337131829849692</v>
      </c>
      <c r="P30" s="147">
        <v>27.286005597994635</v>
      </c>
      <c r="Q30" s="147">
        <v>39.758297723116783</v>
      </c>
      <c r="R30" s="147">
        <v>22.938711105384279</v>
      </c>
      <c r="S30" s="147">
        <v>140.7040546457078</v>
      </c>
      <c r="T30" s="147">
        <v>22.146872015116621</v>
      </c>
      <c r="U30" s="147">
        <v>48.12978965082133</v>
      </c>
      <c r="V30" s="147">
        <v>28.16364936463507</v>
      </c>
      <c r="W30" s="147">
        <v>35.414319739634877</v>
      </c>
      <c r="X30" s="147">
        <v>36.950268861429137</v>
      </c>
      <c r="Y30" s="147">
        <v>3.5191547953984372</v>
      </c>
      <c r="Z30" s="147">
        <v>16.250978595128831</v>
      </c>
      <c r="AA30" s="147">
        <v>7.1456767325727188</v>
      </c>
      <c r="AB30" s="147">
        <v>11.578938384341431</v>
      </c>
      <c r="AC30" s="147">
        <v>9.9042613539071613</v>
      </c>
      <c r="AD30" s="147">
        <v>20.062930127534479</v>
      </c>
      <c r="AE30" s="147">
        <v>8.6965929920770897</v>
      </c>
      <c r="AF30" s="26"/>
      <c r="AG30" s="26"/>
      <c r="AH30" s="104"/>
    </row>
    <row r="31" spans="3:63">
      <c r="C31" t="s">
        <v>1057</v>
      </c>
      <c r="D31">
        <v>2070</v>
      </c>
      <c r="E31" s="147">
        <f>SUM(F31:AE31)</f>
        <v>866.16700000000014</v>
      </c>
      <c r="F31" s="147">
        <v>12.032722707781787</v>
      </c>
      <c r="G31" s="147">
        <v>48.70984961136773</v>
      </c>
      <c r="H31" s="147">
        <v>28.208379225008049</v>
      </c>
      <c r="I31" s="147">
        <v>27.539447326250585</v>
      </c>
      <c r="J31" s="147">
        <v>19.878085465856991</v>
      </c>
      <c r="K31" s="147">
        <v>12.759960973487379</v>
      </c>
      <c r="L31" s="147">
        <v>19.278864213619574</v>
      </c>
      <c r="M31" s="147">
        <v>35.515817008928728</v>
      </c>
      <c r="N31" s="147">
        <v>19.630052920557077</v>
      </c>
      <c r="O31" s="147">
        <v>22.341218020421906</v>
      </c>
      <c r="P31" s="147">
        <v>40.447310138522639</v>
      </c>
      <c r="Q31" s="147">
        <v>22.193179890079204</v>
      </c>
      <c r="R31" s="147">
        <v>31.907482535254491</v>
      </c>
      <c r="S31" s="147">
        <v>99.011987809730172</v>
      </c>
      <c r="T31" s="147">
        <v>46.255485480337946</v>
      </c>
      <c r="U31" s="147">
        <v>36.302392365935084</v>
      </c>
      <c r="V31" s="147">
        <v>47.813270495988277</v>
      </c>
      <c r="W31" s="147">
        <v>20.745363974030557</v>
      </c>
      <c r="X31" s="147">
        <v>71.267957221538254</v>
      </c>
      <c r="Y31" s="147">
        <v>12.512717561511474</v>
      </c>
      <c r="Z31" s="147">
        <v>47.500293410026877</v>
      </c>
      <c r="AA31" s="147">
        <v>24.394216806354176</v>
      </c>
      <c r="AB31" s="147">
        <v>18.468441736903159</v>
      </c>
      <c r="AC31" s="147">
        <v>25.283050650678849</v>
      </c>
      <c r="AD31" s="147">
        <v>56.911089228968514</v>
      </c>
      <c r="AE31" s="147">
        <v>19.258363220860605</v>
      </c>
      <c r="AF31" s="1"/>
      <c r="AG31" s="26"/>
      <c r="AH31" s="104"/>
    </row>
    <row r="32" spans="3:63">
      <c r="C32" t="s">
        <v>1055</v>
      </c>
      <c r="D32">
        <v>2070</v>
      </c>
      <c r="E32" s="147">
        <f t="shared" ref="E32" si="5">SUM(F32:AE32)</f>
        <v>922.35100000000023</v>
      </c>
      <c r="F32" s="147">
        <v>4.0186603783691712</v>
      </c>
      <c r="G32" s="147">
        <v>620.50199196256176</v>
      </c>
      <c r="H32" s="147">
        <v>25.305564931399218</v>
      </c>
      <c r="I32" s="147">
        <v>5.9205053345502074</v>
      </c>
      <c r="J32" s="147">
        <v>4.6404604939743432</v>
      </c>
      <c r="K32" s="147">
        <v>2.2613525897871352</v>
      </c>
      <c r="L32" s="147">
        <v>10.147070952912888</v>
      </c>
      <c r="M32" s="147">
        <v>18.153961512536338</v>
      </c>
      <c r="N32" s="147">
        <v>3.787940991335248</v>
      </c>
      <c r="O32" s="147">
        <v>9.6795391912830766</v>
      </c>
      <c r="P32" s="147">
        <v>9.0071231620397025</v>
      </c>
      <c r="Q32" s="147">
        <v>15.466397179696949</v>
      </c>
      <c r="R32" s="147">
        <v>7.9380983637827383</v>
      </c>
      <c r="S32" s="147">
        <v>63.45475264271635</v>
      </c>
      <c r="T32" s="147">
        <v>9.6238807976640821</v>
      </c>
      <c r="U32" s="147">
        <v>26.746885565340715</v>
      </c>
      <c r="V32" s="147">
        <v>7.9986840790696601</v>
      </c>
      <c r="W32" s="147">
        <v>10.682288217549727</v>
      </c>
      <c r="X32" s="147">
        <v>34.389509104069425</v>
      </c>
      <c r="Y32" s="147">
        <v>1.8040368759878767</v>
      </c>
      <c r="Z32" s="147">
        <v>7.0768268186437169</v>
      </c>
      <c r="AA32" s="147">
        <v>2.2176042656918158</v>
      </c>
      <c r="AB32" s="147">
        <v>6.1050926771343956</v>
      </c>
      <c r="AC32" s="147">
        <v>4.127236189159631</v>
      </c>
      <c r="AD32" s="147">
        <v>7.9183146925481021</v>
      </c>
      <c r="AE32" s="147">
        <v>3.3772210301960124</v>
      </c>
      <c r="AF32" s="26"/>
      <c r="AG32" s="26"/>
      <c r="AH32" s="104"/>
    </row>
    <row r="34" spans="1:32">
      <c r="A34" s="1" t="s">
        <v>1058</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17" t="s">
        <v>1060</v>
      </c>
      <c r="E35" s="317"/>
    </row>
    <row r="36" spans="1:32" ht="15">
      <c r="C36" s="142" t="s">
        <v>0</v>
      </c>
      <c r="D36" s="142" t="s">
        <v>476</v>
      </c>
      <c r="E36" s="142" t="s">
        <v>460</v>
      </c>
      <c r="F36" s="142" t="s">
        <v>433</v>
      </c>
      <c r="G36" s="142" t="s">
        <v>434</v>
      </c>
      <c r="H36" s="142" t="s">
        <v>435</v>
      </c>
      <c r="I36" s="142" t="s">
        <v>436</v>
      </c>
      <c r="J36" s="142" t="s">
        <v>437</v>
      </c>
      <c r="K36" s="142" t="s">
        <v>438</v>
      </c>
      <c r="L36" s="142" t="s">
        <v>439</v>
      </c>
      <c r="M36" s="142" t="s">
        <v>440</v>
      </c>
      <c r="N36" s="142" t="s">
        <v>441</v>
      </c>
      <c r="O36" s="142" t="s">
        <v>442</v>
      </c>
      <c r="P36" s="142" t="s">
        <v>443</v>
      </c>
      <c r="Q36" s="142" t="s">
        <v>444</v>
      </c>
      <c r="R36" s="142" t="s">
        <v>445</v>
      </c>
      <c r="S36" s="142" t="s">
        <v>446</v>
      </c>
      <c r="T36" s="142" t="s">
        <v>447</v>
      </c>
      <c r="U36" s="142" t="s">
        <v>448</v>
      </c>
      <c r="V36" s="142" t="s">
        <v>449</v>
      </c>
      <c r="W36" s="142" t="s">
        <v>450</v>
      </c>
      <c r="X36" s="142" t="s">
        <v>451</v>
      </c>
      <c r="Y36" s="142" t="s">
        <v>452</v>
      </c>
      <c r="Z36" s="142" t="s">
        <v>453</v>
      </c>
      <c r="AA36" s="142" t="s">
        <v>454</v>
      </c>
      <c r="AB36" s="142" t="s">
        <v>455</v>
      </c>
      <c r="AC36" s="142" t="s">
        <v>456</v>
      </c>
      <c r="AD36" s="142" t="s">
        <v>457</v>
      </c>
      <c r="AE36" s="142" t="s">
        <v>458</v>
      </c>
      <c r="AF36" s="142" t="s">
        <v>463</v>
      </c>
    </row>
    <row r="37" spans="1:32">
      <c r="A37" s="22"/>
      <c r="C37" s="138" t="s">
        <v>465</v>
      </c>
      <c r="D37" s="138" t="s">
        <v>1052</v>
      </c>
      <c r="E37" s="143">
        <f>E12*(E30/SUM(E30:E32))/(E27/SUM(E27:E29))</f>
        <v>0.52350943859921484</v>
      </c>
      <c r="F37" s="143">
        <f t="shared" ref="F37:AE37" si="6">F12*(F30/SUM(F30:F32))/(F27/SUM(F27:F29))</f>
        <v>0.78215639480961552</v>
      </c>
      <c r="G37" s="143">
        <f t="shared" si="6"/>
        <v>0.34447933776862838</v>
      </c>
      <c r="H37" s="143">
        <f t="shared" si="6"/>
        <v>0.81502105091717858</v>
      </c>
      <c r="I37" s="143">
        <f>I12*(I30/SUM(I30:I32))/(I27/SUM(I27:I29))</f>
        <v>0.71115642232991916</v>
      </c>
      <c r="J37" s="143">
        <f t="shared" si="6"/>
        <v>0.62423371136672146</v>
      </c>
      <c r="K37" s="143">
        <f t="shared" si="6"/>
        <v>0.85217149386773261</v>
      </c>
      <c r="L37" s="143">
        <f t="shared" si="6"/>
        <v>0.90073833156140692</v>
      </c>
      <c r="M37" s="143">
        <f t="shared" si="6"/>
        <v>0.70289802072845897</v>
      </c>
      <c r="N37" s="143">
        <f t="shared" si="6"/>
        <v>0.82154140445217971</v>
      </c>
      <c r="O37" s="143">
        <f t="shared" si="6"/>
        <v>0.41404868962154889</v>
      </c>
      <c r="P37" s="143">
        <f t="shared" si="6"/>
        <v>0.78140527645244195</v>
      </c>
      <c r="Q37" s="143">
        <f t="shared" si="6"/>
        <v>0.79342565323926528</v>
      </c>
      <c r="R37" s="143">
        <f t="shared" si="6"/>
        <v>0.78862651137780204</v>
      </c>
      <c r="S37" s="143">
        <f t="shared" si="6"/>
        <v>0.68781650373091419</v>
      </c>
      <c r="T37" s="143">
        <f t="shared" si="6"/>
        <v>0.64209203281439564</v>
      </c>
      <c r="U37" s="143">
        <f t="shared" si="6"/>
        <v>0.58562689149414926</v>
      </c>
      <c r="V37" s="143">
        <f t="shared" si="6"/>
        <v>0.69819847486452713</v>
      </c>
      <c r="W37" s="143">
        <f t="shared" si="6"/>
        <v>0.69581743321234446</v>
      </c>
      <c r="X37" s="143">
        <f t="shared" si="6"/>
        <v>0.49284004343840748</v>
      </c>
      <c r="Y37" s="143">
        <f t="shared" si="6"/>
        <v>0.66074618471510216</v>
      </c>
      <c r="Z37" s="143">
        <f t="shared" si="6"/>
        <v>0.64975781822998291</v>
      </c>
      <c r="AA37" s="143">
        <f t="shared" si="6"/>
        <v>0.77022711530096766</v>
      </c>
      <c r="AB37" s="143">
        <f t="shared" si="6"/>
        <v>0.6071077083486105</v>
      </c>
      <c r="AC37" s="143">
        <f t="shared" si="6"/>
        <v>0.68893766176136007</v>
      </c>
      <c r="AD37" s="143">
        <f t="shared" si="6"/>
        <v>0.47900350541682468</v>
      </c>
      <c r="AE37" s="143">
        <f t="shared" si="6"/>
        <v>0.78612701979286226</v>
      </c>
      <c r="AF37" s="139">
        <f>E37</f>
        <v>0.52350943859921484</v>
      </c>
    </row>
    <row r="38" spans="1:32">
      <c r="C38" s="140"/>
      <c r="D38" s="1" t="s">
        <v>1053</v>
      </c>
      <c r="E38" s="150">
        <f>E13*(E31/SUM(E30:E32))/(E28/SUM(E27:E29))</f>
        <v>3.6030970152705268E-2</v>
      </c>
      <c r="F38" s="150">
        <f t="shared" ref="F38:AE38" si="7">F13*(F31/SUM(F30:F32))/(F28/SUM(F27:F29))</f>
        <v>5.648340611058926E-2</v>
      </c>
      <c r="G38" s="150">
        <f t="shared" si="7"/>
        <v>1.4719421629158016E-2</v>
      </c>
      <c r="H38" s="150">
        <f t="shared" si="7"/>
        <v>5.8653600970362263E-2</v>
      </c>
      <c r="I38" s="150">
        <f t="shared" si="7"/>
        <v>7.4128895282995919E-2</v>
      </c>
      <c r="J38" s="150">
        <f t="shared" si="7"/>
        <v>0.12942991005147181</v>
      </c>
      <c r="K38" s="150">
        <f t="shared" si="7"/>
        <v>4.6590713839087569E-2</v>
      </c>
      <c r="L38" s="150">
        <f t="shared" si="7"/>
        <v>4.2472196683606168E-2</v>
      </c>
      <c r="M38" s="150">
        <f t="shared" si="7"/>
        <v>8.3703525677148186E-2</v>
      </c>
      <c r="N38" s="150">
        <f t="shared" si="7"/>
        <v>3.4400931287354976E-2</v>
      </c>
      <c r="O38" s="150">
        <f t="shared" si="7"/>
        <v>3.4678093584650349E-2</v>
      </c>
      <c r="P38" s="150">
        <f t="shared" si="7"/>
        <v>8.4756160850936485E-2</v>
      </c>
      <c r="Q38" s="150">
        <f t="shared" si="7"/>
        <v>6.3273046174834563E-2</v>
      </c>
      <c r="R38" s="150">
        <f t="shared" si="7"/>
        <v>6.615427864509231E-2</v>
      </c>
      <c r="S38" s="150">
        <f t="shared" si="7"/>
        <v>4.5574776889838728E-2</v>
      </c>
      <c r="T38" s="150">
        <f t="shared" si="7"/>
        <v>7.5401163543538027E-2</v>
      </c>
      <c r="U38" s="150">
        <f t="shared" si="7"/>
        <v>2.9058186843155989E-2</v>
      </c>
      <c r="V38" s="150">
        <f t="shared" si="7"/>
        <v>6.9357237854175677E-2</v>
      </c>
      <c r="W38" s="150">
        <f t="shared" si="7"/>
        <v>4.6534910978852255E-2</v>
      </c>
      <c r="X38" s="150">
        <f t="shared" si="7"/>
        <v>6.228589629491213E-2</v>
      </c>
      <c r="Y38" s="150">
        <f t="shared" si="7"/>
        <v>8.0143911274272076E-2</v>
      </c>
      <c r="Z38" s="150">
        <f t="shared" si="7"/>
        <v>6.1548320755875789E-2</v>
      </c>
      <c r="AA38" s="150">
        <f t="shared" si="7"/>
        <v>2.4414615545888373E-2</v>
      </c>
      <c r="AB38" s="150">
        <f t="shared" si="7"/>
        <v>3.1725405616065717E-2</v>
      </c>
      <c r="AC38" s="150">
        <f t="shared" si="7"/>
        <v>6.1062498404548166E-2</v>
      </c>
      <c r="AD38" s="150">
        <f t="shared" si="7"/>
        <v>6.8348438844994086E-2</v>
      </c>
      <c r="AE38" s="150">
        <f t="shared" si="7"/>
        <v>6.2419052311484938E-2</v>
      </c>
      <c r="AF38" s="26">
        <f>E38</f>
        <v>3.6030970152705268E-2</v>
      </c>
    </row>
    <row r="39" spans="1:32">
      <c r="C39" s="144"/>
      <c r="D39" s="135" t="s">
        <v>1054</v>
      </c>
      <c r="E39" s="151">
        <f>1-(E37+E38)</f>
        <v>0.44045959124807987</v>
      </c>
      <c r="F39" s="151">
        <f t="shared" ref="F39:AE39" si="8">1-(F37+F38)</f>
        <v>0.16136019907979526</v>
      </c>
      <c r="G39" s="151">
        <f t="shared" si="8"/>
        <v>0.64080124060221366</v>
      </c>
      <c r="H39" s="151">
        <f t="shared" si="8"/>
        <v>0.1263253481124591</v>
      </c>
      <c r="I39" s="151">
        <f t="shared" si="8"/>
        <v>0.21471468238708491</v>
      </c>
      <c r="J39" s="151">
        <f t="shared" si="8"/>
        <v>0.24633637858180668</v>
      </c>
      <c r="K39" s="151">
        <f t="shared" si="8"/>
        <v>0.10123779229317986</v>
      </c>
      <c r="L39" s="151">
        <f t="shared" si="8"/>
        <v>5.6789471754986942E-2</v>
      </c>
      <c r="M39" s="151">
        <f t="shared" si="8"/>
        <v>0.2133984535943928</v>
      </c>
      <c r="N39" s="151">
        <f t="shared" si="8"/>
        <v>0.14405766426046529</v>
      </c>
      <c r="O39" s="151">
        <f t="shared" si="8"/>
        <v>0.55127321679380081</v>
      </c>
      <c r="P39" s="151">
        <f t="shared" si="8"/>
        <v>0.13383856269662153</v>
      </c>
      <c r="Q39" s="151">
        <f t="shared" si="8"/>
        <v>0.14330130058590018</v>
      </c>
      <c r="R39" s="151">
        <f t="shared" si="8"/>
        <v>0.14521920997710569</v>
      </c>
      <c r="S39" s="151">
        <f t="shared" si="8"/>
        <v>0.26660871937924713</v>
      </c>
      <c r="T39" s="151">
        <f t="shared" si="8"/>
        <v>0.28250680364206637</v>
      </c>
      <c r="U39" s="151">
        <f t="shared" si="8"/>
        <v>0.38531492166269476</v>
      </c>
      <c r="V39" s="151">
        <f t="shared" si="8"/>
        <v>0.23244428728129718</v>
      </c>
      <c r="W39" s="151">
        <f t="shared" si="8"/>
        <v>0.25764765580880333</v>
      </c>
      <c r="X39" s="151">
        <f t="shared" si="8"/>
        <v>0.44487406026668042</v>
      </c>
      <c r="Y39" s="151">
        <f t="shared" si="8"/>
        <v>0.25910990401062572</v>
      </c>
      <c r="Z39" s="151">
        <f t="shared" si="8"/>
        <v>0.2886938610141413</v>
      </c>
      <c r="AA39" s="151">
        <f t="shared" si="8"/>
        <v>0.20535826915314392</v>
      </c>
      <c r="AB39" s="151">
        <f t="shared" si="8"/>
        <v>0.36116688603532376</v>
      </c>
      <c r="AC39" s="151">
        <f t="shared" si="8"/>
        <v>0.2499998398340918</v>
      </c>
      <c r="AD39" s="151">
        <f t="shared" si="8"/>
        <v>0.45264805573818123</v>
      </c>
      <c r="AE39" s="151">
        <f t="shared" si="8"/>
        <v>0.15145392789565282</v>
      </c>
      <c r="AF39" s="137">
        <f>E39</f>
        <v>0.44045959124807987</v>
      </c>
    </row>
    <row r="40" spans="1:32">
      <c r="C40" s="140" t="s">
        <v>466</v>
      </c>
      <c r="D40" s="140" t="s">
        <v>1052</v>
      </c>
      <c r="E40" s="152">
        <f>E15*(E30/SUM(E30:E32))/(E27/SUM(E27:E29))</f>
        <v>0.52350943859921484</v>
      </c>
      <c r="F40" s="152">
        <f t="shared" ref="F40:AE40" si="9">F15*(F30/SUM(F30:F32))/(F27/SUM(F27:F29))</f>
        <v>0.78215639480961552</v>
      </c>
      <c r="G40" s="152">
        <f t="shared" si="9"/>
        <v>0.34447933776862838</v>
      </c>
      <c r="H40" s="152">
        <f t="shared" si="9"/>
        <v>0.81502105091717858</v>
      </c>
      <c r="I40" s="152">
        <f t="shared" si="9"/>
        <v>0.71115642232991916</v>
      </c>
      <c r="J40" s="152">
        <f t="shared" si="9"/>
        <v>0.62423371136672146</v>
      </c>
      <c r="K40" s="152">
        <f t="shared" si="9"/>
        <v>0.85217149386773261</v>
      </c>
      <c r="L40" s="152">
        <f t="shared" si="9"/>
        <v>0.90073833156140692</v>
      </c>
      <c r="M40" s="152">
        <f t="shared" si="9"/>
        <v>0.70289802072845897</v>
      </c>
      <c r="N40" s="152">
        <f t="shared" si="9"/>
        <v>0.82154140445217971</v>
      </c>
      <c r="O40" s="152">
        <f t="shared" si="9"/>
        <v>0.41404868962154889</v>
      </c>
      <c r="P40" s="152">
        <f t="shared" si="9"/>
        <v>0.78140527645244195</v>
      </c>
      <c r="Q40" s="152">
        <f t="shared" si="9"/>
        <v>0.79342565323926528</v>
      </c>
      <c r="R40" s="152">
        <f t="shared" si="9"/>
        <v>0.78862651137780204</v>
      </c>
      <c r="S40" s="152">
        <f t="shared" si="9"/>
        <v>0.68781650373091419</v>
      </c>
      <c r="T40" s="152">
        <f t="shared" si="9"/>
        <v>0.64209203281439564</v>
      </c>
      <c r="U40" s="152">
        <f t="shared" si="9"/>
        <v>0.58562689149414926</v>
      </c>
      <c r="V40" s="152">
        <f t="shared" si="9"/>
        <v>0.69819847486452713</v>
      </c>
      <c r="W40" s="152">
        <f t="shared" si="9"/>
        <v>0.69581743321234446</v>
      </c>
      <c r="X40" s="152">
        <f t="shared" si="9"/>
        <v>0.49284004343840748</v>
      </c>
      <c r="Y40" s="152">
        <f t="shared" si="9"/>
        <v>0.66074618471510216</v>
      </c>
      <c r="Z40" s="152">
        <f t="shared" si="9"/>
        <v>0.64975781822998291</v>
      </c>
      <c r="AA40" s="152">
        <f t="shared" si="9"/>
        <v>0.77022711530096766</v>
      </c>
      <c r="AB40" s="152">
        <f t="shared" si="9"/>
        <v>0.6071077083486105</v>
      </c>
      <c r="AC40" s="152">
        <f t="shared" si="9"/>
        <v>0.68893766176136007</v>
      </c>
      <c r="AD40" s="152">
        <f t="shared" si="9"/>
        <v>0.47900350541682468</v>
      </c>
      <c r="AE40" s="152">
        <f t="shared" si="9"/>
        <v>0.78612701979286226</v>
      </c>
      <c r="AF40" s="26">
        <f t="shared" ref="AF40:AF48" si="10">E40</f>
        <v>0.52350943859921484</v>
      </c>
    </row>
    <row r="41" spans="1:32">
      <c r="C41" s="140"/>
      <c r="D41" s="1" t="s">
        <v>1053</v>
      </c>
      <c r="E41" s="150">
        <f>E16*(E31/SUM(E30:E32))/(E28/SUM(E27:E29))</f>
        <v>3.6030970152705268E-2</v>
      </c>
      <c r="F41" s="150">
        <f t="shared" ref="F41:AE41" si="11">F16*(F31/SUM(F30:F32))/(F28/SUM(F27:F29))</f>
        <v>5.648340611058926E-2</v>
      </c>
      <c r="G41" s="150">
        <f t="shared" si="11"/>
        <v>1.4719421629158016E-2</v>
      </c>
      <c r="H41" s="150">
        <f t="shared" si="11"/>
        <v>5.8653600970362263E-2</v>
      </c>
      <c r="I41" s="150">
        <f t="shared" si="11"/>
        <v>7.4128895282995919E-2</v>
      </c>
      <c r="J41" s="150">
        <f t="shared" si="11"/>
        <v>0.12942991005147181</v>
      </c>
      <c r="K41" s="150">
        <f t="shared" si="11"/>
        <v>4.6590713839087569E-2</v>
      </c>
      <c r="L41" s="150">
        <f t="shared" si="11"/>
        <v>4.2472196683606168E-2</v>
      </c>
      <c r="M41" s="150">
        <f t="shared" si="11"/>
        <v>8.3703525677148186E-2</v>
      </c>
      <c r="N41" s="150">
        <f t="shared" si="11"/>
        <v>3.4400931287354976E-2</v>
      </c>
      <c r="O41" s="150">
        <f t="shared" si="11"/>
        <v>3.4678093584650349E-2</v>
      </c>
      <c r="P41" s="150">
        <f t="shared" si="11"/>
        <v>8.4756160850936485E-2</v>
      </c>
      <c r="Q41" s="150">
        <f t="shared" si="11"/>
        <v>6.3273046174834563E-2</v>
      </c>
      <c r="R41" s="150">
        <f t="shared" si="11"/>
        <v>6.615427864509231E-2</v>
      </c>
      <c r="S41" s="150">
        <f t="shared" si="11"/>
        <v>4.5574776889838728E-2</v>
      </c>
      <c r="T41" s="150">
        <f t="shared" si="11"/>
        <v>7.5401163543538027E-2</v>
      </c>
      <c r="U41" s="150">
        <f t="shared" si="11"/>
        <v>2.9058186843155989E-2</v>
      </c>
      <c r="V41" s="150">
        <f t="shared" si="11"/>
        <v>6.9357237854175677E-2</v>
      </c>
      <c r="W41" s="150">
        <f t="shared" si="11"/>
        <v>4.6534910978852255E-2</v>
      </c>
      <c r="X41" s="150">
        <f t="shared" si="11"/>
        <v>6.228589629491213E-2</v>
      </c>
      <c r="Y41" s="150">
        <f t="shared" si="11"/>
        <v>8.0143911274272076E-2</v>
      </c>
      <c r="Z41" s="150">
        <f t="shared" si="11"/>
        <v>6.1548320755875789E-2</v>
      </c>
      <c r="AA41" s="150">
        <f t="shared" si="11"/>
        <v>2.4414615545888373E-2</v>
      </c>
      <c r="AB41" s="150">
        <f t="shared" si="11"/>
        <v>3.1725405616065717E-2</v>
      </c>
      <c r="AC41" s="150">
        <f t="shared" si="11"/>
        <v>6.1062498404548166E-2</v>
      </c>
      <c r="AD41" s="150">
        <f t="shared" si="11"/>
        <v>6.8348438844994086E-2</v>
      </c>
      <c r="AE41" s="150">
        <f t="shared" si="11"/>
        <v>6.2419052311484938E-2</v>
      </c>
      <c r="AF41" s="26">
        <f t="shared" si="10"/>
        <v>3.6030970152705268E-2</v>
      </c>
    </row>
    <row r="42" spans="1:32">
      <c r="C42" s="140"/>
      <c r="D42" s="1" t="s">
        <v>1054</v>
      </c>
      <c r="E42" s="151">
        <f>1-(E40+E41)</f>
        <v>0.44045959124807987</v>
      </c>
      <c r="F42" s="150">
        <f t="shared" ref="F42:AE42" si="12">1-(F40+F41)</f>
        <v>0.16136019907979526</v>
      </c>
      <c r="G42" s="150">
        <f t="shared" si="12"/>
        <v>0.64080124060221366</v>
      </c>
      <c r="H42" s="150">
        <f t="shared" si="12"/>
        <v>0.1263253481124591</v>
      </c>
      <c r="I42" s="150">
        <f t="shared" si="12"/>
        <v>0.21471468238708491</v>
      </c>
      <c r="J42" s="150">
        <f t="shared" si="12"/>
        <v>0.24633637858180668</v>
      </c>
      <c r="K42" s="150">
        <f t="shared" si="12"/>
        <v>0.10123779229317986</v>
      </c>
      <c r="L42" s="150">
        <f t="shared" si="12"/>
        <v>5.6789471754986942E-2</v>
      </c>
      <c r="M42" s="150">
        <f t="shared" si="12"/>
        <v>0.2133984535943928</v>
      </c>
      <c r="N42" s="150">
        <f t="shared" si="12"/>
        <v>0.14405766426046529</v>
      </c>
      <c r="O42" s="150">
        <f t="shared" si="12"/>
        <v>0.55127321679380081</v>
      </c>
      <c r="P42" s="150">
        <f t="shared" si="12"/>
        <v>0.13383856269662153</v>
      </c>
      <c r="Q42" s="150">
        <f t="shared" si="12"/>
        <v>0.14330130058590018</v>
      </c>
      <c r="R42" s="150">
        <f t="shared" si="12"/>
        <v>0.14521920997710569</v>
      </c>
      <c r="S42" s="150">
        <f t="shared" si="12"/>
        <v>0.26660871937924713</v>
      </c>
      <c r="T42" s="150">
        <f t="shared" si="12"/>
        <v>0.28250680364206637</v>
      </c>
      <c r="U42" s="150">
        <f t="shared" si="12"/>
        <v>0.38531492166269476</v>
      </c>
      <c r="V42" s="150">
        <f t="shared" si="12"/>
        <v>0.23244428728129718</v>
      </c>
      <c r="W42" s="150">
        <f t="shared" si="12"/>
        <v>0.25764765580880333</v>
      </c>
      <c r="X42" s="150">
        <f t="shared" si="12"/>
        <v>0.44487406026668042</v>
      </c>
      <c r="Y42" s="150">
        <f t="shared" si="12"/>
        <v>0.25910990401062572</v>
      </c>
      <c r="Z42" s="150">
        <f t="shared" si="12"/>
        <v>0.2886938610141413</v>
      </c>
      <c r="AA42" s="150">
        <f t="shared" si="12"/>
        <v>0.20535826915314392</v>
      </c>
      <c r="AB42" s="150">
        <f t="shared" si="12"/>
        <v>0.36116688603532376</v>
      </c>
      <c r="AC42" s="150">
        <f t="shared" si="12"/>
        <v>0.2499998398340918</v>
      </c>
      <c r="AD42" s="150">
        <f t="shared" si="12"/>
        <v>0.45264805573818123</v>
      </c>
      <c r="AE42" s="150">
        <f t="shared" si="12"/>
        <v>0.15145392789565282</v>
      </c>
      <c r="AF42" s="26">
        <f t="shared" si="10"/>
        <v>0.44045959124807987</v>
      </c>
    </row>
    <row r="43" spans="1:32">
      <c r="C43" s="138" t="s">
        <v>467</v>
      </c>
      <c r="D43" s="138" t="s">
        <v>1052</v>
      </c>
      <c r="E43" s="153">
        <f>E18*(E30/SUM(E30:E32))/(E27/SUM(E27:E29))</f>
        <v>0.52350943859921484</v>
      </c>
      <c r="F43" s="153">
        <f t="shared" ref="F43:AE43" si="13">F18*(F30/SUM(F30:F32))/(F27/SUM(F27:F29))</f>
        <v>0.81222374890677329</v>
      </c>
      <c r="G43" s="153">
        <f t="shared" si="13"/>
        <v>0.41297113164246352</v>
      </c>
      <c r="H43" s="153">
        <f t="shared" si="13"/>
        <v>0.72265960868150048</v>
      </c>
      <c r="I43" s="153">
        <f t="shared" si="13"/>
        <v>0.65250979314817992</v>
      </c>
      <c r="J43" s="153">
        <f t="shared" si="13"/>
        <v>0.72488529085011122</v>
      </c>
      <c r="K43" s="153">
        <f t="shared" si="13"/>
        <v>0.61965393156595983</v>
      </c>
      <c r="L43" s="153">
        <f t="shared" si="13"/>
        <v>0.78741224654586039</v>
      </c>
      <c r="M43" s="153">
        <f t="shared" si="13"/>
        <v>0.73849017271826278</v>
      </c>
      <c r="N43" s="153">
        <f t="shared" si="13"/>
        <v>0.75897141384269273</v>
      </c>
      <c r="O43" s="153">
        <f t="shared" si="13"/>
        <v>0.5688368788891659</v>
      </c>
      <c r="P43" s="153">
        <f t="shared" si="13"/>
        <v>0.70907686886754251</v>
      </c>
      <c r="Q43" s="153">
        <f t="shared" si="13"/>
        <v>0.71474494368380859</v>
      </c>
      <c r="R43" s="153">
        <f t="shared" si="13"/>
        <v>0.63163356304211316</v>
      </c>
      <c r="S43" s="153">
        <f t="shared" si="13"/>
        <v>0.68696277571274889</v>
      </c>
      <c r="T43" s="153">
        <f t="shared" si="13"/>
        <v>0.63155252837450693</v>
      </c>
      <c r="U43" s="153">
        <f t="shared" si="13"/>
        <v>0.72596257411958864</v>
      </c>
      <c r="V43" s="153">
        <f t="shared" si="13"/>
        <v>0.7030751096156268</v>
      </c>
      <c r="W43" s="153">
        <f t="shared" si="13"/>
        <v>0.74322493532003486</v>
      </c>
      <c r="X43" s="153">
        <f t="shared" si="13"/>
        <v>0.50819554167129766</v>
      </c>
      <c r="Y43" s="153">
        <f t="shared" si="13"/>
        <v>0.5396412444580414</v>
      </c>
      <c r="Z43" s="153">
        <f t="shared" si="13"/>
        <v>0.58616648588139586</v>
      </c>
      <c r="AA43" s="153">
        <f t="shared" si="13"/>
        <v>0.63012610614595488</v>
      </c>
      <c r="AB43" s="153">
        <f t="shared" si="13"/>
        <v>0.55152717201255597</v>
      </c>
      <c r="AC43" s="153">
        <f t="shared" si="13"/>
        <v>0.60980627204002646</v>
      </c>
      <c r="AD43" s="153">
        <f t="shared" si="13"/>
        <v>0.57121577757432263</v>
      </c>
      <c r="AE43" s="153">
        <f t="shared" si="13"/>
        <v>0.6894102979841662</v>
      </c>
      <c r="AF43" s="139">
        <f t="shared" si="10"/>
        <v>0.52350943859921484</v>
      </c>
    </row>
    <row r="44" spans="1:32">
      <c r="C44" s="140"/>
      <c r="D44" s="1" t="s">
        <v>1053</v>
      </c>
      <c r="E44" s="152">
        <f>E19*(E31/SUM(E30:E32))/(E28/SUM(E27:E29))</f>
        <v>3.6030970152705268E-2</v>
      </c>
      <c r="F44" s="152">
        <f t="shared" ref="F44:AE44" si="14">F19*(F31/SUM(F30:F32))/(F28/SUM(F27:F29))</f>
        <v>0.10663933736855953</v>
      </c>
      <c r="G44" s="152">
        <f t="shared" si="14"/>
        <v>4.9435471226084993E-2</v>
      </c>
      <c r="H44" s="152">
        <f t="shared" si="14"/>
        <v>0.12374485038918974</v>
      </c>
      <c r="I44" s="152">
        <f t="shared" si="14"/>
        <v>0.15922051451629404</v>
      </c>
      <c r="J44" s="152">
        <f t="shared" si="14"/>
        <v>0.21905899477722016</v>
      </c>
      <c r="K44" s="152">
        <f t="shared" si="14"/>
        <v>0.15841141331807276</v>
      </c>
      <c r="L44" s="152">
        <f t="shared" si="14"/>
        <v>0.10764705080133653</v>
      </c>
      <c r="M44" s="152">
        <f t="shared" si="14"/>
        <v>0.15780588894578812</v>
      </c>
      <c r="N44" s="152">
        <f t="shared" si="14"/>
        <v>0.15568211741268989</v>
      </c>
      <c r="O44" s="152">
        <f t="shared" si="14"/>
        <v>0.13232228815884037</v>
      </c>
      <c r="P44" s="152">
        <f t="shared" si="14"/>
        <v>0.16417333216368798</v>
      </c>
      <c r="Q44" s="152">
        <f t="shared" si="14"/>
        <v>0.16983796103766488</v>
      </c>
      <c r="R44" s="152">
        <f t="shared" si="14"/>
        <v>0.19081893481441484</v>
      </c>
      <c r="S44" s="152">
        <f t="shared" si="14"/>
        <v>0.14116760937094175</v>
      </c>
      <c r="T44" s="152">
        <f t="shared" si="14"/>
        <v>0.16902286098127356</v>
      </c>
      <c r="U44" s="152">
        <f t="shared" si="14"/>
        <v>0.10529919698886503</v>
      </c>
      <c r="V44" s="152">
        <f t="shared" si="14"/>
        <v>0.13899298650517539</v>
      </c>
      <c r="W44" s="152">
        <f t="shared" si="14"/>
        <v>0.13841585710312662</v>
      </c>
      <c r="X44" s="152">
        <f t="shared" si="14"/>
        <v>0.1825184619514304</v>
      </c>
      <c r="Y44" s="152">
        <f t="shared" si="14"/>
        <v>0.28670958700921761</v>
      </c>
      <c r="Z44" s="152">
        <f t="shared" si="14"/>
        <v>0.17582671631179672</v>
      </c>
      <c r="AA44" s="152">
        <f t="shared" si="14"/>
        <v>0.11467254611660434</v>
      </c>
      <c r="AB44" s="152">
        <f t="shared" si="14"/>
        <v>0.13462708844153301</v>
      </c>
      <c r="AC44" s="152">
        <f t="shared" si="14"/>
        <v>0.12275403259668087</v>
      </c>
      <c r="AD44" s="152">
        <f t="shared" si="14"/>
        <v>0.19988964350757418</v>
      </c>
      <c r="AE44" s="152">
        <f t="shared" si="14"/>
        <v>6.6512104922074114E-2</v>
      </c>
      <c r="AF44" s="26">
        <f t="shared" si="10"/>
        <v>3.6030970152705268E-2</v>
      </c>
    </row>
    <row r="45" spans="1:32">
      <c r="C45" s="144"/>
      <c r="D45" s="135" t="s">
        <v>1054</v>
      </c>
      <c r="E45" s="151">
        <f>1-(E43+E44)</f>
        <v>0.44045959124807987</v>
      </c>
      <c r="F45" s="151">
        <f t="shared" ref="F45:AE45" si="15">1-(F43+F44)</f>
        <v>8.1136913724667137E-2</v>
      </c>
      <c r="G45" s="151">
        <f t="shared" si="15"/>
        <v>0.53759339713145149</v>
      </c>
      <c r="H45" s="151">
        <f t="shared" si="15"/>
        <v>0.15359554092930983</v>
      </c>
      <c r="I45" s="151">
        <f t="shared" si="15"/>
        <v>0.18826969233552604</v>
      </c>
      <c r="J45" s="151">
        <f t="shared" si="15"/>
        <v>5.6055714372668652E-2</v>
      </c>
      <c r="K45" s="151">
        <f t="shared" si="15"/>
        <v>0.22193465511596744</v>
      </c>
      <c r="L45" s="151">
        <f t="shared" si="15"/>
        <v>0.10494070265280309</v>
      </c>
      <c r="M45" s="151">
        <f t="shared" si="15"/>
        <v>0.10370393833594904</v>
      </c>
      <c r="N45" s="151">
        <f t="shared" si="15"/>
        <v>8.5346468744617376E-2</v>
      </c>
      <c r="O45" s="151">
        <f t="shared" si="15"/>
        <v>0.29884083295199371</v>
      </c>
      <c r="P45" s="151">
        <f t="shared" si="15"/>
        <v>0.12674979896876948</v>
      </c>
      <c r="Q45" s="151">
        <f t="shared" si="15"/>
        <v>0.1154170952785265</v>
      </c>
      <c r="R45" s="151">
        <f t="shared" si="15"/>
        <v>0.17754750214347204</v>
      </c>
      <c r="S45" s="151">
        <f t="shared" si="15"/>
        <v>0.17186961491630937</v>
      </c>
      <c r="T45" s="151">
        <f t="shared" si="15"/>
        <v>0.19942461064421946</v>
      </c>
      <c r="U45" s="151">
        <f t="shared" si="15"/>
        <v>0.16873822889154633</v>
      </c>
      <c r="V45" s="151">
        <f t="shared" si="15"/>
        <v>0.15793190387919775</v>
      </c>
      <c r="W45" s="151">
        <f t="shared" si="15"/>
        <v>0.11835920757683849</v>
      </c>
      <c r="X45" s="151">
        <f t="shared" si="15"/>
        <v>0.30928599637727194</v>
      </c>
      <c r="Y45" s="151">
        <f t="shared" si="15"/>
        <v>0.17364916853274104</v>
      </c>
      <c r="Z45" s="151">
        <f t="shared" si="15"/>
        <v>0.23800679780680745</v>
      </c>
      <c r="AA45" s="151">
        <f t="shared" si="15"/>
        <v>0.25520134773744074</v>
      </c>
      <c r="AB45" s="151">
        <f t="shared" si="15"/>
        <v>0.313845739545911</v>
      </c>
      <c r="AC45" s="151">
        <f t="shared" si="15"/>
        <v>0.26743969536329271</v>
      </c>
      <c r="AD45" s="151">
        <f t="shared" si="15"/>
        <v>0.22889457891810316</v>
      </c>
      <c r="AE45" s="151">
        <f t="shared" si="15"/>
        <v>0.24407759709375965</v>
      </c>
      <c r="AF45" s="137">
        <f t="shared" si="10"/>
        <v>0.44045959124807987</v>
      </c>
    </row>
    <row r="46" spans="1:32">
      <c r="C46" s="140" t="s">
        <v>468</v>
      </c>
      <c r="D46" s="140" t="s">
        <v>1052</v>
      </c>
      <c r="E46" s="152">
        <f>E21*(E30/SUM(E30:E32))/(E27/SUM(E27:E29))</f>
        <v>0.52350943859921484</v>
      </c>
      <c r="F46" s="152">
        <f t="shared" ref="F46:AE46" si="16">F21*(F30/SUM(F30:F32))/(F27/SUM(F27:F29))</f>
        <v>0.6147036173371152</v>
      </c>
      <c r="G46" s="152">
        <f t="shared" si="16"/>
        <v>0.33301453273608916</v>
      </c>
      <c r="H46" s="152">
        <f t="shared" si="16"/>
        <v>0.61893146434896451</v>
      </c>
      <c r="I46" s="152">
        <f t="shared" si="16"/>
        <v>0.57776991893407004</v>
      </c>
      <c r="J46" s="152">
        <f t="shared" si="16"/>
        <v>0.66132498889385127</v>
      </c>
      <c r="K46" s="152">
        <f t="shared" si="16"/>
        <v>0.52128756070696114</v>
      </c>
      <c r="L46" s="152">
        <f t="shared" si="16"/>
        <v>0.63998237428202764</v>
      </c>
      <c r="M46" s="152">
        <f t="shared" si="16"/>
        <v>0.66521468367094483</v>
      </c>
      <c r="N46" s="152">
        <f t="shared" si="16"/>
        <v>0.67302211149037472</v>
      </c>
      <c r="O46" s="152">
        <f t="shared" si="16"/>
        <v>0.53124170553951233</v>
      </c>
      <c r="P46" s="152">
        <f t="shared" si="16"/>
        <v>0.46951265721442792</v>
      </c>
      <c r="Q46" s="152">
        <f t="shared" si="16"/>
        <v>0.55525260172606217</v>
      </c>
      <c r="R46" s="152">
        <f t="shared" si="16"/>
        <v>0.62082648459175271</v>
      </c>
      <c r="S46" s="152">
        <f t="shared" si="16"/>
        <v>0.53635940188830833</v>
      </c>
      <c r="T46" s="152">
        <f t="shared" si="16"/>
        <v>0.47720038459656861</v>
      </c>
      <c r="U46" s="152">
        <f t="shared" si="16"/>
        <v>0.632027481703476</v>
      </c>
      <c r="V46" s="152">
        <f t="shared" si="16"/>
        <v>0.60220647883927436</v>
      </c>
      <c r="W46" s="152">
        <f t="shared" si="16"/>
        <v>0.59397617787809276</v>
      </c>
      <c r="X46" s="152">
        <f t="shared" si="16"/>
        <v>0.38418893210628502</v>
      </c>
      <c r="Y46" s="152">
        <f t="shared" si="16"/>
        <v>0.42476447056659955</v>
      </c>
      <c r="Z46" s="152">
        <f t="shared" si="16"/>
        <v>0.49597494467382525</v>
      </c>
      <c r="AA46" s="152">
        <f t="shared" si="16"/>
        <v>0.557004520566451</v>
      </c>
      <c r="AB46" s="152">
        <f t="shared" si="16"/>
        <v>0.4994869656870829</v>
      </c>
      <c r="AC46" s="152">
        <f t="shared" si="16"/>
        <v>0.52014693645877241</v>
      </c>
      <c r="AD46" s="152">
        <f t="shared" si="16"/>
        <v>0.42450343218910336</v>
      </c>
      <c r="AE46" s="152">
        <f t="shared" si="16"/>
        <v>0.60807649437985034</v>
      </c>
      <c r="AF46" s="26">
        <f t="shared" si="10"/>
        <v>0.52350943859921484</v>
      </c>
    </row>
    <row r="47" spans="1:32">
      <c r="C47" s="140"/>
      <c r="D47" s="1" t="s">
        <v>1053</v>
      </c>
      <c r="E47" s="152">
        <f>E22*(E31/SUM(E30:E32))/(E28/SUM(E27:E29))</f>
        <v>3.6030970152705268E-2</v>
      </c>
      <c r="F47" s="152">
        <f t="shared" ref="F47:AE47" si="17">F22*(F31/SUM(F30:F32))/(F28/SUM(F27:F29))</f>
        <v>0.28070657763711171</v>
      </c>
      <c r="G47" s="152">
        <f t="shared" si="17"/>
        <v>7.4141665807000393E-2</v>
      </c>
      <c r="H47" s="152">
        <f t="shared" si="17"/>
        <v>0.17557540823794976</v>
      </c>
      <c r="I47" s="152">
        <f t="shared" si="17"/>
        <v>0.28886315550397168</v>
      </c>
      <c r="J47" s="152">
        <f t="shared" si="17"/>
        <v>0.25889004299204543</v>
      </c>
      <c r="K47" s="152">
        <f t="shared" si="17"/>
        <v>0.33569610742325517</v>
      </c>
      <c r="L47" s="152">
        <f t="shared" si="17"/>
        <v>0.23000497388695704</v>
      </c>
      <c r="M47" s="152">
        <f t="shared" si="17"/>
        <v>0.22538276805653143</v>
      </c>
      <c r="N47" s="152">
        <f t="shared" si="17"/>
        <v>0.23167418545390642</v>
      </c>
      <c r="O47" s="152">
        <f t="shared" si="17"/>
        <v>0.21366760313714911</v>
      </c>
      <c r="P47" s="152">
        <f t="shared" si="17"/>
        <v>0.41378263356503253</v>
      </c>
      <c r="Q47" s="152">
        <f t="shared" si="17"/>
        <v>0.24616493578727572</v>
      </c>
      <c r="R47" s="152">
        <f t="shared" si="17"/>
        <v>0.265790482147368</v>
      </c>
      <c r="S47" s="152">
        <f t="shared" si="17"/>
        <v>0.26752826049753725</v>
      </c>
      <c r="T47" s="152">
        <f t="shared" si="17"/>
        <v>0.39562429749176298</v>
      </c>
      <c r="U47" s="152">
        <f t="shared" si="17"/>
        <v>0.18085828661796655</v>
      </c>
      <c r="V47" s="152">
        <f t="shared" si="17"/>
        <v>0.27842349093713337</v>
      </c>
      <c r="W47" s="152">
        <f t="shared" si="17"/>
        <v>0.25866934014153725</v>
      </c>
      <c r="X47" s="152">
        <f t="shared" si="17"/>
        <v>0.33694881650299274</v>
      </c>
      <c r="Y47" s="152">
        <f t="shared" si="17"/>
        <v>0.35661779725044551</v>
      </c>
      <c r="Z47" s="152">
        <f t="shared" si="17"/>
        <v>0.35250535618380774</v>
      </c>
      <c r="AA47" s="152">
        <f t="shared" si="17"/>
        <v>0.34049869353265938</v>
      </c>
      <c r="AB47" s="152">
        <f t="shared" si="17"/>
        <v>0.28786928047004345</v>
      </c>
      <c r="AC47" s="152">
        <f t="shared" si="17"/>
        <v>0.30919856887353742</v>
      </c>
      <c r="AD47" s="152">
        <f t="shared" si="17"/>
        <v>0.40180897246728736</v>
      </c>
      <c r="AE47" s="152">
        <f t="shared" si="17"/>
        <v>0.21731254757966625</v>
      </c>
      <c r="AF47" s="26">
        <f t="shared" si="10"/>
        <v>3.6030970152705268E-2</v>
      </c>
    </row>
    <row r="48" spans="1:32">
      <c r="D48" s="1" t="s">
        <v>1054</v>
      </c>
      <c r="E48" s="152">
        <f>1-(E46+E47)</f>
        <v>0.44045959124807987</v>
      </c>
      <c r="F48" s="152">
        <f t="shared" ref="F48:AE48" si="18">1-(F46+F47)</f>
        <v>0.10458980502577309</v>
      </c>
      <c r="G48" s="152">
        <f t="shared" si="18"/>
        <v>0.5928438014569104</v>
      </c>
      <c r="H48" s="152">
        <f t="shared" si="18"/>
        <v>0.20549312741308579</v>
      </c>
      <c r="I48" s="152">
        <f t="shared" si="18"/>
        <v>0.13336692556195828</v>
      </c>
      <c r="J48" s="152">
        <f t="shared" si="18"/>
        <v>7.9784968114103294E-2</v>
      </c>
      <c r="K48" s="152">
        <f t="shared" si="18"/>
        <v>0.14301633186978369</v>
      </c>
      <c r="L48" s="152">
        <f t="shared" si="18"/>
        <v>0.13001265183101529</v>
      </c>
      <c r="M48" s="152">
        <f t="shared" si="18"/>
        <v>0.10940254827252371</v>
      </c>
      <c r="N48" s="152">
        <f t="shared" si="18"/>
        <v>9.5303703055718891E-2</v>
      </c>
      <c r="O48" s="152">
        <f t="shared" si="18"/>
        <v>0.25509069132333861</v>
      </c>
      <c r="P48" s="152">
        <f t="shared" si="18"/>
        <v>0.11670470922053955</v>
      </c>
      <c r="Q48" s="152">
        <f t="shared" si="18"/>
        <v>0.19858246248666211</v>
      </c>
      <c r="R48" s="152">
        <f t="shared" si="18"/>
        <v>0.11338303326087928</v>
      </c>
      <c r="S48" s="152">
        <f t="shared" si="18"/>
        <v>0.19611233761415447</v>
      </c>
      <c r="T48" s="152">
        <f t="shared" si="18"/>
        <v>0.12717531791166836</v>
      </c>
      <c r="U48" s="152">
        <f t="shared" si="18"/>
        <v>0.18711423167855745</v>
      </c>
      <c r="V48" s="152">
        <f t="shared" si="18"/>
        <v>0.11937003022359227</v>
      </c>
      <c r="W48" s="152">
        <f t="shared" si="18"/>
        <v>0.14735448198037004</v>
      </c>
      <c r="X48" s="152">
        <f t="shared" si="18"/>
        <v>0.27886225139072218</v>
      </c>
      <c r="Y48" s="152">
        <f t="shared" si="18"/>
        <v>0.21861773218295499</v>
      </c>
      <c r="Z48" s="152">
        <f t="shared" si="18"/>
        <v>0.15151969914236707</v>
      </c>
      <c r="AA48" s="152">
        <f t="shared" si="18"/>
        <v>0.10249678590088962</v>
      </c>
      <c r="AB48" s="152">
        <f t="shared" si="18"/>
        <v>0.2126437538428736</v>
      </c>
      <c r="AC48" s="152">
        <f t="shared" si="18"/>
        <v>0.17065449466769023</v>
      </c>
      <c r="AD48" s="152">
        <f t="shared" si="18"/>
        <v>0.17368759534360922</v>
      </c>
      <c r="AE48" s="152">
        <f t="shared" si="18"/>
        <v>0.17461095804048343</v>
      </c>
      <c r="AF48" s="26">
        <f t="shared" si="10"/>
        <v>0.44045959124807987</v>
      </c>
    </row>
    <row r="50" spans="1:31" ht="15">
      <c r="C50" s="23" t="s">
        <v>1166</v>
      </c>
    </row>
    <row r="51" spans="1:3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row>
    <row r="52" spans="1:31">
      <c r="A52">
        <v>0</v>
      </c>
      <c r="C52" s="25" t="s">
        <v>465</v>
      </c>
      <c r="D52" s="26">
        <f>SUMIFS(Table1[SumHD_TJ],Table1[Group],A52)/1000*E5*$C$5</f>
        <v>5.7398184000000008</v>
      </c>
      <c r="E52" s="26">
        <f>SUMIFS(Table1[SumHD_TJ],Table1[Region],$E$51,Table1[Group],A52)/1000*E5*$C$5</f>
        <v>0</v>
      </c>
      <c r="F52" s="26">
        <f>SUMIFS(Table1[SumHD_TJ],Table1[Region],$F$51,Table1[Group],A52)/1000*E5*$C$5</f>
        <v>3.7782431999999999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0.82641780000000009</v>
      </c>
      <c r="S52">
        <f>SUMIFS(Table1[SumHD_TJ],Table1[Region],$S$51,Table1[Group],A52)/1000*E5*$C$5</f>
        <v>0</v>
      </c>
      <c r="T52">
        <f>SUMIFS(Table1[SumHD_TJ],Table1[Region],$T$51,Table1[Group],A52)/1000*E5*$C$5</f>
        <v>0.4207284</v>
      </c>
      <c r="U52">
        <f>SUMIFS(Table1[SumHD_TJ],Table1[Region],$U$51,Table1[Group],A52)/1000*E5*$C$5</f>
        <v>0</v>
      </c>
      <c r="V52">
        <f>SUMIFS(Table1[SumHD_TJ],Table1[Region],$V$51,Table1[Group],A52)/1000*E5*$C$5</f>
        <v>0.24957719999999994</v>
      </c>
      <c r="W52">
        <f>SUMIFS(Table1[SumHD_TJ],Table1[Region],$W$51,Table1[Group],A52)/1000*E5*$C$5</f>
        <v>0.46485179999999998</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5.7398184000000008</v>
      </c>
    </row>
    <row r="53" spans="1:31">
      <c r="A53">
        <v>1</v>
      </c>
      <c r="C53" s="25" t="s">
        <v>466</v>
      </c>
      <c r="D53" s="26">
        <f>SUMIFS(Table1[SumHD_TJ],Table1[Group],A53)/1000*E5*$C$5</f>
        <v>4.3295057999999988</v>
      </c>
      <c r="E53" s="26">
        <f>SUMIFS(Table1[SumHD_TJ],Table1[Region],$E$51,Table1[Group],A53)/1000*E5*$C$5</f>
        <v>0</v>
      </c>
      <c r="F53" s="26">
        <f>SUMIFS(Table1[SumHD_TJ],Table1[Region],$F$51,Table1[Group],A53)/1000*E5*$C$5</f>
        <v>0.50569019999999998</v>
      </c>
      <c r="G53" s="26">
        <f>SUMIFS(Table1[SumHD_TJ],Table1[Region],$G$51,Table1[Group],A53)/1000*E5*$C$5</f>
        <v>0.48046680000000003</v>
      </c>
      <c r="H53" s="26">
        <f>SUMIFS(Table1[SumHD_TJ],Table1[Region],$H$51,Table1[Group],A53)/1000*E5*$C$5</f>
        <v>0.23572079999999995</v>
      </c>
      <c r="I53" s="26">
        <f>SUMIFS(Table1[SumHD_TJ],Table1[Region],$I$51,Table1[Group],A53)/1000*E5*$C$5</f>
        <v>0.13371839999999999</v>
      </c>
      <c r="J53" s="26">
        <f>SUMIFS(Table1[SumHD_TJ],Table1[Region],$J$51,Table1[Group],A53)/1000*E5*$C$5</f>
        <v>7.4885399999999977E-2</v>
      </c>
      <c r="K53" s="26">
        <f>SUMIFS(Table1[SumHD_TJ],Table1[Region],$K$51,Table1[Group],A53)/1000*E5*$C$5</f>
        <v>0.29080800000000001</v>
      </c>
      <c r="L53" s="26">
        <f>SUMIFS(Table1[SumHD_TJ],Table1[Region],$L$51,Table1[Group],A53)/1000*E5*$C$5</f>
        <v>0.33035399999999998</v>
      </c>
      <c r="M53" s="26">
        <f>SUMIFS(Table1[SumHD_TJ],Table1[Region],$M$51,Table1[Group],A53)/1000*E5*$C$5</f>
        <v>0.13314599999999999</v>
      </c>
      <c r="N53">
        <f>SUMIFS(Table1[SumHD_TJ],Table1[Region],$N$51,Table1[Group],A53)/1000*E5*$C$5</f>
        <v>9.0984599999999999E-2</v>
      </c>
      <c r="O53">
        <f>SUMIFS(Table1[SumHD_TJ],Table1[Region],$O$51,Table1[Group],A53)/1000*E5*$C$5</f>
        <v>0.23140799999999997</v>
      </c>
      <c r="P53">
        <f>SUMIFS(Table1[SumHD_TJ],Table1[Region],$P$51,Table1[Group],A53)/1000*E5*$C$5</f>
        <v>0.21192479999999997</v>
      </c>
      <c r="Q53">
        <f>SUMIFS(Table1[SumHD_TJ],Table1[Region],$Q$51,Table1[Group],A53)/1000*E5*$C$5</f>
        <v>0.17379360000000002</v>
      </c>
      <c r="R53">
        <f>SUMIFS(Table1[SumHD_TJ],Table1[Region],$R$51,Table1[Group],A53)/1000*E5*$C$5</f>
        <v>0.3018113999999999</v>
      </c>
      <c r="S53">
        <f>SUMIFS(Table1[SumHD_TJ],Table1[Region],$S$51,Table1[Group],A53)/1000*E5*$C$5</f>
        <v>0</v>
      </c>
      <c r="T53">
        <f>SUMIFS(Table1[SumHD_TJ],Table1[Region],$T$51,Table1[Group],A53)/1000*E5*$C$5</f>
        <v>9.5849999999999998E-3</v>
      </c>
      <c r="U53">
        <f>SUMIFS(Table1[SumHD_TJ],Table1[Region],$U$51,Table1[Group],A53)/1000*E5*$C$5</f>
        <v>0.2092068</v>
      </c>
      <c r="V53">
        <f>SUMIFS(Table1[SumHD_TJ],Table1[Region],$V$51,Table1[Group],A53)/1000*E5*$C$5</f>
        <v>5.7088799999999988E-2</v>
      </c>
      <c r="W53">
        <f>SUMIFS(Table1[SumHD_TJ],Table1[Region],$W$51,Table1[Group],A53)/1000*E5*$C$5</f>
        <v>5.7718799999999987E-2</v>
      </c>
      <c r="X53">
        <f>SUMIFS(Table1[SumHD_TJ],Table1[Region],$X$51,Table1[Group],A53)/1000*E5*$C$5</f>
        <v>3.8169000000000002E-2</v>
      </c>
      <c r="Y53">
        <f>SUMIFS(Table1[SumHD_TJ],Table1[Region],$Y$51,Table1[Group],A53)/1000*E5*$C$5</f>
        <v>0.10570499999999999</v>
      </c>
      <c r="Z53">
        <f>SUMIFS(Table1[SumHD_TJ],Table1[Region],$Z$51,Table1[Group],A53)/1000*E5*$C$5</f>
        <v>0.17494739999999998</v>
      </c>
      <c r="AA53">
        <f>SUMIFS(Table1[SumHD_TJ],Table1[Region],$AA$51,Table1[Group],A53)/1000*E5*$C$5</f>
        <v>0.13880699999999999</v>
      </c>
      <c r="AB53">
        <f>SUMIFS(Table1[SumHD_TJ],Table1[Region],$AB$51,Table1[Group],A53)/1000*E5*$C$5</f>
        <v>9.1502999999999987E-2</v>
      </c>
      <c r="AC53">
        <f>SUMIFS(Table1[SumHD_TJ],Table1[Region],$AC$51,Table1[Group],A53)/1000*E5*$C$5</f>
        <v>0.20878019999999997</v>
      </c>
      <c r="AD53">
        <f>SUMIFS(Table1[SumHD_TJ],Table1[Region],$AD$51,Table1[Group],A53)/1000*E5*$C$5</f>
        <v>4.3282799999999996E-2</v>
      </c>
      <c r="AE53" s="26">
        <f t="shared" ref="AE53:AE55" si="19">D53</f>
        <v>4.3295057999999988</v>
      </c>
    </row>
    <row r="54" spans="1:31">
      <c r="A54">
        <v>2</v>
      </c>
      <c r="C54" s="25" t="s">
        <v>467</v>
      </c>
      <c r="D54" s="26">
        <f>SUMIFS(Table1[SumHD_TJ],Table1[Group],A54)/1000*E5*$C$5</f>
        <v>1.8524537999999993</v>
      </c>
      <c r="E54" s="26">
        <f>SUMIFS(Table1[SumHD_TJ],Table1[Region],$E$51,Table1[Group],A54)/1000*E5*$C$5</f>
        <v>0.1009548</v>
      </c>
      <c r="F54" s="26">
        <f>SUMIFS(Table1[SumHD_TJ],Table1[Region],$F$51,Table1[Group],A54)/1000*E5*$C$5</f>
        <v>0.14079779999999997</v>
      </c>
      <c r="G54" s="26">
        <f>SUMIFS(Table1[SumHD_TJ],Table1[Region],$G$51,Table1[Group],A54)/1000*E5*$C$5</f>
        <v>0.1357884</v>
      </c>
      <c r="H54" s="26">
        <f>SUMIFS(Table1[SumHD_TJ],Table1[Region],$H$51,Table1[Group],A54)/1000*E5*$C$5</f>
        <v>2.5876799999999998E-2</v>
      </c>
      <c r="I54" s="26">
        <f>SUMIFS(Table1[SumHD_TJ],Table1[Region],$I$51,Table1[Group],A54)/1000*E5*$C$5</f>
        <v>7.4915999999999993E-3</v>
      </c>
      <c r="J54" s="26">
        <f>SUMIFS(Table1[SumHD_TJ],Table1[Region],$J$51,Table1[Group],A54)/1000*E5*$C$5</f>
        <v>1.4480999999999999E-2</v>
      </c>
      <c r="K54" s="26">
        <f>SUMIFS(Table1[SumHD_TJ],Table1[Region],$K$51,Table1[Group],A54)/1000*E5*$C$5</f>
        <v>1.1487599999999997E-2</v>
      </c>
      <c r="L54" s="26">
        <f>SUMIFS(Table1[SumHD_TJ],Table1[Region],$L$51,Table1[Group],A54)/1000*E5*$C$5</f>
        <v>0.25739459999999992</v>
      </c>
      <c r="M54" s="26">
        <f>SUMIFS(Table1[SumHD_TJ],Table1[Region],$M$51,Table1[Group],A54)/1000*E5*$C$5</f>
        <v>3.7459800000000001E-2</v>
      </c>
      <c r="N54">
        <f>SUMIFS(Table1[SumHD_TJ],Table1[Region],$N$51,Table1[Group],A54)/1000*E5*$C$5</f>
        <v>0</v>
      </c>
      <c r="O54">
        <f>SUMIFS(Table1[SumHD_TJ],Table1[Region],$O$51,Table1[Group],A54)/1000*E5*$C$5</f>
        <v>4.6652400000000004E-2</v>
      </c>
      <c r="P54">
        <f>SUMIFS(Table1[SumHD_TJ],Table1[Region],$P$51,Table1[Group],A54)/1000*E5*$C$5</f>
        <v>0.12045059999999999</v>
      </c>
      <c r="Q54">
        <f>SUMIFS(Table1[SumHD_TJ],Table1[Region],$Q$51,Table1[Group],A54)/1000*E5*$C$5</f>
        <v>2.1207599999999997E-2</v>
      </c>
      <c r="R54">
        <f>SUMIFS(Table1[SumHD_TJ],Table1[Region],$R$51,Table1[Group],A54)/1000*E5*$C$5</f>
        <v>0.20058839999999997</v>
      </c>
      <c r="S54">
        <f>SUMIFS(Table1[SumHD_TJ],Table1[Region],$S$51,Table1[Group],A54)/1000*E5*$C$5</f>
        <v>0.16214219999999999</v>
      </c>
      <c r="T54">
        <f>SUMIFS(Table1[SumHD_TJ],Table1[Region],$T$51,Table1[Group],A54)/1000*E5*$C$5</f>
        <v>9.4122000000000025E-2</v>
      </c>
      <c r="U54">
        <f>SUMIFS(Table1[SumHD_TJ],Table1[Region],$U$51,Table1[Group],A54)/1000*E5*$C$5</f>
        <v>4.7669400000000001E-2</v>
      </c>
      <c r="V54">
        <f>SUMIFS(Table1[SumHD_TJ],Table1[Region],$V$51,Table1[Group],A54)/1000*E5*$C$5</f>
        <v>5.5825199999999991E-2</v>
      </c>
      <c r="W54">
        <f>SUMIFS(Table1[SumHD_TJ],Table1[Region],$W$51,Table1[Group],A54)/1000*E5*$C$5</f>
        <v>0.11511539999999998</v>
      </c>
      <c r="X54">
        <f>SUMIFS(Table1[SumHD_TJ],Table1[Region],$X$51,Table1[Group],A54)/1000*E5*$C$5</f>
        <v>7.0595999999999992E-3</v>
      </c>
      <c r="Y54">
        <f>SUMIFS(Table1[SumHD_TJ],Table1[Region],$Y$51,Table1[Group],A54)/1000*E5*$C$5</f>
        <v>8.9171999999999987E-2</v>
      </c>
      <c r="Z54">
        <f>SUMIFS(Table1[SumHD_TJ],Table1[Region],$Z$51,Table1[Group],A54)/1000*E5*$C$5</f>
        <v>1.8107999999999999E-2</v>
      </c>
      <c r="AA54">
        <f>SUMIFS(Table1[SumHD_TJ],Table1[Region],$AA$51,Table1[Group],A54)/1000*E5*$C$5</f>
        <v>2.1868199999999994E-2</v>
      </c>
      <c r="AB54">
        <f>SUMIFS(Table1[SumHD_TJ],Table1[Region],$AB$51,Table1[Group],A54)/1000*E5*$C$5</f>
        <v>3.8185199999999996E-2</v>
      </c>
      <c r="AC54">
        <f>SUMIFS(Table1[SumHD_TJ],Table1[Region],$AC$51,Table1[Group],A54)/1000*E5*$C$5</f>
        <v>2.2303799999999999E-2</v>
      </c>
      <c r="AD54">
        <f>SUMIFS(Table1[SumHD_TJ],Table1[Region],$AD$51,Table1[Group],A54)/1000*E5*$C$5</f>
        <v>6.0251400000000004E-2</v>
      </c>
      <c r="AE54" s="26">
        <f t="shared" si="19"/>
        <v>1.8524537999999993</v>
      </c>
    </row>
    <row r="55" spans="1:31">
      <c r="A55">
        <v>3</v>
      </c>
      <c r="C55" s="25" t="s">
        <v>468</v>
      </c>
      <c r="D55" s="26">
        <f>SUMIFS(Table1[SumHD_TJ],Table1[Group],A55)/1000*E5*$C$5</f>
        <v>0.45653580000000005</v>
      </c>
      <c r="E55" s="26">
        <f>SUMIFS(Table1[SumHD_TJ],Table1[Region],$E$51,Table1[Group],A55)/1000*E5*$C$5</f>
        <v>1.3937399999999999E-2</v>
      </c>
      <c r="F55" s="26">
        <f>SUMIFS(Table1[SumHD_TJ],Table1[Region],$F$51,Table1[Group],A55)/1000*E5*$C$5</f>
        <v>2.2751999999999998E-3</v>
      </c>
      <c r="G55" s="26">
        <f>SUMIFS(Table1[SumHD_TJ],Table1[Region],$G$51,Table1[Group],A55)/1000*E5*$C$5</f>
        <v>1.8273600000000004E-2</v>
      </c>
      <c r="H55" s="26">
        <f>SUMIFS(Table1[SumHD_TJ],Table1[Region],$H$51,Table1[Group],A55)/1000*E5*$C$5</f>
        <v>9.3905999999999989E-3</v>
      </c>
      <c r="I55" s="26">
        <f>SUMIFS(Table1[SumHD_TJ],Table1[Region],$I$51,Table1[Group],A55)/1000*E5*$C$5</f>
        <v>1.2934799999999996E-2</v>
      </c>
      <c r="J55" s="26">
        <f>SUMIFS(Table1[SumHD_TJ],Table1[Region],$J$51,Table1[Group],A55)/1000*E5*$C$5</f>
        <v>4.3667999999999988E-3</v>
      </c>
      <c r="K55" s="26">
        <f>SUMIFS(Table1[SumHD_TJ],Table1[Region],$K$51,Table1[Group],A55)/1000*E5*$C$5</f>
        <v>1.7645399999999999E-2</v>
      </c>
      <c r="L55" s="26">
        <f>SUMIFS(Table1[SumHD_TJ],Table1[Region],$L$51,Table1[Group],A55)/1000*E5*$C$5</f>
        <v>6.1703999999999995E-3</v>
      </c>
      <c r="M55" s="26">
        <f>SUMIFS(Table1[SumHD_TJ],Table1[Region],$M$51,Table1[Group],A55)/1000*E5*$C$5</f>
        <v>1.3735799999999999E-2</v>
      </c>
      <c r="N55">
        <f>SUMIFS(Table1[SumHD_TJ],Table1[Region],$N$51,Table1[Group],A55)/1000*E5*$C$5</f>
        <v>6.1595999999999995E-3</v>
      </c>
      <c r="O55">
        <f>SUMIFS(Table1[SumHD_TJ],Table1[Region],$O$51,Table1[Group],A55)/1000*E5*$C$5</f>
        <v>2.2422599999999997E-2</v>
      </c>
      <c r="P55">
        <f>SUMIFS(Table1[SumHD_TJ],Table1[Region],$P$51,Table1[Group],A55)/1000*E5*$C$5</f>
        <v>2.5721999999999998E-2</v>
      </c>
      <c r="Q55">
        <f>SUMIFS(Table1[SumHD_TJ],Table1[Region],$Q$51,Table1[Group],A55)/1000*E5*$C$5</f>
        <v>1.6203599999999999E-2</v>
      </c>
      <c r="R55">
        <f>SUMIFS(Table1[SumHD_TJ],Table1[Region],$R$51,Table1[Group],A55)/1000*E5*$C$5</f>
        <v>5.0243400000000001E-2</v>
      </c>
      <c r="S55">
        <f>SUMIFS(Table1[SumHD_TJ],Table1[Region],$S$51,Table1[Group],A55)/1000*E5*$C$5</f>
        <v>3.2300999999999996E-2</v>
      </c>
      <c r="T55">
        <f>SUMIFS(Table1[SumHD_TJ],Table1[Region],$T$51,Table1[Group],A55)/1000*E5*$C$5</f>
        <v>3.9207599999999988E-2</v>
      </c>
      <c r="U55">
        <f>SUMIFS(Table1[SumHD_TJ],Table1[Region],$U$51,Table1[Group],A55)/1000*E5*$C$5</f>
        <v>7.9416E-3</v>
      </c>
      <c r="V55">
        <f>SUMIFS(Table1[SumHD_TJ],Table1[Region],$V$51,Table1[Group],A55)/1000*E5*$C$5</f>
        <v>1.3818599999999997E-2</v>
      </c>
      <c r="W55">
        <f>SUMIFS(Table1[SumHD_TJ],Table1[Region],$W$51,Table1[Group],A55)/1000*E5*$C$5</f>
        <v>2.1940199999999997E-2</v>
      </c>
      <c r="X55">
        <f>SUMIFS(Table1[SumHD_TJ],Table1[Region],$X$51,Table1[Group],A55)/1000*E5*$C$5</f>
        <v>1.0101599999999997E-2</v>
      </c>
      <c r="Y55">
        <f>SUMIFS(Table1[SumHD_TJ],Table1[Region],$Y$51,Table1[Group],A55)/1000*E5*$C$5</f>
        <v>1.8667799999999995E-2</v>
      </c>
      <c r="Z55">
        <f>SUMIFS(Table1[SumHD_TJ],Table1[Region],$Z$51,Table1[Group],A55)/1000*E5*$C$5</f>
        <v>8.3015999999999975E-3</v>
      </c>
      <c r="AA55">
        <f>SUMIFS(Table1[SumHD_TJ],Table1[Region],$AA$51,Table1[Group],A55)/1000*E5*$C$5</f>
        <v>1.7690399999999998E-2</v>
      </c>
      <c r="AB55">
        <f>SUMIFS(Table1[SumHD_TJ],Table1[Region],$AB$51,Table1[Group],A55)/1000*E5*$C$5</f>
        <v>8.6400000000000001E-3</v>
      </c>
      <c r="AC55">
        <f>SUMIFS(Table1[SumHD_TJ],Table1[Region],$AC$51,Table1[Group],A55)/1000*E5*$C$5</f>
        <v>5.1642E-2</v>
      </c>
      <c r="AD55">
        <f>SUMIFS(Table1[SumHD_TJ],Table1[Region],$AD$51,Table1[Group],A55)/1000*E5*$C$5</f>
        <v>6.8021999999999987E-3</v>
      </c>
      <c r="AE55" s="26">
        <f t="shared" si="19"/>
        <v>0.45653580000000005</v>
      </c>
    </row>
    <row r="56" spans="1:31">
      <c r="C56" s="25"/>
      <c r="D56" s="26"/>
      <c r="E56" s="26"/>
      <c r="F56" s="26"/>
      <c r="G56" s="26"/>
      <c r="H56" s="26"/>
      <c r="I56" s="26"/>
      <c r="J56" s="26"/>
      <c r="K56" s="26"/>
      <c r="L56" s="26"/>
      <c r="M56" s="26"/>
    </row>
    <row r="57" spans="1:31" ht="15">
      <c r="C57" s="23" t="s">
        <v>1166</v>
      </c>
    </row>
    <row r="58" spans="1:3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row>
    <row r="59" spans="1:31">
      <c r="A59">
        <v>0</v>
      </c>
      <c r="C59" s="25" t="s">
        <v>469</v>
      </c>
      <c r="D59" s="26">
        <f>SUMIFS(Table1[SumHD_TJ],Table1[Group],A59)/1000*E5*(1-$C$5)</f>
        <v>3.8265456000000011</v>
      </c>
      <c r="E59" s="26">
        <f>SUMIFS(Table1[SumHD_TJ],Table1[Region],$E$51,Table1[Group],A59)/1000*E5*(1-$C$5)</f>
        <v>0</v>
      </c>
      <c r="F59" s="26">
        <f>SUMIFS(Table1[SumHD_TJ],Table1[Region],$F$51,Table1[Group],A59)/1000*E5*(1-$C$5)</f>
        <v>2.5188288000000001</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0.55094520000000002</v>
      </c>
      <c r="S59">
        <f>SUMIFS(Table1[SumHD_TJ],Table1[Region],$S$51,Table1[Group],A59)/1000*E5*(1-$C$5)</f>
        <v>0</v>
      </c>
      <c r="T59">
        <f>SUMIFS(Table1[SumHD_TJ],Table1[Region],$T$51,Table1[Group],A59)/1000*E5*(1-$C$5)</f>
        <v>0.2804856</v>
      </c>
      <c r="U59">
        <f>SUMIFS(Table1[SumHD_TJ],Table1[Region],$U$51,Table1[Group],A59)/1000*E5*(1-$C$5)</f>
        <v>0</v>
      </c>
      <c r="V59">
        <f>SUMIFS(Table1[SumHD_TJ],Table1[Region],$V$51,Table1[Group],A59)/1000*E5*(1-$C$5)</f>
        <v>0.1663848</v>
      </c>
      <c r="W59">
        <f>SUMIFS(Table1[SumHD_TJ],Table1[Region],$W$51,Table1[Group],A59)/1000*E5*(1-$C$5)</f>
        <v>0.30990120000000004</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3.8265456000000011</v>
      </c>
    </row>
    <row r="60" spans="1:31">
      <c r="A60">
        <v>1</v>
      </c>
      <c r="C60" s="25" t="s">
        <v>470</v>
      </c>
      <c r="D60" s="26">
        <f>SUMIFS(Table1[SumHD_TJ],Table1[Group],A60)/1000*E5*(1-$C$5)</f>
        <v>2.8863371999999994</v>
      </c>
      <c r="E60" s="26">
        <f>SUMIFS(Table1[SumHD_TJ],Table1[Region],$E$51,Table1[Group],A60)/1000*E5*(1-$C$5)</f>
        <v>0</v>
      </c>
      <c r="F60" s="26">
        <f>SUMIFS(Table1[SumHD_TJ],Table1[Region],$F$51,Table1[Group],A60)/1000*E5*(1-$C$5)</f>
        <v>0.33712680000000006</v>
      </c>
      <c r="G60" s="26">
        <f>SUMIFS(Table1[SumHD_TJ],Table1[Region],$G$51,Table1[Group],A60)/1000*E5*(1-$C$5)</f>
        <v>0.32031120000000007</v>
      </c>
      <c r="H60" s="26">
        <f>SUMIFS(Table1[SumHD_TJ],Table1[Region],$H$51,Table1[Group],A60)/1000*E5*(1-$C$5)</f>
        <v>0.15714719999999999</v>
      </c>
      <c r="I60" s="26">
        <f>SUMIFS(Table1[SumHD_TJ],Table1[Region],$I$51,Table1[Group],A60)/1000*E5*(1-$C$5)</f>
        <v>8.9145599999999992E-2</v>
      </c>
      <c r="J60" s="26">
        <f>SUMIFS(Table1[SumHD_TJ],Table1[Region],$J$51,Table1[Group],A60)/1000*E5*(1-$C$5)</f>
        <v>4.9923599999999992E-2</v>
      </c>
      <c r="K60" s="26">
        <f>SUMIFS(Table1[SumHD_TJ],Table1[Region],$K$51,Table1[Group],A60)/1000*E5*(1-$C$5)</f>
        <v>0.19387200000000002</v>
      </c>
      <c r="L60" s="26">
        <f>SUMIFS(Table1[SumHD_TJ],Table1[Region],$L$51,Table1[Group],A60)/1000*E5*(1-$C$5)</f>
        <v>0.22023600000000002</v>
      </c>
      <c r="M60" s="26">
        <f>SUMIFS(Table1[SumHD_TJ],Table1[Region],$M$51,Table1[Group],A60)/1000*E5*(1-$C$5)</f>
        <v>8.876400000000001E-2</v>
      </c>
      <c r="N60">
        <f>SUMIFS(Table1[SumHD_TJ],Table1[Region],$N$51,Table1[Group],A60)/1000*E5*(1-$C$5)</f>
        <v>6.0656399999999999E-2</v>
      </c>
      <c r="O60">
        <f>SUMIFS(Table1[SumHD_TJ],Table1[Region],$O$51,Table1[Group],A60)/1000*E5*(1-$C$5)</f>
        <v>0.15427199999999999</v>
      </c>
      <c r="P60">
        <f>SUMIFS(Table1[SumHD_TJ],Table1[Region],$P$51,Table1[Group],A60)/1000*E5*(1-$C$5)</f>
        <v>0.1412832</v>
      </c>
      <c r="Q60">
        <f>SUMIFS(Table1[SumHD_TJ],Table1[Region],$Q$51,Table1[Group],A60)/1000*E5*(1-$C$5)</f>
        <v>0.11586240000000002</v>
      </c>
      <c r="R60">
        <f>SUMIFS(Table1[SumHD_TJ],Table1[Region],$R$51,Table1[Group],A60)/1000*E5*(1-$C$5)</f>
        <v>0.20120759999999996</v>
      </c>
      <c r="S60">
        <f>SUMIFS(Table1[SumHD_TJ],Table1[Region],$S$51,Table1[Group],A60)/1000*E5*(1-$C$5)</f>
        <v>0</v>
      </c>
      <c r="T60">
        <f>SUMIFS(Table1[SumHD_TJ],Table1[Region],$T$51,Table1[Group],A60)/1000*E5*(1-$C$5)</f>
        <v>6.3899999999999998E-3</v>
      </c>
      <c r="U60">
        <f>SUMIFS(Table1[SumHD_TJ],Table1[Region],$U$51,Table1[Group],A60)/1000*E5*(1-$C$5)</f>
        <v>0.13947119999999999</v>
      </c>
      <c r="V60">
        <f>SUMIFS(Table1[SumHD_TJ],Table1[Region],$V$51,Table1[Group],A60)/1000*E5*(1-$C$5)</f>
        <v>3.8059199999999994E-2</v>
      </c>
      <c r="W60">
        <f>SUMIFS(Table1[SumHD_TJ],Table1[Region],$W$51,Table1[Group],A60)/1000*E5*(1-$C$5)</f>
        <v>3.8479199999999991E-2</v>
      </c>
      <c r="X60">
        <f>SUMIFS(Table1[SumHD_TJ],Table1[Region],$X$51,Table1[Group],A60)/1000*E5*(1-$C$5)</f>
        <v>2.5446000000000003E-2</v>
      </c>
      <c r="Y60">
        <f>SUMIFS(Table1[SumHD_TJ],Table1[Region],$Y$51,Table1[Group],A60)/1000*E5*(1-$C$5)</f>
        <v>7.0470000000000005E-2</v>
      </c>
      <c r="Z60">
        <f>SUMIFS(Table1[SumHD_TJ],Table1[Region],$Z$51,Table1[Group],A60)/1000*E5*(1-$C$5)</f>
        <v>0.1166316</v>
      </c>
      <c r="AA60">
        <f>SUMIFS(Table1[SumHD_TJ],Table1[Region],$AA$51,Table1[Group],A60)/1000*E5*(1-$C$5)</f>
        <v>9.2538000000000009E-2</v>
      </c>
      <c r="AB60">
        <f>SUMIFS(Table1[SumHD_TJ],Table1[Region],$AB$51,Table1[Group],A60)/1000*E5*(1-$C$5)</f>
        <v>6.1001999999999994E-2</v>
      </c>
      <c r="AC60">
        <f>SUMIFS(Table1[SumHD_TJ],Table1[Region],$AC$51,Table1[Group],A60)/1000*E5*(1-$C$5)</f>
        <v>0.1391868</v>
      </c>
      <c r="AD60">
        <f>SUMIFS(Table1[SumHD_TJ],Table1[Region],$AD$51,Table1[Group],A60)/1000*E5*(1-$C$5)</f>
        <v>2.8855199999999998E-2</v>
      </c>
      <c r="AE60" s="26">
        <f t="shared" ref="AE60:AE62" si="20">D60</f>
        <v>2.8863371999999994</v>
      </c>
    </row>
    <row r="61" spans="1:31">
      <c r="A61">
        <v>2</v>
      </c>
      <c r="C61" s="25" t="s">
        <v>471</v>
      </c>
      <c r="D61" s="26">
        <f>SUMIFS(Table1[SumHD_TJ],Table1[Group],A61)/1000*E5*(1-$C$5)</f>
        <v>1.2349691999999997</v>
      </c>
      <c r="E61" s="26">
        <f>SUMIFS(Table1[SumHD_TJ],Table1[Region],$E$51,Table1[Group],A61)/1000*E5*(1-$C$5)</f>
        <v>6.7303199999999994E-2</v>
      </c>
      <c r="F61" s="26">
        <f>SUMIFS(Table1[SumHD_TJ],Table1[Region],$F$51,Table1[Group],A61)/1000*E5*(1-$C$5)</f>
        <v>9.3865199999999996E-2</v>
      </c>
      <c r="G61" s="26">
        <f>SUMIFS(Table1[SumHD_TJ],Table1[Region],$G$51,Table1[Group],A61)/1000*E5*(1-$C$5)</f>
        <v>9.0525600000000012E-2</v>
      </c>
      <c r="H61" s="26">
        <f>SUMIFS(Table1[SumHD_TJ],Table1[Region],$H$51,Table1[Group],A61)/1000*E5*(1-$C$5)</f>
        <v>1.7251200000000001E-2</v>
      </c>
      <c r="I61" s="26">
        <f>SUMIFS(Table1[SumHD_TJ],Table1[Region],$I$51,Table1[Group],A61)/1000*E5*(1-$C$5)</f>
        <v>4.9943999999999995E-3</v>
      </c>
      <c r="J61" s="26">
        <f>SUMIFS(Table1[SumHD_TJ],Table1[Region],$J$51,Table1[Group],A61)/1000*E5*(1-$C$5)</f>
        <v>9.6540000000000011E-3</v>
      </c>
      <c r="K61" s="26">
        <f>SUMIFS(Table1[SumHD_TJ],Table1[Region],$K$51,Table1[Group],A61)/1000*E5*(1-$C$5)</f>
        <v>7.6583999999999992E-3</v>
      </c>
      <c r="L61" s="26">
        <f>SUMIFS(Table1[SumHD_TJ],Table1[Region],$L$51,Table1[Group],A61)/1000*E5*(1-$C$5)</f>
        <v>0.17159639999999998</v>
      </c>
      <c r="M61" s="26">
        <f>SUMIFS(Table1[SumHD_TJ],Table1[Region],$M$51,Table1[Group],A61)/1000*E5*(1-$C$5)</f>
        <v>2.4973200000000001E-2</v>
      </c>
      <c r="N61">
        <f>SUMIFS(Table1[SumHD_TJ],Table1[Region],$N$51,Table1[Group],A61)/1000*E5*(1-$C$5)</f>
        <v>0</v>
      </c>
      <c r="O61">
        <f>SUMIFS(Table1[SumHD_TJ],Table1[Region],$O$51,Table1[Group],A61)/1000*E5*(1-$C$5)</f>
        <v>3.1101600000000004E-2</v>
      </c>
      <c r="P61">
        <f>SUMIFS(Table1[SumHD_TJ],Table1[Region],$P$51,Table1[Group],A61)/1000*E5*(1-$C$5)</f>
        <v>8.0300399999999994E-2</v>
      </c>
      <c r="Q61">
        <f>SUMIFS(Table1[SumHD_TJ],Table1[Region],$Q$51,Table1[Group],A61)/1000*E5*(1-$C$5)</f>
        <v>1.4138399999999999E-2</v>
      </c>
      <c r="R61">
        <f>SUMIFS(Table1[SumHD_TJ],Table1[Region],$R$51,Table1[Group],A61)/1000*E5*(1-$C$5)</f>
        <v>0.13372559999999997</v>
      </c>
      <c r="S61">
        <f>SUMIFS(Table1[SumHD_TJ],Table1[Region],$S$51,Table1[Group],A61)/1000*E5*(1-$C$5)</f>
        <v>0.1080948</v>
      </c>
      <c r="T61">
        <f>SUMIFS(Table1[SumHD_TJ],Table1[Region],$T$51,Table1[Group],A61)/1000*E5*(1-$C$5)</f>
        <v>6.2748000000000012E-2</v>
      </c>
      <c r="U61">
        <f>SUMIFS(Table1[SumHD_TJ],Table1[Region],$U$51,Table1[Group],A61)/1000*E5*(1-$C$5)</f>
        <v>3.1779600000000005E-2</v>
      </c>
      <c r="V61">
        <f>SUMIFS(Table1[SumHD_TJ],Table1[Region],$V$51,Table1[Group],A61)/1000*E5*(1-$C$5)</f>
        <v>3.7216799999999994E-2</v>
      </c>
      <c r="W61">
        <f>SUMIFS(Table1[SumHD_TJ],Table1[Region],$W$51,Table1[Group],A61)/1000*E5*(1-$C$5)</f>
        <v>7.6743599999999995E-2</v>
      </c>
      <c r="X61">
        <f>SUMIFS(Table1[SumHD_TJ],Table1[Region],$X$51,Table1[Group],A61)/1000*E5*(1-$C$5)</f>
        <v>4.7063999999999995E-3</v>
      </c>
      <c r="Y61">
        <f>SUMIFS(Table1[SumHD_TJ],Table1[Region],$Y$51,Table1[Group],A61)/1000*E5*(1-$C$5)</f>
        <v>5.9447999999999994E-2</v>
      </c>
      <c r="Z61">
        <f>SUMIFS(Table1[SumHD_TJ],Table1[Region],$Z$51,Table1[Group],A61)/1000*E5*(1-$C$5)</f>
        <v>1.2072000000000001E-2</v>
      </c>
      <c r="AA61">
        <f>SUMIFS(Table1[SumHD_TJ],Table1[Region],$AA$51,Table1[Group],A61)/1000*E5*(1-$C$5)</f>
        <v>1.4578799999999998E-2</v>
      </c>
      <c r="AB61">
        <f>SUMIFS(Table1[SumHD_TJ],Table1[Region],$AB$51,Table1[Group],A61)/1000*E5*(1-$C$5)</f>
        <v>2.5456799999999998E-2</v>
      </c>
      <c r="AC61">
        <f>SUMIFS(Table1[SumHD_TJ],Table1[Region],$AC$51,Table1[Group],A61)/1000*E5*(1-$C$5)</f>
        <v>1.4869199999999999E-2</v>
      </c>
      <c r="AD61">
        <f>SUMIFS(Table1[SumHD_TJ],Table1[Region],$AD$51,Table1[Group],A61)/1000*E5*(1-$C$5)</f>
        <v>4.0167600000000005E-2</v>
      </c>
      <c r="AE61" s="26">
        <f t="shared" si="20"/>
        <v>1.2349691999999997</v>
      </c>
    </row>
    <row r="62" spans="1:31">
      <c r="A62">
        <v>3</v>
      </c>
      <c r="C62" s="25" t="s">
        <v>472</v>
      </c>
      <c r="D62" s="26">
        <f>SUMIFS(Table1[SumHD_TJ],Table1[Group],A62)/1000*E5*(1-$C$5)</f>
        <v>0.30435720000000011</v>
      </c>
      <c r="E62" s="26">
        <f>SUMIFS(Table1[SumHD_TJ],Table1[Region],$E$51,Table1[Group],A62)/1000*E5*(1-$C$5)</f>
        <v>9.2916000000000006E-3</v>
      </c>
      <c r="F62" s="26">
        <f>SUMIFS(Table1[SumHD_TJ],Table1[Region],$F$51,Table1[Group],A62)/1000*E5*(1-$C$5)</f>
        <v>1.5168E-3</v>
      </c>
      <c r="G62" s="26">
        <f>SUMIFS(Table1[SumHD_TJ],Table1[Region],$G$51,Table1[Group],A62)/1000*E5*(1-$C$5)</f>
        <v>1.2182400000000003E-2</v>
      </c>
      <c r="H62" s="26">
        <f>SUMIFS(Table1[SumHD_TJ],Table1[Region],$H$51,Table1[Group],A62)/1000*E5*(1-$C$5)</f>
        <v>6.2603999999999993E-3</v>
      </c>
      <c r="I62" s="26">
        <f>SUMIFS(Table1[SumHD_TJ],Table1[Region],$I$51,Table1[Group],A62)/1000*E5*(1-$C$5)</f>
        <v>8.6231999999999975E-3</v>
      </c>
      <c r="J62" s="26">
        <f>SUMIFS(Table1[SumHD_TJ],Table1[Region],$J$51,Table1[Group],A62)/1000*E5*(1-$C$5)</f>
        <v>2.9111999999999996E-3</v>
      </c>
      <c r="K62" s="26">
        <f>SUMIFS(Table1[SumHD_TJ],Table1[Region],$K$51,Table1[Group],A62)/1000*E5*(1-$C$5)</f>
        <v>1.1763599999999999E-2</v>
      </c>
      <c r="L62" s="26">
        <f>SUMIFS(Table1[SumHD_TJ],Table1[Region],$L$51,Table1[Group],A62)/1000*E5*(1-$C$5)</f>
        <v>4.1136000000000002E-3</v>
      </c>
      <c r="M62" s="26">
        <f>SUMIFS(Table1[SumHD_TJ],Table1[Region],$M$51,Table1[Group],A62)/1000*E5*(1-$C$5)</f>
        <v>9.1572000000000008E-3</v>
      </c>
      <c r="N62">
        <f>SUMIFS(Table1[SumHD_TJ],Table1[Region],$N$51,Table1[Group],A62)/1000*E5*(1-$C$5)</f>
        <v>4.1063999999999996E-3</v>
      </c>
      <c r="O62">
        <f>SUMIFS(Table1[SumHD_TJ],Table1[Region],$O$51,Table1[Group],A62)/1000*E5*(1-$C$5)</f>
        <v>1.4948399999999999E-2</v>
      </c>
      <c r="P62">
        <f>SUMIFS(Table1[SumHD_TJ],Table1[Region],$P$51,Table1[Group],A62)/1000*E5*(1-$C$5)</f>
        <v>1.7148E-2</v>
      </c>
      <c r="Q62">
        <f>SUMIFS(Table1[SumHD_TJ],Table1[Region],$Q$51,Table1[Group],A62)/1000*E5*(1-$C$5)</f>
        <v>1.08024E-2</v>
      </c>
      <c r="R62">
        <f>SUMIFS(Table1[SumHD_TJ],Table1[Region],$R$51,Table1[Group],A62)/1000*E5*(1-$C$5)</f>
        <v>3.3495600000000007E-2</v>
      </c>
      <c r="S62">
        <f>SUMIFS(Table1[SumHD_TJ],Table1[Region],$S$51,Table1[Group],A62)/1000*E5*(1-$C$5)</f>
        <v>2.1534000000000001E-2</v>
      </c>
      <c r="T62">
        <f>SUMIFS(Table1[SumHD_TJ],Table1[Region],$T$51,Table1[Group],A62)/1000*E5*(1-$C$5)</f>
        <v>2.6138399999999996E-2</v>
      </c>
      <c r="U62">
        <f>SUMIFS(Table1[SumHD_TJ],Table1[Region],$U$51,Table1[Group],A62)/1000*E5*(1-$C$5)</f>
        <v>5.2944000000000012E-3</v>
      </c>
      <c r="V62">
        <f>SUMIFS(Table1[SumHD_TJ],Table1[Region],$V$51,Table1[Group],A62)/1000*E5*(1-$C$5)</f>
        <v>9.2123999999999991E-3</v>
      </c>
      <c r="W62">
        <f>SUMIFS(Table1[SumHD_TJ],Table1[Region],$W$51,Table1[Group],A62)/1000*E5*(1-$C$5)</f>
        <v>1.4626799999999999E-2</v>
      </c>
      <c r="X62">
        <f>SUMIFS(Table1[SumHD_TJ],Table1[Region],$X$51,Table1[Group],A62)/1000*E5*(1-$C$5)</f>
        <v>6.7343999999999989E-3</v>
      </c>
      <c r="Y62">
        <f>SUMIFS(Table1[SumHD_TJ],Table1[Region],$Y$51,Table1[Group],A62)/1000*E5*(1-$C$5)</f>
        <v>1.2445199999999998E-2</v>
      </c>
      <c r="Z62">
        <f>SUMIFS(Table1[SumHD_TJ],Table1[Region],$Z$51,Table1[Group],A62)/1000*E5*(1-$C$5)</f>
        <v>5.5343999999999992E-3</v>
      </c>
      <c r="AA62">
        <f>SUMIFS(Table1[SumHD_TJ],Table1[Region],$AA$51,Table1[Group],A62)/1000*E5*(1-$C$5)</f>
        <v>1.1793600000000001E-2</v>
      </c>
      <c r="AB62">
        <f>SUMIFS(Table1[SumHD_TJ],Table1[Region],$AB$51,Table1[Group],A62)/1000*E5*(1-$C$5)</f>
        <v>5.7600000000000004E-3</v>
      </c>
      <c r="AC62">
        <f>SUMIFS(Table1[SumHD_TJ],Table1[Region],$AC$51,Table1[Group],A62)/1000*E5*(1-$C$5)</f>
        <v>3.4428000000000007E-2</v>
      </c>
      <c r="AD62">
        <f>SUMIFS(Table1[SumHD_TJ],Table1[Region],$AD$51,Table1[Group],A62)/1000*E5*(1-$C$5)</f>
        <v>4.5347999999999994E-3</v>
      </c>
      <c r="AE62" s="26">
        <f t="shared" si="20"/>
        <v>0.30435720000000011</v>
      </c>
    </row>
    <row r="64" spans="1:3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IFERROR(SUMPRODUCT((Table1[Group]=A66)*(Table1[Avg_DCCH_30percDH])*(Table1[SumHD_TJ]/((G5)))),0)</f>
        <v>2.3738511759909682</v>
      </c>
      <c r="E66" s="26" cm="1">
        <f t="array" ref="E66">IFERROR(SUMPRODUCT((Table1[Region]=E$65)*(Table1[Group]=$A66)*(Table1[Avg_DCCH_30percDH])*(Table1[SumHD_TJ]/((E52+E59)*1000))),0)</f>
        <v>0</v>
      </c>
      <c r="F66" s="26" cm="1">
        <f t="array" ref="F66">IFERROR(SUMPRODUCT((Table1[Region]=F$65)*(Table1[Group]=$A66)*(Table1[Avg_DCCH_30percDH])*(Table1[SumHD_TJ]/((F52+F59)*1000))),0)</f>
        <v>8.1000000000000014</v>
      </c>
      <c r="G66" s="26" cm="1">
        <f t="array" ref="G66">IFERROR(SUMPRODUCT((Table1[Region]=G$65)*(Table1[Group]=$A66)*(Table1[Avg_DCCH_30percDH])*(Table1[SumHD_TJ]/((G52+G59)*1000))),0)</f>
        <v>0</v>
      </c>
      <c r="H66" s="26" cm="1">
        <f t="array" ref="H66">IFERROR(SUMPRODUCT((Table1[Region]=H$65)*(Table1[Group]=$A66)*(Table1[Avg_DCCH_30percDH])*(Table1[SumHD_TJ]/((H52+H59)*1000))),0)</f>
        <v>0</v>
      </c>
      <c r="I66" s="26" cm="1">
        <f t="array" ref="I66">IFERROR(SUMPRODUCT((Table1[Region]=I$65)*(Table1[Group]=$A66)*(Table1[Avg_DCCH_30percDH])*(Table1[SumHD_TJ]/((I52+I59)*1000))),0)</f>
        <v>0</v>
      </c>
      <c r="J66" s="26" cm="1">
        <f t="array" ref="J66">IFERROR(SUMPRODUCT((Table1[Region]=J$65)*(Table1[Group]=$A66)*(Table1[Avg_DCCH_30percDH])*(Table1[SumHD_TJ]/((J52+J59)*1000))),0)</f>
        <v>0</v>
      </c>
      <c r="K66" s="26" cm="1">
        <f t="array" ref="K66">IFERROR(SUMPRODUCT((Table1[Region]=K$65)*(Table1[Group]=$A66)*(Table1[Avg_DCCH_30percDH])*(Table1[SumHD_TJ]/((K52+K59)*1000))),0)</f>
        <v>0</v>
      </c>
      <c r="L66" s="26" cm="1">
        <f t="array" ref="L66">IFERROR(SUMPRODUCT((Table1[Region]=L$65)*(Table1[Group]=$A66)*(Table1[Avg_DCCH_30percDH])*(Table1[SumHD_TJ]/((L52+L59)*1000))),0)</f>
        <v>0</v>
      </c>
      <c r="M66" s="26" cm="1">
        <f t="array" ref="M66">IFERROR(SUMPRODUCT((Table1[Region]=M$65)*(Table1[Group]=$A66)*(Table1[Avg_DCCH_30percDH])*(Table1[SumHD_TJ]/((M52+M59)*1000))),0)</f>
        <v>0</v>
      </c>
      <c r="N66" s="26" cm="1">
        <f t="array" ref="N66">IFERROR(SUMPRODUCT((Table1[Region]=N$65)*(Table1[Group]=$A66)*(Table1[Avg_DCCH_30percDH])*(Table1[SumHD_TJ]/((N52+N59)*1000))),0)</f>
        <v>0</v>
      </c>
      <c r="O66" s="26" cm="1">
        <f t="array" ref="O66">IFERROR(SUMPRODUCT((Table1[Region]=O$65)*(Table1[Group]=$A66)*(Table1[Avg_DCCH_30percDH])*(Table1[SumHD_TJ]/((O52+O59)*1000))),0)</f>
        <v>0</v>
      </c>
      <c r="P66" s="26" cm="1">
        <f t="array" ref="P66">IFERROR(SUMPRODUCT((Table1[Region]=P$65)*(Table1[Group]=$A66)*(Table1[Avg_DCCH_30percDH])*(Table1[SumHD_TJ]/((P52+P59)*1000))),0)</f>
        <v>0</v>
      </c>
      <c r="Q66" s="26" cm="1">
        <f t="array" ref="Q66">IFERROR(SUMPRODUCT((Table1[Region]=Q$65)*(Table1[Group]=$A66)*(Table1[Avg_DCCH_30percDH])*(Table1[SumHD_TJ]/((Q52+Q59)*1000))),0)</f>
        <v>0</v>
      </c>
      <c r="R66" s="26" cm="1">
        <f t="array" ref="R66">IFERROR(SUMPRODUCT((Table1[Region]=R$65)*(Table1[Group]=$A66)*(Table1[Avg_DCCH_30percDH])*(Table1[SumHD_TJ]/((R52+R59)*1000))),0)</f>
        <v>7.4666666666666668</v>
      </c>
      <c r="S66" s="26" cm="1">
        <f t="array" ref="S66">IFERROR(SUMPRODUCT((Table1[Region]=S$65)*(Table1[Group]=$A66)*(Table1[Avg_DCCH_30percDH])*(Table1[SumHD_TJ]/((S52+S59)*1000))),0)</f>
        <v>0</v>
      </c>
      <c r="T66" s="26" cm="1">
        <f t="array" ref="T66">IFERROR(SUMPRODUCT((Table1[Region]=T$65)*(Table1[Group]=$A66)*(Table1[Avg_DCCH_30percDH])*(Table1[SumHD_TJ]/((T52+T59)*1000))),0)</f>
        <v>8.4999999999999982</v>
      </c>
      <c r="U66" s="26" cm="1">
        <f t="array" ref="U66">IFERROR(SUMPRODUCT((Table1[Region]=U$65)*(Table1[Group]=$A66)*(Table1[Avg_DCCH_30percDH])*(Table1[SumHD_TJ]/((U52+U59)*1000))),0)</f>
        <v>0</v>
      </c>
      <c r="V66" s="26" cm="1">
        <f t="array" ref="V66">IFERROR(SUMPRODUCT((Table1[Region]=V$65)*(Table1[Group]=$A66)*(Table1[Avg_DCCH_30percDH])*(Table1[SumHD_TJ]/((V52+V59)*1000))),0)</f>
        <v>6.8333333333333339</v>
      </c>
      <c r="W66" s="26" cm="1">
        <f t="array" ref="W66">IFERROR(SUMPRODUCT((Table1[Region]=W$65)*(Table1[Group]=$A66)*(Table1[Avg_DCCH_30percDH])*(Table1[SumHD_TJ]/((W52+W59)*1000))),0)</f>
        <v>7.2333333333333334</v>
      </c>
      <c r="X66" s="26" cm="1">
        <f t="array" ref="X66">IFERROR(SUMPRODUCT((Table1[Region]=X$65)*(Table1[Group]=$A66)*(Table1[Avg_DCCH_30percDH])*(Table1[SumHD_TJ]/((X52+X59)*1000))),0)</f>
        <v>0</v>
      </c>
      <c r="Y66" s="26" cm="1">
        <f t="array" ref="Y66">IFERROR(SUMPRODUCT((Table1[Region]=Y$65)*(Table1[Group]=$A66)*(Table1[Avg_DCCH_30percDH])*(Table1[SumHD_TJ]/((Y52+Y59)*1000))),0)</f>
        <v>0</v>
      </c>
      <c r="Z66" s="26" cm="1">
        <f t="array" ref="Z66">IFERROR(SUMPRODUCT((Table1[Region]=Z$65)*(Table1[Group]=$A66)*(Table1[Avg_DCCH_30percDH])*(Table1[SumHD_TJ]/((Z52+Z59)*1000))),0)</f>
        <v>0</v>
      </c>
      <c r="AA66" s="26" cm="1">
        <f t="array" ref="AA66">IFERROR(SUMPRODUCT((Table1[Region]=AA$65)*(Table1[Group]=$A66)*(Table1[Avg_DCCH_30percDH])*(Table1[SumHD_TJ]/((AA52+AA59)*1000))),0)</f>
        <v>0</v>
      </c>
      <c r="AB66" s="26" cm="1">
        <f t="array" ref="AB66">IFERROR(SUMPRODUCT((Table1[Region]=AB$65)*(Table1[Group]=$A66)*(Table1[Avg_DCCH_30percDH])*(Table1[SumHD_TJ]/((AB52+AB59)*1000))),0)</f>
        <v>0</v>
      </c>
      <c r="AC66" s="26" cm="1">
        <f t="array" ref="AC66">IFERROR(SUMPRODUCT((Table1[Region]=AC$65)*(Table1[Group]=$A66)*(Table1[Avg_DCCH_30percDH])*(Table1[SumHD_TJ]/((AC52+AC59)*1000))),0)</f>
        <v>0</v>
      </c>
      <c r="AD66" s="26" cm="1">
        <f t="array" ref="AD66">IFERROR(SUMPRODUCT((Table1[Region]=AD$65)*(Table1[Group]=$A66)*(Table1[Avg_DCCH_30percDH])*(Table1[SumHD_TJ]/((AD52+AD59)*1000))),0)</f>
        <v>0</v>
      </c>
      <c r="AE66" s="26">
        <f>D66</f>
        <v>2.3738511759909682</v>
      </c>
    </row>
    <row r="67" spans="1:31">
      <c r="A67">
        <v>1</v>
      </c>
      <c r="C67" s="25" t="s">
        <v>466</v>
      </c>
      <c r="D67" s="26" cm="1">
        <f t="array" ref="D67">IFERROR(SUMPRODUCT((Table1[Group]=A67)*(Table1[Avg_DCCH_30percDH])*(Table1[SumHD_TJ]/((H5)))),0)</f>
        <v>2.5363325156945078</v>
      </c>
      <c r="E67" s="26" cm="1">
        <f t="array" ref="E67">IFERROR(SUMPRODUCT((Table1[Region]=E$65)*(Table1[Group]=$A67)*(Table1[Avg_DCCH_30percDH])*(Table1[SumHD_TJ]/((E53+E60)*1000))),0)</f>
        <v>0</v>
      </c>
      <c r="F67" s="26" cm="1">
        <f t="array" ref="F67">IFERROR(SUMPRODUCT((Table1[Region]=F$65)*(Table1[Group]=$A67)*(Table1[Avg_DCCH_30percDH])*(Table1[SumHD_TJ]/((F53+F60)*1000))),0)</f>
        <v>12.280096153732067</v>
      </c>
      <c r="G67" s="26" cm="1">
        <f t="array" ref="G67">IFERROR(SUMPRODUCT((Table1[Region]=G$65)*(Table1[Group]=$A67)*(Table1[Avg_DCCH_30percDH])*(Table1[SumHD_TJ]/((G53+G60)*1000))),0)</f>
        <v>6.1326447529777282</v>
      </c>
      <c r="H67" s="26" cm="1">
        <f t="array" ref="H67">IFERROR(SUMPRODUCT((Table1[Region]=H$65)*(Table1[Group]=$A67)*(Table1[Avg_DCCH_30percDH])*(Table1[SumHD_TJ]/((H53+H60)*1000))),0)</f>
        <v>6.7142622967510723</v>
      </c>
      <c r="I67" s="26" cm="1">
        <f t="array" ref="I67">IFERROR(SUMPRODUCT((Table1[Region]=I$65)*(Table1[Group]=$A67)*(Table1[Avg_DCCH_30percDH])*(Table1[SumHD_TJ]/((I53+I60)*1000))),0)</f>
        <v>7.7241223346973946</v>
      </c>
      <c r="J67" s="26" cm="1">
        <f t="array" ref="J67">IFERROR(SUMPRODUCT((Table1[Region]=J$65)*(Table1[Group]=$A67)*(Table1[Avg_DCCH_30percDH])*(Table1[SumHD_TJ]/((J53+J60)*1000))),0)</f>
        <v>9.2443501670552628</v>
      </c>
      <c r="K67" s="26" cm="1">
        <f t="array" ref="K67">IFERROR(SUMPRODUCT((Table1[Region]=K$65)*(Table1[Group]=$A67)*(Table1[Avg_DCCH_30percDH])*(Table1[SumHD_TJ]/((K53+K60)*1000))),0)</f>
        <v>6.6052636791284982</v>
      </c>
      <c r="L67" s="26" cm="1">
        <f t="array" ref="L67">IFERROR(SUMPRODUCT((Table1[Region]=L$65)*(Table1[Group]=$A67)*(Table1[Avg_DCCH_30percDH])*(Table1[SumHD_TJ]/((L53+L60)*1000))),0)</f>
        <v>6.5096389327811979</v>
      </c>
      <c r="M67" s="26" cm="1">
        <f t="array" ref="M67">IFERROR(SUMPRODUCT((Table1[Region]=M$65)*(Table1[Group]=$A67)*(Table1[Avg_DCCH_30percDH])*(Table1[SumHD_TJ]/((M53+M60)*1000))),0)</f>
        <v>8.0827335406245773</v>
      </c>
      <c r="N67" s="26" cm="1">
        <f t="array" ref="N67">IFERROR(SUMPRODUCT((Table1[Region]=N$65)*(Table1[Group]=$A67)*(Table1[Avg_DCCH_30percDH])*(Table1[SumHD_TJ]/((N53+N60)*1000))),0)</f>
        <v>7.8076601974400068</v>
      </c>
      <c r="O67" s="26" cm="1">
        <f t="array" ref="O67">IFERROR(SUMPRODUCT((Table1[Region]=O$65)*(Table1[Group]=$A67)*(Table1[Avg_DCCH_30percDH])*(Table1[SumHD_TJ]/((O53+O60)*1000))),0)</f>
        <v>8.8466290707322148</v>
      </c>
      <c r="P67" s="26" cm="1">
        <f t="array" ref="P67">IFERROR(SUMPRODUCT((Table1[Region]=P$65)*(Table1[Group]=$A67)*(Table1[Avg_DCCH_30percDH])*(Table1[SumHD_TJ]/((P53+P60)*1000))),0)</f>
        <v>8.1076147765622544</v>
      </c>
      <c r="Q67" s="26" cm="1">
        <f t="array" ref="Q67">IFERROR(SUMPRODUCT((Table1[Region]=Q$65)*(Table1[Group]=$A67)*(Table1[Avg_DCCH_30percDH])*(Table1[SumHD_TJ]/((Q53+Q60)*1000))),0)</f>
        <v>12.342606747314054</v>
      </c>
      <c r="R67" s="26" cm="1">
        <f t="array" ref="R67">IFERROR(SUMPRODUCT((Table1[Region]=R$65)*(Table1[Group]=$A67)*(Table1[Avg_DCCH_30percDH])*(Table1[SumHD_TJ]/((R53+R60)*1000))),0)</f>
        <v>8.1822279078921483</v>
      </c>
      <c r="S67" s="26" cm="1">
        <f t="array" ref="S67">IFERROR(SUMPRODUCT((Table1[Region]=S$65)*(Table1[Group]=$A67)*(Table1[Avg_DCCH_30percDH])*(Table1[SumHD_TJ]/((S53+S60)*1000))),0)</f>
        <v>0</v>
      </c>
      <c r="T67" s="26" cm="1">
        <f t="array" ref="T67">IFERROR(SUMPRODUCT((Table1[Region]=T$65)*(Table1[Group]=$A67)*(Table1[Avg_DCCH_30percDH])*(Table1[SumHD_TJ]/((T53+T60)*1000))),0)</f>
        <v>0</v>
      </c>
      <c r="U67" s="26" cm="1">
        <f t="array" ref="U67">IFERROR(SUMPRODUCT((Table1[Region]=U$65)*(Table1[Group]=$A67)*(Table1[Avg_DCCH_30percDH])*(Table1[SumHD_TJ]/((U53+U60)*1000))),0)</f>
        <v>11.44443555372005</v>
      </c>
      <c r="V67" s="26" cm="1">
        <f t="array" ref="V67">IFERROR(SUMPRODUCT((Table1[Region]=V$65)*(Table1[Group]=$A67)*(Table1[Avg_DCCH_30percDH])*(Table1[SumHD_TJ]/((V53+V60)*1000))),0)</f>
        <v>8.8117448606381643</v>
      </c>
      <c r="W67" s="26" cm="1">
        <f t="array" ref="W67">IFERROR(SUMPRODUCT((Table1[Region]=W$65)*(Table1[Group]=$A67)*(Table1[Avg_DCCH_30percDH])*(Table1[SumHD_TJ]/((W53+W60)*1000))),0)</f>
        <v>9.7120439094367885</v>
      </c>
      <c r="X67" s="26" cm="1">
        <f t="array" ref="X67">IFERROR(SUMPRODUCT((Table1[Region]=X$65)*(Table1[Group]=$A67)*(Table1[Avg_DCCH_30percDH])*(Table1[SumHD_TJ]/((X53+X60)*1000))),0)</f>
        <v>9.3333333333333339</v>
      </c>
      <c r="Y67" s="26" cm="1">
        <f t="array" ref="Y67">IFERROR(SUMPRODUCT((Table1[Region]=Y$65)*(Table1[Group]=$A67)*(Table1[Avg_DCCH_30percDH])*(Table1[SumHD_TJ]/((Y53+Y60)*1000))),0)</f>
        <v>7.4784367816091954</v>
      </c>
      <c r="Z67" s="26" cm="1">
        <f t="array" ref="Z67">IFERROR(SUMPRODUCT((Table1[Region]=Z$65)*(Table1[Group]=$A67)*(Table1[Avg_DCCH_30percDH])*(Table1[SumHD_TJ]/((Z53+Z60)*1000))),0)</f>
        <v>9.6065985547656059</v>
      </c>
      <c r="AA67" s="26" cm="1">
        <f t="array" ref="AA67">IFERROR(SUMPRODUCT((Table1[Region]=AA$65)*(Table1[Group]=$A67)*(Table1[Avg_DCCH_30percDH])*(Table1[SumHD_TJ]/((AA53+AA60)*1000))),0)</f>
        <v>7.4253405087639681</v>
      </c>
      <c r="AB67" s="26" cm="1">
        <f t="array" ref="AB67">IFERROR(SUMPRODUCT((Table1[Region]=AB$65)*(Table1[Group]=$A67)*(Table1[Avg_DCCH_30percDH])*(Table1[SumHD_TJ]/((AB53+AB60)*1000))),0)</f>
        <v>5.9374407396478812</v>
      </c>
      <c r="AC67" s="26" cm="1">
        <f t="array" ref="AC67">IFERROR(SUMPRODUCT((Table1[Region]=AC$65)*(Table1[Group]=$A67)*(Table1[Avg_DCCH_30percDH])*(Table1[SumHD_TJ]/((AC53+AC60)*1000))),0)</f>
        <v>7.7713188319582027</v>
      </c>
      <c r="AD67" s="26" cm="1">
        <f t="array" ref="AD67">IFERROR(SUMPRODUCT((Table1[Region]=AD$65)*(Table1[Group]=$A67)*(Table1[Avg_DCCH_30percDH])*(Table1[SumHD_TJ]/((AD53+AD60)*1000))),0)</f>
        <v>9.7028417754858758</v>
      </c>
      <c r="AE67" s="26">
        <f t="shared" ref="AE67:AE69" si="21">D67</f>
        <v>2.5363325156945078</v>
      </c>
    </row>
    <row r="68" spans="1:31">
      <c r="A68">
        <v>2</v>
      </c>
      <c r="C68" s="25" t="s">
        <v>467</v>
      </c>
      <c r="D68" s="26" cm="1">
        <f t="array" ref="D68">IFERROR(SUMPRODUCT((Table1[Group]=A68)*(Table1[Avg_DCCH_30percDH])*(Table1[SumHD_TJ]/((I5)))),0)</f>
        <v>4.3453869789136128</v>
      </c>
      <c r="E68" s="26" cm="1">
        <f t="array" ref="E68">IFERROR(SUMPRODUCT((Table1[Region]=E$65)*(Table1[Group]=$A68)*(Table1[Avg_DCCH_30percDH])*(Table1[SumHD_TJ]/((E54+E61)*1000))),0)</f>
        <v>9.9209559129432208</v>
      </c>
      <c r="F68" s="26" cm="1">
        <f t="array" ref="F68">IFERROR(SUMPRODUCT((Table1[Region]=F$65)*(Table1[Group]=$A68)*(Table1[Avg_DCCH_30percDH])*(Table1[SumHD_TJ]/((F54+F61)*1000))),0)</f>
        <v>18.440097927666486</v>
      </c>
      <c r="G68" s="26" cm="1">
        <f t="array" ref="G68">IFERROR(SUMPRODUCT((Table1[Region]=G$65)*(Table1[Group]=$A68)*(Table1[Avg_DCCH_30percDH])*(Table1[SumHD_TJ]/((G54+G61)*1000))),0)</f>
        <v>14.760154033776081</v>
      </c>
      <c r="H68" s="26" cm="1">
        <f t="array" ref="H68">IFERROR(SUMPRODUCT((Table1[Region]=H$65)*(Table1[Group]=$A68)*(Table1[Avg_DCCH_30percDH])*(Table1[SumHD_TJ]/((H54+H61)*1000))),0)</f>
        <v>25.207092839918381</v>
      </c>
      <c r="I68" s="26" cm="1">
        <f t="array" ref="I68">IFERROR(SUMPRODUCT((Table1[Region]=I$65)*(Table1[Group]=$A68)*(Table1[Avg_DCCH_30percDH])*(Table1[SumHD_TJ]/((I54+I61)*1000))),0)</f>
        <v>12.582332212077528</v>
      </c>
      <c r="J68" s="26" cm="1">
        <f t="array" ref="J68">IFERROR(SUMPRODUCT((Table1[Region]=J$65)*(Table1[Group]=$A68)*(Table1[Avg_DCCH_30percDH])*(Table1[SumHD_TJ]/((J54+J61)*1000))),0)</f>
        <v>18.644565983012221</v>
      </c>
      <c r="K68" s="26" cm="1">
        <f t="array" ref="K68">IFERROR(SUMPRODUCT((Table1[Region]=K$65)*(Table1[Group]=$A68)*(Table1[Avg_DCCH_30percDH])*(Table1[SumHD_TJ]/((K54+K61)*1000))),0)</f>
        <v>13.088587694557612</v>
      </c>
      <c r="L68" s="26" cm="1">
        <f t="array" ref="L68">IFERROR(SUMPRODUCT((Table1[Region]=L$65)*(Table1[Group]=$A68)*(Table1[Avg_DCCH_30percDH])*(Table1[SumHD_TJ]/((L54+L61)*1000))),0)</f>
        <v>13.851855167124722</v>
      </c>
      <c r="M68" s="26" cm="1">
        <f t="array" ref="M68">IFERROR(SUMPRODUCT((Table1[Region]=M$65)*(Table1[Group]=$A68)*(Table1[Avg_DCCH_30percDH])*(Table1[SumHD_TJ]/((M54+M61)*1000))),0)</f>
        <v>15.072110902887896</v>
      </c>
      <c r="N68" s="26" cm="1">
        <f t="array" ref="N68">IFERROR(SUMPRODUCT((Table1[Region]=N$65)*(Table1[Group]=$A68)*(Table1[Avg_DCCH_30percDH])*(Table1[SumHD_TJ]/((N54+N61)*1000))),0)</f>
        <v>0</v>
      </c>
      <c r="O68" s="26" cm="1">
        <f t="array" ref="O68">IFERROR(SUMPRODUCT((Table1[Region]=O$65)*(Table1[Group]=$A68)*(Table1[Avg_DCCH_30percDH])*(Table1[SumHD_TJ]/((O54+O61)*1000))),0)</f>
        <v>18.303327160017488</v>
      </c>
      <c r="P68" s="26" cm="1">
        <f t="array" ref="P68">IFERROR(SUMPRODUCT((Table1[Region]=P$65)*(Table1[Group]=$A68)*(Table1[Avg_DCCH_30percDH])*(Table1[SumHD_TJ]/((P54+P61)*1000))),0)</f>
        <v>14.458852508829347</v>
      </c>
      <c r="Q68" s="26" cm="1">
        <f t="array" ref="Q68">IFERROR(SUMPRODUCT((Table1[Region]=Q$65)*(Table1[Group]=$A68)*(Table1[Avg_DCCH_30percDH])*(Table1[SumHD_TJ]/((Q54+Q61)*1000))),0)</f>
        <v>19.753796752107736</v>
      </c>
      <c r="R68" s="26" cm="1">
        <f t="array" ref="R68">IFERROR(SUMPRODUCT((Table1[Region]=R$65)*(Table1[Group]=$A68)*(Table1[Avg_DCCH_30percDH])*(Table1[SumHD_TJ]/((R54+R61)*1000))),0)</f>
        <v>15.125868494888044</v>
      </c>
      <c r="S68" s="26" cm="1">
        <f t="array" ref="S68">IFERROR(SUMPRODUCT((Table1[Region]=S$65)*(Table1[Group]=$A68)*(Table1[Avg_DCCH_30percDH])*(Table1[SumHD_TJ]/((S54+S61)*1000))),0)</f>
        <v>8.766729204365058</v>
      </c>
      <c r="T68" s="26" cm="1">
        <f t="array" ref="T68">IFERROR(SUMPRODUCT((Table1[Region]=T$65)*(Table1[Group]=$A68)*(Table1[Avg_DCCH_30percDH])*(Table1[SumHD_TJ]/((T54+T61)*1000))),0)</f>
        <v>13.558194683495886</v>
      </c>
      <c r="U68" s="26" cm="1">
        <f t="array" ref="U68">IFERROR(SUMPRODUCT((Table1[Region]=U$65)*(Table1[Group]=$A68)*(Table1[Avg_DCCH_30percDH])*(Table1[SumHD_TJ]/((U54+U61)*1000))),0)</f>
        <v>16.277902805573387</v>
      </c>
      <c r="V68" s="26" cm="1">
        <f t="array" ref="V68">IFERROR(SUMPRODUCT((Table1[Region]=V$65)*(Table1[Group]=$A68)*(Table1[Avg_DCCH_30percDH])*(Table1[SumHD_TJ]/((V54+V61)*1000))),0)</f>
        <v>19.247014251628297</v>
      </c>
      <c r="W68" s="26" cm="1">
        <f t="array" ref="W68">IFERROR(SUMPRODUCT((Table1[Region]=W$65)*(Table1[Group]=$A68)*(Table1[Avg_DCCH_30percDH])*(Table1[SumHD_TJ]/((W54+W61)*1000))),0)</f>
        <v>15.081409264094988</v>
      </c>
      <c r="X68" s="26" cm="1">
        <f t="array" ref="X68">IFERROR(SUMPRODUCT((Table1[Region]=X$65)*(Table1[Group]=$A68)*(Table1[Avg_DCCH_30percDH])*(Table1[SumHD_TJ]/((X54+X61)*1000))),0)</f>
        <v>18.419258881523035</v>
      </c>
      <c r="Y68" s="26" cm="1">
        <f t="array" ref="Y68">IFERROR(SUMPRODUCT((Table1[Region]=Y$65)*(Table1[Group]=$A68)*(Table1[Avg_DCCH_30percDH])*(Table1[SumHD_TJ]/((Y54+Y61)*1000))),0)</f>
        <v>13.421151258242501</v>
      </c>
      <c r="Z68" s="26" cm="1">
        <f t="array" ref="Z68">IFERROR(SUMPRODUCT((Table1[Region]=Z$65)*(Table1[Group]=$A68)*(Table1[Avg_DCCH_30percDH])*(Table1[SumHD_TJ]/((Z54+Z61)*1000))),0)</f>
        <v>17.567783300198808</v>
      </c>
      <c r="AA68" s="26" cm="1">
        <f t="array" ref="AA68">IFERROR(SUMPRODUCT((Table1[Region]=AA$65)*(Table1[Group]=$A68)*(Table1[Avg_DCCH_30percDH])*(Table1[SumHD_TJ]/((AA54+AA61)*1000))),0)</f>
        <v>16.401637994896699</v>
      </c>
      <c r="AB68" s="26" cm="1">
        <f t="array" ref="AB68">IFERROR(SUMPRODUCT((Table1[Region]=AB$65)*(Table1[Group]=$A68)*(Table1[Avg_DCCH_30percDH])*(Table1[SumHD_TJ]/((AB54+AB61)*1000))),0)</f>
        <v>14.943920681311086</v>
      </c>
      <c r="AC68" s="26" cm="1">
        <f t="array" ref="AC68">IFERROR(SUMPRODUCT((Table1[Region]=AC$65)*(Table1[Group]=$A68)*(Table1[Avg_DCCH_30percDH])*(Table1[SumHD_TJ]/((AC54+AC61)*1000))),0)</f>
        <v>14.298899739057919</v>
      </c>
      <c r="AD68" s="26" cm="1">
        <f t="array" ref="AD68">IFERROR(SUMPRODUCT((Table1[Region]=AD$65)*(Table1[Group]=$A68)*(Table1[Avg_DCCH_30percDH])*(Table1[SumHD_TJ]/((AD54+AD61)*1000))),0)</f>
        <v>11.72151684442187</v>
      </c>
      <c r="AE68" s="26">
        <f t="shared" si="21"/>
        <v>4.3453869789136128</v>
      </c>
    </row>
    <row r="69" spans="1:31">
      <c r="A69">
        <v>3</v>
      </c>
      <c r="C69" s="25" t="s">
        <v>468</v>
      </c>
      <c r="D69" s="26" cm="1">
        <f t="array" ref="D69">IFERROR(SUMPRODUCT((Table1[Group]=A69)*(Table1[Avg_DCCH_30percDH])*(Table1[SumHD_TJ]/((J5)))),0)</f>
        <v>9.2404880520504769</v>
      </c>
      <c r="E69" s="26" cm="1">
        <f t="array" ref="E69">IFERROR(SUMPRODUCT((Table1[Region]=E$65)*(Table1[Group]=$A69)*(Table1[Avg_DCCH_30percDH])*(Table1[SumHD_TJ]/((E55+E62)*1000))),0)</f>
        <v>28.430672865814284</v>
      </c>
      <c r="F69" s="26" cm="1">
        <f t="array" ref="F69">IFERROR(SUMPRODUCT((Table1[Region]=F$65)*(Table1[Group]=$A69)*(Table1[Avg_DCCH_30percDH])*(Table1[SumHD_TJ]/((F55+F62)*1000))),0)</f>
        <v>49.833333333333336</v>
      </c>
      <c r="G69" s="26" cm="1">
        <f t="array" ref="G69">IFERROR(SUMPRODUCT((Table1[Region]=G$65)*(Table1[Group]=$A69)*(Table1[Avg_DCCH_30percDH])*(Table1[SumHD_TJ]/((G55+G62)*1000))),0)</f>
        <v>35.371476884686103</v>
      </c>
      <c r="H69" s="26" cm="1">
        <f t="array" ref="H69">IFERROR(SUMPRODUCT((Table1[Region]=H$65)*(Table1[Group]=$A69)*(Table1[Avg_DCCH_30percDH])*(Table1[SumHD_TJ]/((H55+H62)*1000))),0)</f>
        <v>34.40517538815412</v>
      </c>
      <c r="I69" s="26" cm="1">
        <f t="array" ref="I69">IFERROR(SUMPRODUCT((Table1[Region]=I$65)*(Table1[Group]=$A69)*(Table1[Avg_DCCH_30percDH])*(Table1[SumHD_TJ]/((I55+I62)*1000))),0)</f>
        <v>31.716972817515551</v>
      </c>
      <c r="J69" s="26" cm="1">
        <f t="array" ref="J69">IFERROR(SUMPRODUCT((Table1[Region]=J$65)*(Table1[Group]=$A69)*(Table1[Avg_DCCH_30percDH])*(Table1[SumHD_TJ]/((J55+J62)*1000))),0)</f>
        <v>33.610799670239089</v>
      </c>
      <c r="K69" s="26" cm="1">
        <f t="array" ref="K69">IFERROR(SUMPRODUCT((Table1[Region]=K$65)*(Table1[Group]=$A69)*(Table1[Avg_DCCH_30percDH])*(Table1[SumHD_TJ]/((K55+K62)*1000))),0)</f>
        <v>32.116297731986805</v>
      </c>
      <c r="L69" s="26" cm="1">
        <f t="array" ref="L69">IFERROR(SUMPRODUCT((Table1[Region]=L$65)*(Table1[Group]=$A69)*(Table1[Avg_DCCH_30percDH])*(Table1[SumHD_TJ]/((L55+L62)*1000))),0)</f>
        <v>38.04317386231039</v>
      </c>
      <c r="M69" s="26" cm="1">
        <f t="array" ref="M69">IFERROR(SUMPRODUCT((Table1[Region]=M$65)*(Table1[Group]=$A69)*(Table1[Avg_DCCH_30percDH])*(Table1[SumHD_TJ]/((M55+M62)*1000))),0)</f>
        <v>27.071388634080286</v>
      </c>
      <c r="N69" s="26" cm="1">
        <f t="array" ref="N69">IFERROR(SUMPRODUCT((Table1[Region]=N$65)*(Table1[Group]=$A69)*(Table1[Avg_DCCH_30percDH])*(Table1[SumHD_TJ]/((N55+N62)*1000))),0)</f>
        <v>33.774060003896359</v>
      </c>
      <c r="O69" s="26" cm="1">
        <f t="array" ref="O69">IFERROR(SUMPRODUCT((Table1[Region]=O$65)*(Table1[Group]=$A69)*(Table1[Avg_DCCH_30percDH])*(Table1[SumHD_TJ]/((O55+O62)*1000))),0)</f>
        <v>30.091908164084455</v>
      </c>
      <c r="P69" s="26" cm="1">
        <f t="array" ref="P69">IFERROR(SUMPRODUCT((Table1[Region]=P$65)*(Table1[Group]=$A69)*(Table1[Avg_DCCH_30percDH])*(Table1[SumHD_TJ]/((P55+P62)*1000))),0)</f>
        <v>35.539342197340794</v>
      </c>
      <c r="Q69" s="26" cm="1">
        <f t="array" ref="Q69">IFERROR(SUMPRODUCT((Table1[Region]=Q$65)*(Table1[Group]=$A69)*(Table1[Avg_DCCH_30percDH])*(Table1[SumHD_TJ]/((Q55+Q62)*1000))),0)</f>
        <v>35.647396874768567</v>
      </c>
      <c r="R69" s="26" cm="1">
        <f t="array" ref="R69">IFERROR(SUMPRODUCT((Table1[Region]=R$65)*(Table1[Group]=$A69)*(Table1[Avg_DCCH_30percDH])*(Table1[SumHD_TJ]/((R55+R62)*1000))),0)</f>
        <v>26.043058789811198</v>
      </c>
      <c r="S69" s="26" cm="1">
        <f t="array" ref="S69">IFERROR(SUMPRODUCT((Table1[Region]=S$65)*(Table1[Group]=$A69)*(Table1[Avg_DCCH_30percDH])*(Table1[SumHD_TJ]/((S55+S62)*1000))),0)</f>
        <v>26.939136249651714</v>
      </c>
      <c r="T69" s="26" cm="1">
        <f t="array" ref="T69">IFERROR(SUMPRODUCT((Table1[Region]=T$65)*(Table1[Group]=$A69)*(Table1[Avg_DCCH_30percDH])*(Table1[SumHD_TJ]/((T55+T62)*1000))),0)</f>
        <v>31.813240290147832</v>
      </c>
      <c r="U69" s="26" cm="1">
        <f t="array" ref="U69">IFERROR(SUMPRODUCT((Table1[Region]=U$65)*(Table1[Group]=$A69)*(Table1[Avg_DCCH_30percDH])*(Table1[SumHD_TJ]/((U55+U62)*1000))),0)</f>
        <v>36.092407071622851</v>
      </c>
      <c r="V69" s="26" cm="1">
        <f t="array" ref="V69">IFERROR(SUMPRODUCT((Table1[Region]=V$65)*(Table1[Group]=$A69)*(Table1[Avg_DCCH_30percDH])*(Table1[SumHD_TJ]/((V55+V62)*1000))),0)</f>
        <v>26.261929573183977</v>
      </c>
      <c r="W69" s="26" cm="1">
        <f t="array" ref="W69">IFERROR(SUMPRODUCT((Table1[Region]=W$65)*(Table1[Group]=$A69)*(Table1[Avg_DCCH_30percDH])*(Table1[SumHD_TJ]/((W55+W62)*1000))),0)</f>
        <v>32.42303989936282</v>
      </c>
      <c r="X69" s="26" cm="1">
        <f t="array" ref="X69">IFERROR(SUMPRODUCT((Table1[Region]=X$65)*(Table1[Group]=$A69)*(Table1[Avg_DCCH_30percDH])*(Table1[SumHD_TJ]/((X55+X62)*1000))),0)</f>
        <v>31.788346400570209</v>
      </c>
      <c r="Y69" s="26" cm="1">
        <f t="array" ref="Y69">IFERROR(SUMPRODUCT((Table1[Region]=Y$65)*(Table1[Group]=$A69)*(Table1[Avg_DCCH_30percDH])*(Table1[SumHD_TJ]/((Y55+Y62)*1000))),0)</f>
        <v>32.210969691125896</v>
      </c>
      <c r="Z69" s="26" cm="1">
        <f t="array" ref="Z69">IFERROR(SUMPRODUCT((Table1[Region]=Z$65)*(Table1[Group]=$A69)*(Table1[Avg_DCCH_30percDH])*(Table1[SumHD_TJ]/((Z55+Z62)*1000))),0)</f>
        <v>30.378678808904315</v>
      </c>
      <c r="AA69" s="26" cm="1">
        <f t="array" ref="AA69">IFERROR(SUMPRODUCT((Table1[Region]=AA$65)*(Table1[Group]=$A69)*(Table1[Avg_DCCH_30percDH])*(Table1[SumHD_TJ]/((AA55+AA62)*1000))),0)</f>
        <v>33.225800434133767</v>
      </c>
      <c r="AB69" s="26" cm="1">
        <f t="array" ref="AB69">IFERROR(SUMPRODUCT((Table1[Region]=AB$65)*(Table1[Group]=$A69)*(Table1[Avg_DCCH_30percDH])*(Table1[SumHD_TJ]/((AB55+AB62)*1000))),0)</f>
        <v>33.132659722222215</v>
      </c>
      <c r="AC69" s="26" cm="1">
        <f t="array" ref="AC69">IFERROR(SUMPRODUCT((Table1[Region]=AC$65)*(Table1[Group]=$A69)*(Table1[Avg_DCCH_30percDH])*(Table1[SumHD_TJ]/((AC55+AC62)*1000))),0)</f>
        <v>27.714619495759258</v>
      </c>
      <c r="AD69" s="26" cm="1">
        <f t="array" ref="AD69">IFERROR(SUMPRODUCT((Table1[Region]=AD$65)*(Table1[Group]=$A69)*(Table1[Avg_DCCH_30percDH])*(Table1[SumHD_TJ]/((AD55+AD62)*1000))),0)</f>
        <v>30.817209138219994</v>
      </c>
      <c r="AE69" s="26">
        <f t="shared" si="21"/>
        <v>9.2404880520504769</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2.3738511759909682</v>
      </c>
      <c r="E73" s="26">
        <f t="shared" ref="E73:AD76" si="22">E66</f>
        <v>0</v>
      </c>
      <c r="F73" s="26">
        <f t="shared" si="22"/>
        <v>8.1000000000000014</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7.4666666666666668</v>
      </c>
      <c r="S73" s="26">
        <f t="shared" si="22"/>
        <v>0</v>
      </c>
      <c r="T73" s="26">
        <f t="shared" si="22"/>
        <v>8.4999999999999982</v>
      </c>
      <c r="U73" s="26">
        <f t="shared" si="22"/>
        <v>0</v>
      </c>
      <c r="V73" s="26">
        <f t="shared" si="22"/>
        <v>6.8333333333333339</v>
      </c>
      <c r="W73" s="26">
        <f t="shared" si="22"/>
        <v>7.2333333333333334</v>
      </c>
      <c r="X73" s="26">
        <f t="shared" si="22"/>
        <v>0</v>
      </c>
      <c r="Y73" s="26">
        <f t="shared" si="22"/>
        <v>0</v>
      </c>
      <c r="Z73" s="26">
        <f t="shared" si="22"/>
        <v>0</v>
      </c>
      <c r="AA73" s="26">
        <f t="shared" si="22"/>
        <v>0</v>
      </c>
      <c r="AB73" s="26">
        <f t="shared" si="22"/>
        <v>0</v>
      </c>
      <c r="AC73" s="26">
        <f t="shared" si="22"/>
        <v>0</v>
      </c>
      <c r="AD73" s="26">
        <f t="shared" si="22"/>
        <v>0</v>
      </c>
      <c r="AE73" s="26">
        <f>D73</f>
        <v>2.3738511759909682</v>
      </c>
    </row>
    <row r="74" spans="1:31">
      <c r="A74">
        <v>1</v>
      </c>
      <c r="C74" s="25" t="s">
        <v>470</v>
      </c>
      <c r="D74" s="26">
        <f t="shared" ref="D74:S76" si="23">D67</f>
        <v>2.5363325156945078</v>
      </c>
      <c r="E74" s="26">
        <f t="shared" si="23"/>
        <v>0</v>
      </c>
      <c r="F74" s="26">
        <f t="shared" si="23"/>
        <v>12.280096153732067</v>
      </c>
      <c r="G74" s="26">
        <f t="shared" si="23"/>
        <v>6.1326447529777282</v>
      </c>
      <c r="H74" s="26">
        <f t="shared" si="23"/>
        <v>6.7142622967510723</v>
      </c>
      <c r="I74" s="26">
        <f t="shared" si="23"/>
        <v>7.7241223346973946</v>
      </c>
      <c r="J74" s="26">
        <f t="shared" si="23"/>
        <v>9.2443501670552628</v>
      </c>
      <c r="K74" s="26">
        <f t="shared" si="23"/>
        <v>6.6052636791284982</v>
      </c>
      <c r="L74" s="26">
        <f t="shared" si="23"/>
        <v>6.5096389327811979</v>
      </c>
      <c r="M74" s="26">
        <f t="shared" si="23"/>
        <v>8.0827335406245773</v>
      </c>
      <c r="N74" s="26">
        <f t="shared" si="23"/>
        <v>7.8076601974400068</v>
      </c>
      <c r="O74" s="26">
        <f t="shared" si="23"/>
        <v>8.8466290707322148</v>
      </c>
      <c r="P74" s="26">
        <f t="shared" si="23"/>
        <v>8.1076147765622544</v>
      </c>
      <c r="Q74" s="26">
        <f t="shared" si="23"/>
        <v>12.342606747314054</v>
      </c>
      <c r="R74" s="26">
        <f t="shared" si="23"/>
        <v>8.1822279078921483</v>
      </c>
      <c r="S74" s="26">
        <f t="shared" si="23"/>
        <v>0</v>
      </c>
      <c r="T74" s="26">
        <f t="shared" si="22"/>
        <v>0</v>
      </c>
      <c r="U74" s="26">
        <f t="shared" si="22"/>
        <v>11.44443555372005</v>
      </c>
      <c r="V74" s="26">
        <f t="shared" si="22"/>
        <v>8.8117448606381643</v>
      </c>
      <c r="W74" s="26">
        <f t="shared" si="22"/>
        <v>9.7120439094367885</v>
      </c>
      <c r="X74" s="26">
        <f t="shared" si="22"/>
        <v>9.3333333333333339</v>
      </c>
      <c r="Y74" s="26">
        <f t="shared" si="22"/>
        <v>7.4784367816091954</v>
      </c>
      <c r="Z74" s="26">
        <f t="shared" si="22"/>
        <v>9.6065985547656059</v>
      </c>
      <c r="AA74" s="26">
        <f t="shared" si="22"/>
        <v>7.4253405087639681</v>
      </c>
      <c r="AB74" s="26">
        <f t="shared" si="22"/>
        <v>5.9374407396478812</v>
      </c>
      <c r="AC74" s="26">
        <f t="shared" si="22"/>
        <v>7.7713188319582027</v>
      </c>
      <c r="AD74" s="26">
        <f t="shared" si="22"/>
        <v>9.7028417754858758</v>
      </c>
      <c r="AE74" s="26">
        <f t="shared" ref="AE74:AE76" si="24">D74</f>
        <v>2.5363325156945078</v>
      </c>
    </row>
    <row r="75" spans="1:31">
      <c r="A75">
        <v>2</v>
      </c>
      <c r="C75" s="25" t="s">
        <v>471</v>
      </c>
      <c r="D75" s="26">
        <f t="shared" si="23"/>
        <v>4.3453869789136128</v>
      </c>
      <c r="E75" s="26">
        <f t="shared" si="22"/>
        <v>9.9209559129432208</v>
      </c>
      <c r="F75" s="26">
        <f t="shared" si="22"/>
        <v>18.440097927666486</v>
      </c>
      <c r="G75" s="26">
        <f t="shared" si="22"/>
        <v>14.760154033776081</v>
      </c>
      <c r="H75" s="26">
        <f t="shared" si="22"/>
        <v>25.207092839918381</v>
      </c>
      <c r="I75" s="26">
        <f t="shared" si="22"/>
        <v>12.582332212077528</v>
      </c>
      <c r="J75" s="26">
        <f t="shared" si="22"/>
        <v>18.644565983012221</v>
      </c>
      <c r="K75" s="26">
        <f t="shared" si="22"/>
        <v>13.088587694557612</v>
      </c>
      <c r="L75" s="26">
        <f t="shared" si="22"/>
        <v>13.851855167124722</v>
      </c>
      <c r="M75" s="26">
        <f t="shared" si="22"/>
        <v>15.072110902887896</v>
      </c>
      <c r="N75" s="26">
        <f t="shared" si="22"/>
        <v>0</v>
      </c>
      <c r="O75" s="26">
        <f t="shared" si="22"/>
        <v>18.303327160017488</v>
      </c>
      <c r="P75" s="26">
        <f t="shared" si="22"/>
        <v>14.458852508829347</v>
      </c>
      <c r="Q75" s="26">
        <f t="shared" si="22"/>
        <v>19.753796752107736</v>
      </c>
      <c r="R75" s="26">
        <f t="shared" si="22"/>
        <v>15.125868494888044</v>
      </c>
      <c r="S75" s="26">
        <f t="shared" si="22"/>
        <v>8.766729204365058</v>
      </c>
      <c r="T75" s="26">
        <f t="shared" si="22"/>
        <v>13.558194683495886</v>
      </c>
      <c r="U75" s="26">
        <f t="shared" si="22"/>
        <v>16.277902805573387</v>
      </c>
      <c r="V75" s="26">
        <f t="shared" si="22"/>
        <v>19.247014251628297</v>
      </c>
      <c r="W75" s="26">
        <f t="shared" si="22"/>
        <v>15.081409264094988</v>
      </c>
      <c r="X75" s="26">
        <f t="shared" si="22"/>
        <v>18.419258881523035</v>
      </c>
      <c r="Y75" s="26">
        <f t="shared" si="22"/>
        <v>13.421151258242501</v>
      </c>
      <c r="Z75" s="26">
        <f t="shared" si="22"/>
        <v>17.567783300198808</v>
      </c>
      <c r="AA75" s="26">
        <f t="shared" si="22"/>
        <v>16.401637994896699</v>
      </c>
      <c r="AB75" s="26">
        <f t="shared" si="22"/>
        <v>14.943920681311086</v>
      </c>
      <c r="AC75" s="26">
        <f t="shared" si="22"/>
        <v>14.298899739057919</v>
      </c>
      <c r="AD75" s="26">
        <f t="shared" si="22"/>
        <v>11.72151684442187</v>
      </c>
      <c r="AE75" s="26">
        <f t="shared" si="24"/>
        <v>4.3453869789136128</v>
      </c>
    </row>
    <row r="76" spans="1:31">
      <c r="A76">
        <v>3</v>
      </c>
      <c r="C76" s="25" t="s">
        <v>472</v>
      </c>
      <c r="D76" s="26">
        <f t="shared" si="23"/>
        <v>9.2404880520504769</v>
      </c>
      <c r="E76" s="26">
        <f t="shared" si="22"/>
        <v>28.430672865814284</v>
      </c>
      <c r="F76" s="26">
        <f t="shared" si="22"/>
        <v>49.833333333333336</v>
      </c>
      <c r="G76" s="26">
        <f t="shared" si="22"/>
        <v>35.371476884686103</v>
      </c>
      <c r="H76" s="26">
        <f t="shared" si="22"/>
        <v>34.40517538815412</v>
      </c>
      <c r="I76" s="26">
        <f t="shared" si="22"/>
        <v>31.716972817515551</v>
      </c>
      <c r="J76" s="26">
        <f t="shared" si="22"/>
        <v>33.610799670239089</v>
      </c>
      <c r="K76" s="26">
        <f t="shared" si="22"/>
        <v>32.116297731986805</v>
      </c>
      <c r="L76" s="26">
        <f t="shared" si="22"/>
        <v>38.04317386231039</v>
      </c>
      <c r="M76" s="26">
        <f t="shared" si="22"/>
        <v>27.071388634080286</v>
      </c>
      <c r="N76" s="26">
        <f t="shared" si="22"/>
        <v>33.774060003896359</v>
      </c>
      <c r="O76" s="26">
        <f t="shared" si="22"/>
        <v>30.091908164084455</v>
      </c>
      <c r="P76" s="26">
        <f t="shared" si="22"/>
        <v>35.539342197340794</v>
      </c>
      <c r="Q76" s="26">
        <f t="shared" si="22"/>
        <v>35.647396874768567</v>
      </c>
      <c r="R76" s="26">
        <f t="shared" si="22"/>
        <v>26.043058789811198</v>
      </c>
      <c r="S76" s="26">
        <f t="shared" si="22"/>
        <v>26.939136249651714</v>
      </c>
      <c r="T76" s="26">
        <f t="shared" si="22"/>
        <v>31.813240290147832</v>
      </c>
      <c r="U76" s="26">
        <f t="shared" si="22"/>
        <v>36.092407071622851</v>
      </c>
      <c r="V76" s="26">
        <f t="shared" si="22"/>
        <v>26.261929573183977</v>
      </c>
      <c r="W76" s="26">
        <f t="shared" si="22"/>
        <v>32.42303989936282</v>
      </c>
      <c r="X76" s="26">
        <f t="shared" si="22"/>
        <v>31.788346400570209</v>
      </c>
      <c r="Y76" s="26">
        <f t="shared" si="22"/>
        <v>32.210969691125896</v>
      </c>
      <c r="Z76" s="26">
        <f t="shared" si="22"/>
        <v>30.378678808904315</v>
      </c>
      <c r="AA76" s="26">
        <f t="shared" si="22"/>
        <v>33.225800434133767</v>
      </c>
      <c r="AB76" s="26">
        <f t="shared" si="22"/>
        <v>33.132659722222215</v>
      </c>
      <c r="AC76" s="26">
        <f t="shared" si="22"/>
        <v>27.714619495759258</v>
      </c>
      <c r="AD76" s="26">
        <f t="shared" si="22"/>
        <v>30.817209138219994</v>
      </c>
      <c r="AE76" s="26">
        <f t="shared" si="24"/>
        <v>9.2404880520504769</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7.1215535279729042E-2</v>
      </c>
      <c r="E80" s="26"/>
      <c r="F80" s="26">
        <f>F66*$A$5</f>
        <v>0.24300000000000002</v>
      </c>
      <c r="G80" s="26"/>
      <c r="H80" s="26"/>
      <c r="I80" s="26"/>
      <c r="J80" s="26"/>
      <c r="K80" s="26"/>
      <c r="L80" s="26"/>
      <c r="M80" s="26"/>
      <c r="N80" s="26"/>
      <c r="O80" s="26"/>
      <c r="P80" s="26"/>
      <c r="Q80" s="26"/>
      <c r="R80" s="26">
        <f>R66*$A$5</f>
        <v>0.224</v>
      </c>
      <c r="S80" s="26"/>
      <c r="T80" s="26">
        <f>T66*$A$5</f>
        <v>0.25499999999999995</v>
      </c>
      <c r="U80" s="26"/>
      <c r="V80" s="26">
        <f t="shared" ref="V80:W83" si="25">V66*$A$5</f>
        <v>0.20500000000000002</v>
      </c>
      <c r="W80" s="26">
        <f t="shared" si="25"/>
        <v>0.217</v>
      </c>
      <c r="X80" s="26"/>
      <c r="Y80" s="26"/>
      <c r="Z80" s="26"/>
      <c r="AA80" s="26"/>
      <c r="AB80" s="26"/>
      <c r="AC80" s="26"/>
      <c r="AD80" s="26"/>
      <c r="AE80" s="26">
        <f>D80</f>
        <v>7.1215535279729042E-2</v>
      </c>
    </row>
    <row r="81" spans="1:31">
      <c r="A81">
        <v>1</v>
      </c>
      <c r="C81" s="25" t="s">
        <v>466</v>
      </c>
      <c r="D81" s="26">
        <f>D67*$A$5</f>
        <v>7.6089975470835236E-2</v>
      </c>
      <c r="E81" s="26"/>
      <c r="F81" s="26">
        <f>F67*$A$5</f>
        <v>0.36840288461196202</v>
      </c>
      <c r="G81" s="26">
        <f t="shared" ref="G81:Q81" si="26">G67*$A$5</f>
        <v>0.18397934258933185</v>
      </c>
      <c r="H81" s="26">
        <f t="shared" si="26"/>
        <v>0.20142786890253217</v>
      </c>
      <c r="I81" s="26">
        <f t="shared" si="26"/>
        <v>0.23172367004092184</v>
      </c>
      <c r="J81" s="26">
        <f t="shared" si="26"/>
        <v>0.27733050501165785</v>
      </c>
      <c r="K81" s="26">
        <f t="shared" si="26"/>
        <v>0.19815791037385494</v>
      </c>
      <c r="L81" s="26">
        <f t="shared" si="26"/>
        <v>0.19528916798343593</v>
      </c>
      <c r="M81" s="26">
        <f t="shared" si="26"/>
        <v>0.24248200621873731</v>
      </c>
      <c r="N81" s="26">
        <f t="shared" si="26"/>
        <v>0.2342298059232002</v>
      </c>
      <c r="O81" s="26">
        <f t="shared" si="26"/>
        <v>0.26539887212196644</v>
      </c>
      <c r="P81" s="26">
        <f t="shared" si="26"/>
        <v>0.24322844329686763</v>
      </c>
      <c r="Q81" s="26">
        <f t="shared" si="26"/>
        <v>0.37027820241942161</v>
      </c>
      <c r="R81" s="26">
        <f>R67*$A$5</f>
        <v>0.24546683723676443</v>
      </c>
      <c r="S81" s="26"/>
      <c r="T81" s="26">
        <f>T67*$A$5</f>
        <v>0</v>
      </c>
      <c r="U81" s="26">
        <f>U67*$A$5</f>
        <v>0.34333306661160146</v>
      </c>
      <c r="V81" s="26">
        <f t="shared" si="25"/>
        <v>0.26435234581914491</v>
      </c>
      <c r="W81" s="26">
        <f t="shared" si="25"/>
        <v>0.29136131728310366</v>
      </c>
      <c r="X81" s="26">
        <f t="shared" ref="X81:AD83" si="27">X67*$A$5</f>
        <v>0.28000000000000003</v>
      </c>
      <c r="Y81" s="26">
        <f t="shared" si="27"/>
        <v>0.22435310344827586</v>
      </c>
      <c r="Z81" s="26">
        <f t="shared" si="27"/>
        <v>0.28819795664296816</v>
      </c>
      <c r="AA81" s="26">
        <f t="shared" si="27"/>
        <v>0.22276021526291903</v>
      </c>
      <c r="AB81" s="26">
        <f t="shared" si="27"/>
        <v>0.17812322218943644</v>
      </c>
      <c r="AC81" s="26">
        <f t="shared" si="27"/>
        <v>0.23313956495874608</v>
      </c>
      <c r="AD81" s="26">
        <f t="shared" si="27"/>
        <v>0.29108525326457624</v>
      </c>
      <c r="AE81" s="26">
        <f t="shared" ref="AE81:AE83" si="28">D81</f>
        <v>7.6089975470835236E-2</v>
      </c>
    </row>
    <row r="82" spans="1:31">
      <c r="A82">
        <v>2</v>
      </c>
      <c r="C82" s="25" t="s">
        <v>467</v>
      </c>
      <c r="D82" s="26">
        <f>D68*$A$5</f>
        <v>0.13036160936740837</v>
      </c>
      <c r="E82" s="26">
        <f>E68*$A$5</f>
        <v>0.29762867738829663</v>
      </c>
      <c r="F82" s="26">
        <f>F68*$A$5</f>
        <v>0.55320293782999452</v>
      </c>
      <c r="G82" s="26">
        <f t="shared" ref="G82:M83" si="29">G68*$A$5</f>
        <v>0.44280462101328238</v>
      </c>
      <c r="H82" s="26">
        <f t="shared" si="29"/>
        <v>0.75621278519755142</v>
      </c>
      <c r="I82" s="26">
        <f t="shared" si="29"/>
        <v>0.37746996636232583</v>
      </c>
      <c r="J82" s="26">
        <f t="shared" si="29"/>
        <v>0.55933697949036665</v>
      </c>
      <c r="K82" s="26">
        <f t="shared" si="29"/>
        <v>0.39265763083672833</v>
      </c>
      <c r="L82" s="26">
        <f t="shared" si="29"/>
        <v>0.41555565501374164</v>
      </c>
      <c r="M82" s="26">
        <f t="shared" si="29"/>
        <v>0.45216332708663687</v>
      </c>
      <c r="N82" s="26"/>
      <c r="O82" s="26">
        <f t="shared" ref="O82:Q83" si="30">O68*$A$5</f>
        <v>0.54909981480052461</v>
      </c>
      <c r="P82" s="26">
        <f t="shared" si="30"/>
        <v>0.43376557526488041</v>
      </c>
      <c r="Q82" s="26">
        <f t="shared" si="30"/>
        <v>0.5926139025632321</v>
      </c>
      <c r="R82" s="26">
        <f>R68*$A$5</f>
        <v>0.4537760548466413</v>
      </c>
      <c r="S82" s="26">
        <f>S68*$A$5</f>
        <v>0.26300187613095172</v>
      </c>
      <c r="T82" s="26">
        <f>T68*$A$5</f>
        <v>0.40674584050487655</v>
      </c>
      <c r="U82" s="26">
        <f>U68*$A$5</f>
        <v>0.48833708416720156</v>
      </c>
      <c r="V82" s="26">
        <f t="shared" si="25"/>
        <v>0.57741042754884886</v>
      </c>
      <c r="W82" s="26">
        <f t="shared" si="25"/>
        <v>0.45244227792284963</v>
      </c>
      <c r="X82" s="26">
        <f t="shared" si="27"/>
        <v>0.55257776644569101</v>
      </c>
      <c r="Y82" s="26">
        <f t="shared" si="27"/>
        <v>0.40263453774727503</v>
      </c>
      <c r="Z82" s="26">
        <f t="shared" si="27"/>
        <v>0.52703349900596419</v>
      </c>
      <c r="AA82" s="26">
        <f t="shared" si="27"/>
        <v>0.49204913984690096</v>
      </c>
      <c r="AB82" s="26">
        <f t="shared" si="27"/>
        <v>0.44831762043933254</v>
      </c>
      <c r="AC82" s="26">
        <f t="shared" si="27"/>
        <v>0.42896699217173756</v>
      </c>
      <c r="AD82" s="26">
        <f t="shared" si="27"/>
        <v>0.35164550533265609</v>
      </c>
      <c r="AE82" s="26">
        <f t="shared" si="28"/>
        <v>0.13036160936740837</v>
      </c>
    </row>
    <row r="83" spans="1:31">
      <c r="A83">
        <v>3</v>
      </c>
      <c r="C83" s="25" t="s">
        <v>468</v>
      </c>
      <c r="D83" s="26">
        <f>D69*$A$5</f>
        <v>0.27721464156151432</v>
      </c>
      <c r="E83" s="26">
        <f>E69*$A$5</f>
        <v>0.85292018597442854</v>
      </c>
      <c r="F83" s="26">
        <f>F69*$A$5</f>
        <v>1.4950000000000001</v>
      </c>
      <c r="G83" s="26">
        <f t="shared" si="29"/>
        <v>1.061144306540583</v>
      </c>
      <c r="H83" s="26">
        <f t="shared" si="29"/>
        <v>1.0321552616446237</v>
      </c>
      <c r="I83" s="26">
        <f t="shared" si="29"/>
        <v>0.95150918452546651</v>
      </c>
      <c r="J83" s="26">
        <f t="shared" si="29"/>
        <v>1.0083239901071726</v>
      </c>
      <c r="K83" s="26">
        <f t="shared" si="29"/>
        <v>0.96348893195960406</v>
      </c>
      <c r="L83" s="26">
        <f t="shared" si="29"/>
        <v>1.1412952158693117</v>
      </c>
      <c r="M83" s="26">
        <f t="shared" si="29"/>
        <v>0.81214165902240854</v>
      </c>
      <c r="N83" s="26">
        <f>N69*$A$5</f>
        <v>1.0132218001168907</v>
      </c>
      <c r="O83" s="26">
        <f t="shared" si="30"/>
        <v>0.90275724492253362</v>
      </c>
      <c r="P83" s="26">
        <f t="shared" si="30"/>
        <v>1.0661802659202237</v>
      </c>
      <c r="Q83" s="26">
        <f t="shared" si="30"/>
        <v>1.069421906243057</v>
      </c>
      <c r="R83" s="26">
        <f>R69*$A$5</f>
        <v>0.78129176369433595</v>
      </c>
      <c r="S83" s="26">
        <f>S69*$A$5</f>
        <v>0.80817408748955144</v>
      </c>
      <c r="T83" s="26">
        <f>T69*$A$5</f>
        <v>0.9543972087044349</v>
      </c>
      <c r="U83" s="26">
        <f>U69*$A$5</f>
        <v>1.0827722121486856</v>
      </c>
      <c r="V83" s="26">
        <f t="shared" si="25"/>
        <v>0.7878578871955193</v>
      </c>
      <c r="W83" s="26">
        <f t="shared" si="25"/>
        <v>0.97269119698088458</v>
      </c>
      <c r="X83" s="26">
        <f t="shared" si="27"/>
        <v>0.95365039201710622</v>
      </c>
      <c r="Y83" s="26">
        <f t="shared" si="27"/>
        <v>0.96632909073377682</v>
      </c>
      <c r="Z83" s="26">
        <f t="shared" si="27"/>
        <v>0.91136036426712941</v>
      </c>
      <c r="AA83" s="26">
        <f t="shared" si="27"/>
        <v>0.99677401302401292</v>
      </c>
      <c r="AB83" s="26">
        <f t="shared" si="27"/>
        <v>0.99397979166666639</v>
      </c>
      <c r="AC83" s="26">
        <f t="shared" si="27"/>
        <v>0.83143858487277778</v>
      </c>
      <c r="AD83" s="26">
        <f t="shared" si="27"/>
        <v>0.92451627414659976</v>
      </c>
      <c r="AE83" s="26">
        <f t="shared" si="28"/>
        <v>0.27721464156151432</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7.1215535279729042E-2</v>
      </c>
      <c r="E87" s="26"/>
      <c r="F87" s="26">
        <f>F73*$A$5</f>
        <v>0.24300000000000002</v>
      </c>
      <c r="G87" s="26"/>
      <c r="H87" s="26"/>
      <c r="I87" s="26"/>
      <c r="J87" s="26"/>
      <c r="K87" s="26"/>
      <c r="L87" s="26"/>
      <c r="M87" s="26"/>
      <c r="N87" s="26"/>
      <c r="O87" s="26"/>
      <c r="P87" s="26"/>
      <c r="Q87" s="26"/>
      <c r="R87" s="26">
        <f>R73*$A$5</f>
        <v>0.224</v>
      </c>
      <c r="S87" s="26"/>
      <c r="T87" s="26">
        <f>T73*$A$5</f>
        <v>0.25499999999999995</v>
      </c>
      <c r="U87" s="26"/>
      <c r="V87" s="26">
        <f t="shared" ref="V87:W90" si="31">V73*$A$5</f>
        <v>0.20500000000000002</v>
      </c>
      <c r="W87" s="26">
        <f t="shared" si="31"/>
        <v>0.217</v>
      </c>
      <c r="X87" s="26"/>
      <c r="Y87" s="26"/>
      <c r="Z87" s="26"/>
      <c r="AA87" s="26"/>
      <c r="AB87" s="26"/>
      <c r="AC87" s="26"/>
      <c r="AD87" s="26"/>
      <c r="AE87" s="26">
        <f>D87</f>
        <v>7.1215535279729042E-2</v>
      </c>
    </row>
    <row r="88" spans="1:31">
      <c r="A88">
        <v>1</v>
      </c>
      <c r="C88" s="25" t="s">
        <v>470</v>
      </c>
      <c r="D88" s="26">
        <f>D74*$A$5</f>
        <v>7.6089975470835236E-2</v>
      </c>
      <c r="E88" s="26"/>
      <c r="F88" s="26">
        <f>F74*$A$5</f>
        <v>0.36840288461196202</v>
      </c>
      <c r="G88" s="26">
        <f t="shared" ref="G88:Q88" si="32">G74*$A$5</f>
        <v>0.18397934258933185</v>
      </c>
      <c r="H88" s="26">
        <f t="shared" si="32"/>
        <v>0.20142786890253217</v>
      </c>
      <c r="I88" s="26">
        <f t="shared" si="32"/>
        <v>0.23172367004092184</v>
      </c>
      <c r="J88" s="26">
        <f t="shared" si="32"/>
        <v>0.27733050501165785</v>
      </c>
      <c r="K88" s="26">
        <f t="shared" si="32"/>
        <v>0.19815791037385494</v>
      </c>
      <c r="L88" s="26">
        <f t="shared" si="32"/>
        <v>0.19528916798343593</v>
      </c>
      <c r="M88" s="26">
        <f t="shared" si="32"/>
        <v>0.24248200621873731</v>
      </c>
      <c r="N88" s="26">
        <f t="shared" si="32"/>
        <v>0.2342298059232002</v>
      </c>
      <c r="O88" s="26">
        <f t="shared" si="32"/>
        <v>0.26539887212196644</v>
      </c>
      <c r="P88" s="26">
        <f t="shared" si="32"/>
        <v>0.24322844329686763</v>
      </c>
      <c r="Q88" s="26">
        <f t="shared" si="32"/>
        <v>0.37027820241942161</v>
      </c>
      <c r="R88" s="26">
        <f>R74*$A$5</f>
        <v>0.24546683723676443</v>
      </c>
      <c r="S88" s="26"/>
      <c r="T88" s="26">
        <f>T74*$A$5</f>
        <v>0</v>
      </c>
      <c r="U88" s="26">
        <f>U74*$A$5</f>
        <v>0.34333306661160146</v>
      </c>
      <c r="V88" s="26">
        <f t="shared" si="31"/>
        <v>0.26435234581914491</v>
      </c>
      <c r="W88" s="26">
        <f t="shared" si="31"/>
        <v>0.29136131728310366</v>
      </c>
      <c r="X88" s="26">
        <f t="shared" ref="X88:AD90" si="33">X74*$A$5</f>
        <v>0.28000000000000003</v>
      </c>
      <c r="Y88" s="26">
        <f t="shared" si="33"/>
        <v>0.22435310344827586</v>
      </c>
      <c r="Z88" s="26">
        <f t="shared" si="33"/>
        <v>0.28819795664296816</v>
      </c>
      <c r="AA88" s="26">
        <f t="shared" si="33"/>
        <v>0.22276021526291903</v>
      </c>
      <c r="AB88" s="26">
        <f t="shared" si="33"/>
        <v>0.17812322218943644</v>
      </c>
      <c r="AC88" s="26">
        <f t="shared" si="33"/>
        <v>0.23313956495874608</v>
      </c>
      <c r="AD88" s="26">
        <f t="shared" si="33"/>
        <v>0.29108525326457624</v>
      </c>
      <c r="AE88" s="26">
        <f t="shared" ref="AE88:AE90" si="34">D88</f>
        <v>7.6089975470835236E-2</v>
      </c>
    </row>
    <row r="89" spans="1:31">
      <c r="A89">
        <v>2</v>
      </c>
      <c r="C89" s="25" t="s">
        <v>471</v>
      </c>
      <c r="D89" s="26">
        <f>D75*$A$5</f>
        <v>0.13036160936740837</v>
      </c>
      <c r="E89" s="26">
        <f>E75*$A$5</f>
        <v>0.29762867738829663</v>
      </c>
      <c r="F89" s="26">
        <f>F75*$A$5</f>
        <v>0.55320293782999452</v>
      </c>
      <c r="G89" s="26">
        <f t="shared" ref="G89:M90" si="35">G75*$A$5</f>
        <v>0.44280462101328238</v>
      </c>
      <c r="H89" s="26">
        <f t="shared" si="35"/>
        <v>0.75621278519755142</v>
      </c>
      <c r="I89" s="26">
        <f t="shared" si="35"/>
        <v>0.37746996636232583</v>
      </c>
      <c r="J89" s="26">
        <f t="shared" si="35"/>
        <v>0.55933697949036665</v>
      </c>
      <c r="K89" s="26">
        <f t="shared" si="35"/>
        <v>0.39265763083672833</v>
      </c>
      <c r="L89" s="26">
        <f t="shared" si="35"/>
        <v>0.41555565501374164</v>
      </c>
      <c r="M89" s="26">
        <f t="shared" si="35"/>
        <v>0.45216332708663687</v>
      </c>
      <c r="N89" s="26"/>
      <c r="O89" s="26">
        <f t="shared" ref="O89:Q90" si="36">O75*$A$5</f>
        <v>0.54909981480052461</v>
      </c>
      <c r="P89" s="26">
        <f t="shared" si="36"/>
        <v>0.43376557526488041</v>
      </c>
      <c r="Q89" s="26">
        <f t="shared" si="36"/>
        <v>0.5926139025632321</v>
      </c>
      <c r="R89" s="26">
        <f>R75*$A$5</f>
        <v>0.4537760548466413</v>
      </c>
      <c r="S89" s="26">
        <f>S75*$A$5</f>
        <v>0.26300187613095172</v>
      </c>
      <c r="T89" s="26">
        <f>T75*$A$5</f>
        <v>0.40674584050487655</v>
      </c>
      <c r="U89" s="26">
        <f>U75*$A$5</f>
        <v>0.48833708416720156</v>
      </c>
      <c r="V89" s="26">
        <f t="shared" si="31"/>
        <v>0.57741042754884886</v>
      </c>
      <c r="W89" s="26">
        <f t="shared" si="31"/>
        <v>0.45244227792284963</v>
      </c>
      <c r="X89" s="26">
        <f t="shared" si="33"/>
        <v>0.55257776644569101</v>
      </c>
      <c r="Y89" s="26">
        <f t="shared" si="33"/>
        <v>0.40263453774727503</v>
      </c>
      <c r="Z89" s="26">
        <f t="shared" si="33"/>
        <v>0.52703349900596419</v>
      </c>
      <c r="AA89" s="26">
        <f t="shared" si="33"/>
        <v>0.49204913984690096</v>
      </c>
      <c r="AB89" s="26">
        <f t="shared" si="33"/>
        <v>0.44831762043933254</v>
      </c>
      <c r="AC89" s="26">
        <f t="shared" si="33"/>
        <v>0.42896699217173756</v>
      </c>
      <c r="AD89" s="26">
        <f t="shared" si="33"/>
        <v>0.35164550533265609</v>
      </c>
      <c r="AE89" s="26">
        <f t="shared" si="34"/>
        <v>0.13036160936740837</v>
      </c>
    </row>
    <row r="90" spans="1:31">
      <c r="A90">
        <v>3</v>
      </c>
      <c r="C90" s="25" t="s">
        <v>472</v>
      </c>
      <c r="D90" s="26">
        <f>D76*$A$5</f>
        <v>0.27721464156151432</v>
      </c>
      <c r="E90" s="26">
        <f>E76*$A$5</f>
        <v>0.85292018597442854</v>
      </c>
      <c r="F90" s="26">
        <f>F76*$A$5</f>
        <v>1.4950000000000001</v>
      </c>
      <c r="G90" s="26">
        <f t="shared" si="35"/>
        <v>1.061144306540583</v>
      </c>
      <c r="H90" s="26">
        <f t="shared" si="35"/>
        <v>1.0321552616446237</v>
      </c>
      <c r="I90" s="26">
        <f t="shared" si="35"/>
        <v>0.95150918452546651</v>
      </c>
      <c r="J90" s="26">
        <f t="shared" si="35"/>
        <v>1.0083239901071726</v>
      </c>
      <c r="K90" s="26">
        <f t="shared" si="35"/>
        <v>0.96348893195960406</v>
      </c>
      <c r="L90" s="26">
        <f t="shared" si="35"/>
        <v>1.1412952158693117</v>
      </c>
      <c r="M90" s="26">
        <f t="shared" si="35"/>
        <v>0.81214165902240854</v>
      </c>
      <c r="N90" s="26">
        <f>N76*$A$5</f>
        <v>1.0132218001168907</v>
      </c>
      <c r="O90" s="26">
        <f t="shared" si="36"/>
        <v>0.90275724492253362</v>
      </c>
      <c r="P90" s="26">
        <f t="shared" si="36"/>
        <v>1.0661802659202237</v>
      </c>
      <c r="Q90" s="26">
        <f t="shared" si="36"/>
        <v>1.069421906243057</v>
      </c>
      <c r="R90" s="26">
        <f>R76*$A$5</f>
        <v>0.78129176369433595</v>
      </c>
      <c r="S90" s="26">
        <f>S76*$A$5</f>
        <v>0.80817408748955144</v>
      </c>
      <c r="T90" s="26">
        <f>T76*$A$5</f>
        <v>0.9543972087044349</v>
      </c>
      <c r="U90" s="26">
        <f>U76*$A$5</f>
        <v>1.0827722121486856</v>
      </c>
      <c r="V90" s="26">
        <f t="shared" si="31"/>
        <v>0.7878578871955193</v>
      </c>
      <c r="W90" s="26">
        <f t="shared" si="31"/>
        <v>0.97269119698088458</v>
      </c>
      <c r="X90" s="26">
        <f t="shared" si="33"/>
        <v>0.95365039201710622</v>
      </c>
      <c r="Y90" s="26">
        <f t="shared" si="33"/>
        <v>0.96632909073377682</v>
      </c>
      <c r="Z90" s="26">
        <f t="shared" si="33"/>
        <v>0.91136036426712941</v>
      </c>
      <c r="AA90" s="26">
        <f t="shared" si="33"/>
        <v>0.99677401302401292</v>
      </c>
      <c r="AB90" s="26">
        <f t="shared" si="33"/>
        <v>0.99397979166666639</v>
      </c>
      <c r="AC90" s="26">
        <f t="shared" si="33"/>
        <v>0.83143858487277778</v>
      </c>
      <c r="AD90" s="26">
        <f t="shared" si="33"/>
        <v>0.92451627414659976</v>
      </c>
      <c r="AE90" s="26">
        <f t="shared" si="34"/>
        <v>0.27721464156151432</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D231" zoomScale="90" zoomScaleNormal="90" workbookViewId="0">
      <selection activeCell="H7" sqref="H7:H366"/>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0" t="s">
        <v>527</v>
      </c>
      <c r="D4" s="320"/>
      <c r="E4" s="320"/>
      <c r="F4" s="320"/>
      <c r="G4" s="320"/>
      <c r="H4" s="47" t="s">
        <v>530</v>
      </c>
      <c r="I4" s="47" t="s">
        <v>522</v>
      </c>
      <c r="J4" s="47" t="s">
        <v>523</v>
      </c>
      <c r="K4" s="318" t="s">
        <v>531</v>
      </c>
      <c r="L4" s="319"/>
      <c r="M4" s="319"/>
      <c r="N4" s="319"/>
      <c r="O4" s="319"/>
      <c r="P4" s="319"/>
      <c r="Q4" s="319"/>
      <c r="R4" s="319"/>
      <c r="S4" s="319"/>
      <c r="T4" s="319"/>
      <c r="U4" s="318" t="s">
        <v>528</v>
      </c>
      <c r="V4" s="319"/>
      <c r="W4" s="319"/>
      <c r="X4" s="319"/>
      <c r="Y4" s="319"/>
      <c r="Z4" s="319"/>
      <c r="AA4" s="319"/>
      <c r="AB4" s="319"/>
      <c r="AC4" s="319"/>
      <c r="AD4" s="319"/>
      <c r="AE4" s="319"/>
      <c r="AF4" s="319"/>
      <c r="AG4" s="319"/>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896</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1" t="s">
        <v>938</v>
      </c>
      <c r="D1" s="321"/>
      <c r="E1" s="321"/>
      <c r="F1" s="321"/>
      <c r="G1" s="321"/>
      <c r="H1" s="321"/>
      <c r="I1" s="321"/>
      <c r="J1" s="321"/>
      <c r="K1" s="321"/>
      <c r="L1" s="321"/>
      <c r="M1" s="321"/>
      <c r="N1" s="321"/>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744</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712</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949</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1" t="s">
        <v>655</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716</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952</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940</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929</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917</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780</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845</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810</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25" t="s">
        <v>1064</v>
      </c>
      <c r="B1" s="327" t="s">
        <v>1065</v>
      </c>
      <c r="C1" s="328"/>
      <c r="D1" s="328"/>
      <c r="E1" s="328"/>
      <c r="F1" s="329"/>
      <c r="G1" s="327" t="s">
        <v>1066</v>
      </c>
      <c r="H1" s="328"/>
      <c r="I1" s="328"/>
      <c r="J1" s="328"/>
      <c r="K1" s="329"/>
    </row>
    <row r="2" spans="1:14" ht="13.5" thickBot="1">
      <c r="A2" s="326"/>
      <c r="B2" s="166" t="s">
        <v>1067</v>
      </c>
      <c r="C2" s="167" t="s">
        <v>1068</v>
      </c>
      <c r="D2" s="167" t="s">
        <v>1069</v>
      </c>
      <c r="E2" s="167" t="s">
        <v>1070</v>
      </c>
      <c r="F2" s="168" t="s">
        <v>1071</v>
      </c>
      <c r="G2" s="166" t="s">
        <v>1067</v>
      </c>
      <c r="H2" s="167" t="s">
        <v>1068</v>
      </c>
      <c r="I2" s="167" t="s">
        <v>1069</v>
      </c>
      <c r="J2" s="167" t="s">
        <v>1070</v>
      </c>
      <c r="K2" s="168" t="s">
        <v>1071</v>
      </c>
      <c r="M2" s="169"/>
    </row>
    <row r="3" spans="1:14">
      <c r="A3" s="170" t="s">
        <v>460</v>
      </c>
      <c r="B3" s="171">
        <f>SUM(C3:F3)</f>
        <v>113.577</v>
      </c>
      <c r="C3" s="172">
        <v>94.888999999999996</v>
      </c>
      <c r="D3" s="173">
        <v>2.831</v>
      </c>
      <c r="E3" s="173"/>
      <c r="F3" s="174">
        <v>15.856999999999999</v>
      </c>
      <c r="G3" s="171">
        <f>B3/3.6</f>
        <v>31.549166666666665</v>
      </c>
      <c r="H3" s="175">
        <f>C3/3.6</f>
        <v>26.358055555555552</v>
      </c>
      <c r="I3" s="175">
        <f>D3/3.6</f>
        <v>0.7863888888888888</v>
      </c>
      <c r="J3" s="175">
        <f>E3/3.6</f>
        <v>0</v>
      </c>
      <c r="K3" s="176">
        <f>F3/3.6</f>
        <v>4.4047222222222215</v>
      </c>
      <c r="M3" s="177"/>
      <c r="N3" s="178"/>
    </row>
    <row r="7" spans="1:14" ht="15">
      <c r="A7" s="324" t="s">
        <v>1068</v>
      </c>
      <c r="B7" s="324"/>
      <c r="C7" s="324"/>
      <c r="D7" s="324"/>
    </row>
    <row r="8" spans="1:14" ht="15">
      <c r="A8" s="179" t="s">
        <v>558</v>
      </c>
      <c r="B8" s="179">
        <v>2015</v>
      </c>
      <c r="C8" s="179">
        <v>2020</v>
      </c>
      <c r="D8" s="179">
        <v>2030</v>
      </c>
    </row>
    <row r="9" spans="1:14">
      <c r="A9" t="s">
        <v>1072</v>
      </c>
      <c r="C9">
        <v>31.9</v>
      </c>
      <c r="D9">
        <v>36.299999999999997</v>
      </c>
    </row>
    <row r="10" spans="1:14">
      <c r="A10" t="s">
        <v>1073</v>
      </c>
      <c r="C10" s="22">
        <v>0.4</v>
      </c>
      <c r="D10" s="22">
        <v>0.7</v>
      </c>
    </row>
    <row r="11" spans="1:14">
      <c r="A11" t="s">
        <v>1074</v>
      </c>
      <c r="C11">
        <f>C9*(1-C10)</f>
        <v>19.139999999999997</v>
      </c>
      <c r="D11">
        <f>D9*(1-D10)</f>
        <v>10.89</v>
      </c>
    </row>
    <row r="12" spans="1:14">
      <c r="A12" t="s">
        <v>1075</v>
      </c>
      <c r="C12" s="22">
        <v>0.5</v>
      </c>
      <c r="D12" s="22">
        <f>C12</f>
        <v>0.5</v>
      </c>
    </row>
    <row r="13" spans="1:14">
      <c r="A13" t="s">
        <v>1076</v>
      </c>
      <c r="C13" s="22">
        <v>0.4</v>
      </c>
      <c r="D13" s="22">
        <f>C13</f>
        <v>0.4</v>
      </c>
    </row>
    <row r="14" spans="1:14">
      <c r="A14" t="s">
        <v>1077</v>
      </c>
      <c r="C14" s="178">
        <f>(C11/C12)*C13</f>
        <v>15.311999999999998</v>
      </c>
      <c r="D14" s="178">
        <f>(D11/D12)*D13</f>
        <v>8.7120000000000015</v>
      </c>
    </row>
    <row r="15" spans="1:14">
      <c r="A15" t="s">
        <v>1078</v>
      </c>
      <c r="C15">
        <f>C14*3600</f>
        <v>55123.19999999999</v>
      </c>
      <c r="D15">
        <f>D14*3600</f>
        <v>31363.200000000004</v>
      </c>
    </row>
    <row r="16" spans="1:14">
      <c r="A16" t="s">
        <v>1079</v>
      </c>
      <c r="B16" s="178">
        <f>C3</f>
        <v>94.888999999999996</v>
      </c>
      <c r="C16" s="178">
        <f>C15/1000</f>
        <v>55.12319999999999</v>
      </c>
      <c r="D16" s="180">
        <f>D15/1000</f>
        <v>31.363200000000003</v>
      </c>
    </row>
    <row r="17" spans="1:22">
      <c r="B17" s="178"/>
      <c r="C17" s="178"/>
      <c r="D17" s="178"/>
    </row>
    <row r="18" spans="1:22" ht="15">
      <c r="A18" s="324" t="s">
        <v>1080</v>
      </c>
      <c r="B18" s="324"/>
      <c r="C18" s="324"/>
      <c r="D18" s="324"/>
    </row>
    <row r="19" spans="1:22" ht="15">
      <c r="A19" s="179" t="s">
        <v>558</v>
      </c>
      <c r="B19" s="179"/>
      <c r="C19" s="179">
        <v>2020</v>
      </c>
      <c r="D19" s="179">
        <v>2030</v>
      </c>
    </row>
    <row r="20" spans="1:22">
      <c r="A20" t="s">
        <v>1081</v>
      </c>
      <c r="C20">
        <f>C9*C10</f>
        <v>12.76</v>
      </c>
      <c r="D20">
        <f>D9*D10</f>
        <v>25.409999999999997</v>
      </c>
    </row>
    <row r="21" spans="1:22" ht="15">
      <c r="A21" t="s">
        <v>1082</v>
      </c>
      <c r="C21" s="181">
        <v>0.127</v>
      </c>
      <c r="D21" s="182">
        <v>0.1</v>
      </c>
    </row>
    <row r="22" spans="1:22">
      <c r="A22" t="s">
        <v>1083</v>
      </c>
      <c r="C22" s="26">
        <f>C21*(C20/(1-C21))</f>
        <v>1.8562657502863689</v>
      </c>
      <c r="D22" s="26">
        <f>D21*(D20/(1-D21))</f>
        <v>2.8233333333333328</v>
      </c>
    </row>
    <row r="23" spans="1:22">
      <c r="A23" t="s">
        <v>1084</v>
      </c>
      <c r="C23" s="104">
        <v>3</v>
      </c>
      <c r="D23">
        <v>3</v>
      </c>
    </row>
    <row r="24" spans="1:22">
      <c r="A24" t="s">
        <v>1085</v>
      </c>
      <c r="C24" s="26">
        <f>C23*C22</f>
        <v>5.5687972508591068</v>
      </c>
      <c r="D24" s="26">
        <f>D23*D22</f>
        <v>8.4699999999999989</v>
      </c>
    </row>
    <row r="25" spans="1:22">
      <c r="A25" t="s">
        <v>1086</v>
      </c>
      <c r="C25" s="104">
        <f>C24*3600</f>
        <v>20047.670103092783</v>
      </c>
      <c r="D25" s="104">
        <f>D24*3600</f>
        <v>30491.999999999996</v>
      </c>
    </row>
    <row r="26" spans="1:22">
      <c r="A26" t="s">
        <v>1087</v>
      </c>
      <c r="C26" s="178">
        <f>C25/1000</f>
        <v>20.047670103092784</v>
      </c>
      <c r="D26" s="180">
        <f>D25/1000</f>
        <v>30.491999999999997</v>
      </c>
    </row>
    <row r="28" spans="1:22" ht="15">
      <c r="A28" s="324" t="s">
        <v>1088</v>
      </c>
      <c r="B28" s="324"/>
      <c r="C28" s="324"/>
      <c r="D28" s="324"/>
    </row>
    <row r="29" spans="1:22" ht="60">
      <c r="A29" s="179" t="s">
        <v>558</v>
      </c>
      <c r="B29" s="179">
        <v>2015</v>
      </c>
      <c r="C29" s="179">
        <v>2020</v>
      </c>
      <c r="D29" s="179">
        <v>2030</v>
      </c>
      <c r="G29" s="183"/>
      <c r="H29" s="184"/>
      <c r="I29" s="185" t="s">
        <v>1089</v>
      </c>
      <c r="J29" s="185" t="s">
        <v>1090</v>
      </c>
      <c r="K29" s="185" t="s">
        <v>1091</v>
      </c>
      <c r="L29" s="185" t="s">
        <v>1092</v>
      </c>
      <c r="S29" t="s">
        <v>1093</v>
      </c>
    </row>
    <row r="30" spans="1:22" ht="15">
      <c r="A30" t="s">
        <v>1094</v>
      </c>
      <c r="B30">
        <v>18</v>
      </c>
      <c r="C30">
        <f>B30+60</f>
        <v>78</v>
      </c>
      <c r="D30">
        <f>C30+18.5</f>
        <v>96.5</v>
      </c>
      <c r="G30" s="183"/>
      <c r="H30" s="183" t="s">
        <v>1095</v>
      </c>
      <c r="I30" s="183" t="s">
        <v>1096</v>
      </c>
      <c r="J30" s="183" t="s">
        <v>1097</v>
      </c>
      <c r="K30" s="183" t="s">
        <v>1098</v>
      </c>
      <c r="L30" s="183" t="s">
        <v>1099</v>
      </c>
      <c r="S30" t="s">
        <v>1100</v>
      </c>
      <c r="T30" s="322" t="s">
        <v>1092</v>
      </c>
      <c r="U30" s="323"/>
      <c r="V30" s="323"/>
    </row>
    <row r="31" spans="1:22" ht="15">
      <c r="A31" t="s">
        <v>1101</v>
      </c>
      <c r="B31" s="22">
        <v>0.25</v>
      </c>
      <c r="C31" s="22">
        <f>B31</f>
        <v>0.25</v>
      </c>
      <c r="D31" s="22">
        <f>C31</f>
        <v>0.25</v>
      </c>
      <c r="G31" s="184" t="s">
        <v>1102</v>
      </c>
      <c r="H31" s="183">
        <v>311.65399600000001</v>
      </c>
      <c r="I31" s="183">
        <v>8845.3479520000001</v>
      </c>
      <c r="J31" s="183">
        <v>22461.807872000001</v>
      </c>
      <c r="K31" s="183">
        <v>28682.778717000001</v>
      </c>
      <c r="L31" s="183">
        <v>8653.6989190000004</v>
      </c>
      <c r="S31" t="s">
        <v>1103</v>
      </c>
      <c r="T31">
        <v>0.35792764326805798</v>
      </c>
    </row>
    <row r="32" spans="1:22" ht="15">
      <c r="A32" t="s">
        <v>1104</v>
      </c>
      <c r="B32" s="104">
        <f>B30/B31</f>
        <v>72</v>
      </c>
      <c r="C32" s="104">
        <f>C30/C31</f>
        <v>312</v>
      </c>
      <c r="D32" s="104">
        <f>D30/D31</f>
        <v>386</v>
      </c>
      <c r="G32" s="184" t="s">
        <v>1105</v>
      </c>
      <c r="H32" s="186">
        <v>2.9555506715861044E-3</v>
      </c>
      <c r="I32" s="187">
        <v>8.3884289678565108E-2</v>
      </c>
      <c r="J32" s="187">
        <v>0.21301511353355998</v>
      </c>
      <c r="K32" s="187">
        <v>0.2720112913295839</v>
      </c>
      <c r="L32" s="187">
        <v>8.2066798372623442E-2</v>
      </c>
      <c r="N32" s="188">
        <f>SUM(I32:L32)</f>
        <v>0.65097749291433249</v>
      </c>
      <c r="Q32" t="s">
        <v>1106</v>
      </c>
      <c r="S32" t="s">
        <v>1107</v>
      </c>
      <c r="T32">
        <v>0.5922178577259587</v>
      </c>
    </row>
    <row r="33" spans="1:22" ht="15">
      <c r="A33" t="s">
        <v>1108</v>
      </c>
      <c r="B33" s="22">
        <v>0.8</v>
      </c>
      <c r="C33" s="22">
        <f>B33</f>
        <v>0.8</v>
      </c>
      <c r="D33" s="22">
        <f>C33</f>
        <v>0.8</v>
      </c>
      <c r="G33" s="184" t="s">
        <v>1109</v>
      </c>
      <c r="H33" s="189"/>
      <c r="I33" s="189">
        <v>8</v>
      </c>
      <c r="J33" s="189">
        <v>6</v>
      </c>
      <c r="K33" s="189">
        <v>3.7</v>
      </c>
      <c r="L33" s="189">
        <v>1.9</v>
      </c>
      <c r="Q33" s="22">
        <v>0.65</v>
      </c>
      <c r="S33" t="s">
        <v>1110</v>
      </c>
      <c r="T33">
        <v>5.2470383697893502E-2</v>
      </c>
    </row>
    <row r="34" spans="1:22" ht="15">
      <c r="A34" t="s">
        <v>1111</v>
      </c>
      <c r="B34" s="22">
        <v>0.7</v>
      </c>
      <c r="C34" s="22">
        <f>B34</f>
        <v>0.7</v>
      </c>
      <c r="D34" s="22">
        <f>C34</f>
        <v>0.7</v>
      </c>
      <c r="G34" s="184" t="s">
        <v>1112</v>
      </c>
      <c r="H34" s="183"/>
      <c r="I34" s="183">
        <v>1387</v>
      </c>
      <c r="J34" s="183">
        <v>2642</v>
      </c>
      <c r="K34" s="183">
        <v>2080</v>
      </c>
      <c r="L34" s="183">
        <v>322</v>
      </c>
      <c r="S34" t="s">
        <v>1113</v>
      </c>
      <c r="T34">
        <f>I41*Q33*L32</f>
        <v>1.4264030225145681</v>
      </c>
      <c r="V34">
        <f>I41*(Q33/L32)</f>
        <v>211.79088674913027</v>
      </c>
    </row>
    <row r="35" spans="1:22" ht="15">
      <c r="A35" t="s">
        <v>1114</v>
      </c>
      <c r="B35" s="104">
        <f>(B32*8760*B33*B34)</f>
        <v>353203.19999999995</v>
      </c>
      <c r="C35" s="104">
        <f>(C32*8760*C33*C34)</f>
        <v>1530547.2</v>
      </c>
      <c r="D35" s="104">
        <f>(D32*8760*D33*D34)</f>
        <v>1893561.5999999999</v>
      </c>
      <c r="G35" s="184" t="s">
        <v>1115</v>
      </c>
      <c r="H35" s="183"/>
      <c r="I35" s="190">
        <f t="shared" ref="I35:K35" si="0">I34*110%</f>
        <v>1525.7</v>
      </c>
      <c r="J35" s="190">
        <f>J34*110%</f>
        <v>2906.2000000000003</v>
      </c>
      <c r="K35" s="190">
        <f t="shared" si="0"/>
        <v>2288</v>
      </c>
      <c r="L35" s="190">
        <f>L34*110%</f>
        <v>354.20000000000005</v>
      </c>
      <c r="S35" t="s">
        <v>1116</v>
      </c>
      <c r="T35" s="322" t="s">
        <v>1091</v>
      </c>
      <c r="U35" s="323"/>
      <c r="V35" s="323"/>
    </row>
    <row r="36" spans="1:22">
      <c r="A36" t="s">
        <v>1066</v>
      </c>
      <c r="B36" s="178">
        <f>B35/10^6</f>
        <v>0.35320319999999994</v>
      </c>
      <c r="C36" s="178">
        <f>C35/10^6</f>
        <v>1.5305472</v>
      </c>
      <c r="D36" s="178">
        <f>D35/10^6</f>
        <v>1.8935616</v>
      </c>
      <c r="G36" s="104"/>
      <c r="H36" s="104"/>
      <c r="I36" s="104"/>
      <c r="J36" s="104"/>
      <c r="K36" s="104"/>
      <c r="L36" s="104"/>
      <c r="S36" t="s">
        <v>1103</v>
      </c>
      <c r="T36">
        <v>0.31966635214720912</v>
      </c>
    </row>
    <row r="37" spans="1:22">
      <c r="A37" t="s">
        <v>1117</v>
      </c>
      <c r="B37" s="104">
        <f>B36*3600</f>
        <v>1271.5315199999998</v>
      </c>
      <c r="C37" s="104">
        <f>C36*3600</f>
        <v>5509.9699199999995</v>
      </c>
      <c r="D37" s="104">
        <f>D36*3600</f>
        <v>6816.8217599999998</v>
      </c>
      <c r="G37" s="104" t="s">
        <v>1118</v>
      </c>
      <c r="H37" s="104"/>
      <c r="I37" s="104"/>
      <c r="J37" s="104"/>
      <c r="K37" s="104"/>
      <c r="L37" s="104"/>
      <c r="S37" t="s">
        <v>1107</v>
      </c>
      <c r="T37">
        <v>0.60404221809878245</v>
      </c>
    </row>
    <row r="38" spans="1:22">
      <c r="A38" t="s">
        <v>1065</v>
      </c>
      <c r="B38" s="26">
        <f>B37/1000</f>
        <v>1.2715315199999997</v>
      </c>
      <c r="C38" s="26">
        <f>C37/1000</f>
        <v>5.5099699199999996</v>
      </c>
      <c r="D38" s="191">
        <f>D37/1000</f>
        <v>6.8168217599999998</v>
      </c>
      <c r="S38" t="s">
        <v>1110</v>
      </c>
      <c r="T38">
        <v>7.6291429754008364E-2</v>
      </c>
    </row>
    <row r="39" spans="1:22">
      <c r="G39" t="s">
        <v>1119</v>
      </c>
      <c r="M39">
        <v>2018</v>
      </c>
      <c r="S39" t="s">
        <v>1113</v>
      </c>
    </row>
    <row r="40" spans="1:22" ht="15">
      <c r="A40" s="324" t="s">
        <v>1071</v>
      </c>
      <c r="B40" s="324"/>
      <c r="C40" s="324"/>
      <c r="D40" s="324"/>
      <c r="F40" t="s">
        <v>1120</v>
      </c>
      <c r="G40" t="s">
        <v>1121</v>
      </c>
      <c r="I40">
        <v>101.7</v>
      </c>
      <c r="J40" t="s">
        <v>484</v>
      </c>
      <c r="L40" t="s">
        <v>1103</v>
      </c>
      <c r="M40">
        <v>4.6900000000000004</v>
      </c>
      <c r="N40" t="s">
        <v>484</v>
      </c>
    </row>
    <row r="41" spans="1:22" ht="15">
      <c r="A41" s="179" t="s">
        <v>558</v>
      </c>
      <c r="B41" s="179">
        <v>2015</v>
      </c>
      <c r="D41" s="179">
        <v>2030</v>
      </c>
      <c r="F41" t="s">
        <v>1122</v>
      </c>
      <c r="G41" t="s">
        <v>1123</v>
      </c>
      <c r="I41">
        <v>26.74</v>
      </c>
      <c r="J41" t="s">
        <v>484</v>
      </c>
      <c r="L41" t="s">
        <v>1107</v>
      </c>
      <c r="M41">
        <v>37.79</v>
      </c>
      <c r="N41" t="s">
        <v>484</v>
      </c>
      <c r="S41" t="s">
        <v>1124</v>
      </c>
      <c r="T41" s="322" t="s">
        <v>1125</v>
      </c>
      <c r="U41" s="323"/>
      <c r="V41" s="323"/>
    </row>
    <row r="42" spans="1:22" ht="15">
      <c r="A42" t="s">
        <v>1126</v>
      </c>
      <c r="B42" s="26">
        <f>F3</f>
        <v>15.856999999999999</v>
      </c>
      <c r="D42" s="192">
        <f>B42</f>
        <v>15.856999999999999</v>
      </c>
      <c r="I42">
        <f>SUM(I40:I41)</f>
        <v>128.44</v>
      </c>
      <c r="J42" t="s">
        <v>484</v>
      </c>
      <c r="L42" t="s">
        <v>1110</v>
      </c>
      <c r="M42">
        <v>59.22</v>
      </c>
      <c r="N42" t="s">
        <v>484</v>
      </c>
      <c r="S42" t="s">
        <v>1103</v>
      </c>
      <c r="T42">
        <v>0.20014125552486003</v>
      </c>
    </row>
    <row r="43" spans="1:22">
      <c r="S43" t="s">
        <v>1107</v>
      </c>
      <c r="T43">
        <v>0.54761388560430635</v>
      </c>
    </row>
    <row r="44" spans="1:22">
      <c r="S44" t="s">
        <v>1110</v>
      </c>
      <c r="T44">
        <v>0.25224485887083364</v>
      </c>
    </row>
    <row r="45" spans="1:22" ht="15">
      <c r="A45" s="324" t="s">
        <v>1127</v>
      </c>
      <c r="B45" s="324"/>
      <c r="C45" s="324"/>
      <c r="D45" s="324"/>
      <c r="S45" t="s">
        <v>1113</v>
      </c>
    </row>
    <row r="46" spans="1:22" ht="15">
      <c r="A46" s="179" t="s">
        <v>558</v>
      </c>
      <c r="B46" s="179">
        <v>2018</v>
      </c>
      <c r="C46" s="179">
        <v>2020</v>
      </c>
      <c r="D46" s="179">
        <v>2030</v>
      </c>
      <c r="F46" s="179" t="s">
        <v>1128</v>
      </c>
    </row>
    <row r="47" spans="1:22">
      <c r="A47" t="s">
        <v>1129</v>
      </c>
      <c r="B47">
        <v>400</v>
      </c>
      <c r="C47">
        <v>700</v>
      </c>
      <c r="D47">
        <v>1400</v>
      </c>
    </row>
    <row r="48" spans="1:22" ht="30" customHeight="1">
      <c r="A48" s="193" t="s">
        <v>1130</v>
      </c>
      <c r="B48" s="194">
        <v>0.5</v>
      </c>
      <c r="C48" s="194">
        <f>B48</f>
        <v>0.5</v>
      </c>
      <c r="D48" s="194">
        <f>C48</f>
        <v>0.5</v>
      </c>
    </row>
    <row r="49" spans="1:4">
      <c r="A49" t="s">
        <v>1131</v>
      </c>
      <c r="B49">
        <f>B48*B47</f>
        <v>200</v>
      </c>
      <c r="C49">
        <f t="shared" ref="C49:D49" si="1">C48*C47</f>
        <v>350</v>
      </c>
      <c r="D49">
        <f t="shared" si="1"/>
        <v>700</v>
      </c>
    </row>
    <row r="50" spans="1:4">
      <c r="A50" t="s">
        <v>1132</v>
      </c>
      <c r="B50" s="22">
        <v>1</v>
      </c>
      <c r="C50" s="22">
        <f>B50</f>
        <v>1</v>
      </c>
      <c r="D50" s="22">
        <f>C50</f>
        <v>1</v>
      </c>
    </row>
    <row r="51" spans="1:4">
      <c r="A51" t="s">
        <v>1133</v>
      </c>
      <c r="B51">
        <f>B49*B50*8760</f>
        <v>1752000</v>
      </c>
      <c r="C51">
        <f>C49*C50*8760</f>
        <v>3066000</v>
      </c>
      <c r="D51">
        <f>D49*D50*8760</f>
        <v>6132000</v>
      </c>
    </row>
    <row r="52" spans="1:4">
      <c r="A52" t="s">
        <v>1134</v>
      </c>
      <c r="B52" s="178">
        <f>B51/10^6</f>
        <v>1.752</v>
      </c>
      <c r="C52" s="178">
        <f>C51/10^6</f>
        <v>3.0659999999999998</v>
      </c>
      <c r="D52" s="178">
        <f>D51/10^6</f>
        <v>6.1319999999999997</v>
      </c>
    </row>
    <row r="53" spans="1:4">
      <c r="A53" t="s">
        <v>1135</v>
      </c>
      <c r="B53" s="104">
        <f>B52*3600</f>
        <v>6307.2</v>
      </c>
      <c r="C53" s="104">
        <f>C52*3600</f>
        <v>11037.599999999999</v>
      </c>
      <c r="D53" s="104">
        <f>D52*3600</f>
        <v>22075.199999999997</v>
      </c>
    </row>
    <row r="54" spans="1:4">
      <c r="A54" t="s">
        <v>1136</v>
      </c>
      <c r="B54" s="26">
        <f>B53/1000</f>
        <v>6.3071999999999999</v>
      </c>
      <c r="C54" s="26">
        <f>C53/1000</f>
        <v>11.037599999999999</v>
      </c>
      <c r="D54" s="191">
        <f>D53/1000</f>
        <v>22.075199999999999</v>
      </c>
    </row>
    <row r="58" spans="1:4" ht="15">
      <c r="A58" s="195" t="str">
        <f>A54</f>
        <v>Excess Heat Production (PJ)</v>
      </c>
      <c r="B58" s="195">
        <v>2020</v>
      </c>
      <c r="C58" s="195">
        <v>2030</v>
      </c>
    </row>
    <row r="59" spans="1:4" ht="60" customHeight="1">
      <c r="A59" s="165" t="str">
        <f>A7</f>
        <v>Power Plants</v>
      </c>
      <c r="B59" s="196">
        <f>C16</f>
        <v>55.12319999999999</v>
      </c>
      <c r="C59" s="196">
        <f>D16</f>
        <v>31.363200000000003</v>
      </c>
    </row>
    <row r="60" spans="1:4">
      <c r="A60" s="165" t="str">
        <f>A18</f>
        <v>Excess Renewable Electricity via Heat Pump</v>
      </c>
      <c r="B60" s="197">
        <f>C26</f>
        <v>20.047670103092784</v>
      </c>
      <c r="C60" s="197">
        <f>D26</f>
        <v>30.491999999999997</v>
      </c>
    </row>
    <row r="61" spans="1:4">
      <c r="A61" s="165" t="str">
        <f>A28</f>
        <v>Waste Incinteration</v>
      </c>
      <c r="B61" s="196">
        <f>C38</f>
        <v>5.5099699199999996</v>
      </c>
      <c r="C61" s="196">
        <f>D38</f>
        <v>6.8168217599999998</v>
      </c>
    </row>
    <row r="62" spans="1:4">
      <c r="A62" s="165" t="str">
        <f>A40</f>
        <v>Industrial Excess Heat</v>
      </c>
      <c r="B62" s="196">
        <f>B42</f>
        <v>15.856999999999999</v>
      </c>
      <c r="C62" s="196">
        <f>D42</f>
        <v>15.856999999999999</v>
      </c>
    </row>
    <row r="63" spans="1:4" ht="13.5" thickBot="1">
      <c r="A63" s="198" t="str">
        <f>A45</f>
        <v>Data Centres</v>
      </c>
      <c r="B63" s="199">
        <f>C54</f>
        <v>11.037599999999999</v>
      </c>
      <c r="C63" s="199">
        <f>D54</f>
        <v>22.075199999999999</v>
      </c>
    </row>
    <row r="64" spans="1:4" ht="15.75" thickTop="1">
      <c r="A64" s="200" t="s">
        <v>1067</v>
      </c>
      <c r="B64" s="201">
        <f>SUM(B59:B63)</f>
        <v>107.57544002309277</v>
      </c>
      <c r="C64" s="201">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774</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2023-03-19T11:56:39Z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853115320205688</vt:r8>
  </property>
</Properties>
</file>