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DFD01E8-D4D5-486B-8F16-E910BB4718EA}" xr6:coauthVersionLast="45" xr6:coauthVersionMax="47" xr10:uidLastSave="{00000000-0000-0000-0000-000000000000}"/>
  <bookViews>
    <workbookView xWindow="-120" yWindow="-120" windowWidth="29040" windowHeight="15840" firstSheet="10" activeTab="15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3" i="48" l="1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G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G10" i="48"/>
  <c r="G13" i="48"/>
  <c r="G12" i="48"/>
  <c r="G9" i="48"/>
  <c r="G8" i="48"/>
  <c r="G7" i="48"/>
  <c r="G6" i="48"/>
  <c r="G5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B146" i="56" l="1"/>
  <c r="B141" i="56"/>
  <c r="B136" i="56"/>
  <c r="B131" i="56"/>
  <c r="B126" i="56"/>
  <c r="B121" i="56"/>
  <c r="B116" i="56"/>
  <c r="B111" i="56"/>
  <c r="B106" i="56"/>
  <c r="B96" i="56"/>
  <c r="B91" i="56"/>
  <c r="B86" i="56"/>
  <c r="B81" i="56"/>
  <c r="B76" i="56"/>
  <c r="B71" i="56"/>
  <c r="B66" i="56"/>
  <c r="B61" i="56"/>
  <c r="B56" i="56"/>
  <c r="B46" i="56"/>
  <c r="B41" i="56"/>
  <c r="B36" i="56"/>
  <c r="B31" i="56"/>
  <c r="B26" i="56"/>
  <c r="B21" i="56"/>
  <c r="B16" i="56"/>
  <c r="B11" i="56"/>
  <c r="B6" i="56"/>
  <c r="B6" i="48"/>
  <c r="B7" i="48"/>
  <c r="B8" i="48"/>
  <c r="B9" i="48"/>
  <c r="B10" i="48"/>
  <c r="B11" i="48"/>
  <c r="B12" i="48"/>
  <c r="B13" i="48"/>
  <c r="B5" i="48"/>
  <c r="L60" i="52" l="1"/>
  <c r="L59" i="52"/>
  <c r="L50" i="52"/>
  <c r="L51" i="52"/>
  <c r="L49" i="52"/>
  <c r="L46" i="52"/>
  <c r="L44" i="52"/>
  <c r="L42" i="52"/>
  <c r="L40" i="52"/>
  <c r="L34" i="52"/>
  <c r="L35" i="52"/>
  <c r="L36" i="52"/>
  <c r="L37" i="52"/>
  <c r="L38" i="52"/>
  <c r="L33" i="52"/>
  <c r="L24" i="52"/>
  <c r="L23" i="52"/>
  <c r="L20" i="52"/>
  <c r="L18" i="52"/>
  <c r="L16" i="52"/>
  <c r="L14" i="52"/>
  <c r="L8" i="52"/>
  <c r="L9" i="52"/>
  <c r="L10" i="52"/>
  <c r="L11" i="52"/>
  <c r="L12" i="52"/>
  <c r="L7" i="52"/>
  <c r="AG46" i="51"/>
  <c r="AG47" i="51"/>
  <c r="AG48" i="51"/>
  <c r="AG45" i="51"/>
  <c r="AG43" i="51"/>
  <c r="AG41" i="51"/>
  <c r="AG34" i="51"/>
  <c r="AG35" i="51"/>
  <c r="AG36" i="51"/>
  <c r="AG37" i="51"/>
  <c r="AG38" i="51"/>
  <c r="AG39" i="51"/>
  <c r="AG33" i="51"/>
  <c r="AG21" i="51"/>
  <c r="AG22" i="51"/>
  <c r="AG20" i="51"/>
  <c r="AG18" i="51"/>
  <c r="AG16" i="51"/>
  <c r="AG14" i="51"/>
  <c r="AG9" i="51"/>
  <c r="AG10" i="51"/>
  <c r="AG11" i="51"/>
  <c r="AG12" i="51"/>
  <c r="AG8" i="51"/>
  <c r="AG7" i="51"/>
  <c r="L60" i="51"/>
  <c r="L59" i="51"/>
  <c r="L51" i="51"/>
  <c r="L50" i="51"/>
  <c r="L49" i="51"/>
  <c r="L46" i="51"/>
  <c r="L44" i="51"/>
  <c r="L42" i="51"/>
  <c r="L40" i="51"/>
  <c r="L34" i="51"/>
  <c r="L35" i="51"/>
  <c r="L36" i="51"/>
  <c r="L37" i="51"/>
  <c r="L38" i="51"/>
  <c r="L33" i="51"/>
  <c r="L24" i="51"/>
  <c r="L23" i="51"/>
  <c r="L20" i="51"/>
  <c r="L18" i="51"/>
  <c r="L16" i="51"/>
  <c r="L14" i="51"/>
  <c r="L12" i="51"/>
  <c r="L11" i="51"/>
  <c r="L10" i="51"/>
  <c r="L9" i="51"/>
  <c r="L8" i="51"/>
  <c r="L7" i="51"/>
  <c r="AG48" i="28"/>
  <c r="AG47" i="28"/>
  <c r="AG46" i="28"/>
  <c r="AG45" i="28"/>
  <c r="AG43" i="28"/>
  <c r="AG41" i="28"/>
  <c r="AG39" i="28"/>
  <c r="AG38" i="28"/>
  <c r="AG37" i="28"/>
  <c r="AG36" i="28"/>
  <c r="AG35" i="28"/>
  <c r="AG34" i="28"/>
  <c r="AG33" i="28"/>
  <c r="AG21" i="28"/>
  <c r="AG22" i="28"/>
  <c r="AG20" i="28"/>
  <c r="AG18" i="28"/>
  <c r="AG16" i="28"/>
  <c r="AG14" i="28"/>
  <c r="AG9" i="28"/>
  <c r="AG10" i="28"/>
  <c r="AG11" i="28"/>
  <c r="AG12" i="28"/>
  <c r="AG8" i="28"/>
  <c r="AG7" i="28"/>
  <c r="L60" i="28"/>
  <c r="L59" i="28"/>
  <c r="L51" i="28"/>
  <c r="L50" i="28"/>
  <c r="L49" i="28"/>
  <c r="L46" i="28"/>
  <c r="L44" i="28"/>
  <c r="L42" i="28"/>
  <c r="L40" i="28"/>
  <c r="L38" i="28"/>
  <c r="L37" i="28"/>
  <c r="L36" i="28"/>
  <c r="L35" i="28"/>
  <c r="L34" i="28"/>
  <c r="L33" i="28"/>
  <c r="L24" i="28"/>
  <c r="L23" i="28"/>
  <c r="L20" i="28"/>
  <c r="L18" i="28"/>
  <c r="L16" i="28"/>
  <c r="L14" i="28"/>
  <c r="L12" i="28"/>
  <c r="L11" i="28"/>
  <c r="L10" i="28"/>
  <c r="L9" i="28"/>
  <c r="L8" i="28"/>
  <c r="L7" i="28"/>
  <c r="AQ8" i="48"/>
  <c r="AQ9" i="48"/>
  <c r="AQ10" i="48"/>
  <c r="AQ11" i="48"/>
  <c r="AQ12" i="48"/>
  <c r="AQ13" i="48"/>
  <c r="AQ7" i="48"/>
  <c r="AQ6" i="48"/>
  <c r="AQ5" i="48"/>
  <c r="BX9" i="56"/>
  <c r="BX10" i="56"/>
  <c r="BX11" i="56"/>
  <c r="BX12" i="56"/>
  <c r="BX13" i="56"/>
  <c r="BX14" i="56"/>
  <c r="BX15" i="56"/>
  <c r="BX16" i="56"/>
  <c r="BX17" i="56"/>
  <c r="BX18" i="56"/>
  <c r="BX19" i="56"/>
  <c r="BX20" i="56"/>
  <c r="BX21" i="56"/>
  <c r="BX22" i="56"/>
  <c r="BX23" i="56"/>
  <c r="BX24" i="56"/>
  <c r="BX25" i="56"/>
  <c r="BX26" i="56"/>
  <c r="BX27" i="56"/>
  <c r="BX28" i="56"/>
  <c r="BX29" i="56"/>
  <c r="BX30" i="56"/>
  <c r="BX31" i="56"/>
  <c r="BX32" i="56"/>
  <c r="BX8" i="56"/>
  <c r="BX7" i="56"/>
  <c r="BX6" i="56"/>
  <c r="J18" i="54"/>
  <c r="J17" i="54"/>
  <c r="J16" i="54"/>
  <c r="J15" i="54"/>
  <c r="J14" i="54"/>
  <c r="J13" i="54"/>
  <c r="J12" i="54"/>
  <c r="J11" i="54"/>
  <c r="J10" i="54"/>
  <c r="J9" i="54"/>
  <c r="J8" i="54"/>
  <c r="J7" i="54"/>
  <c r="J6" i="54"/>
  <c r="B9" i="54"/>
  <c r="B10" i="54"/>
  <c r="B11" i="54"/>
  <c r="B12" i="54"/>
  <c r="B13" i="54"/>
  <c r="B14" i="54"/>
  <c r="B15" i="54"/>
  <c r="B16" i="54"/>
  <c r="B17" i="54"/>
  <c r="B18" i="54"/>
  <c r="B8" i="54"/>
  <c r="B7" i="54"/>
  <c r="B6" i="54"/>
  <c r="B12" i="3"/>
  <c r="B11" i="3"/>
  <c r="B10" i="3"/>
  <c r="B9" i="3"/>
  <c r="B8" i="3"/>
  <c r="B7" i="3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CR57" i="56" l="1"/>
  <c r="CS57" i="56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1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AU91" i="27"/>
  <c r="BA94" i="27"/>
  <c r="BB94" i="27"/>
  <c r="BC94" i="27"/>
  <c r="BA101" i="27"/>
  <c r="BB101" i="27"/>
  <c r="BC101" i="27"/>
  <c r="C13" i="51"/>
  <c r="I19" i="27"/>
  <c r="C17" i="28"/>
  <c r="AW120" i="27"/>
  <c r="AV120" i="27"/>
  <c r="AU120" i="27"/>
  <c r="AW119" i="27"/>
  <c r="AV119" i="27"/>
  <c r="AU119" i="27"/>
  <c r="AW118" i="27"/>
  <c r="AV118" i="27"/>
  <c r="AU118" i="27"/>
  <c r="AW117" i="27"/>
  <c r="AV117" i="27"/>
  <c r="AU117" i="27"/>
  <c r="AW116" i="27"/>
  <c r="AV116" i="27"/>
  <c r="AU116" i="27"/>
  <c r="AW115" i="27"/>
  <c r="AV115" i="27"/>
  <c r="AU115" i="27"/>
  <c r="AW114" i="27"/>
  <c r="AV114" i="27"/>
  <c r="AU114" i="27"/>
  <c r="AW113" i="27"/>
  <c r="AV113" i="27"/>
  <c r="AU113" i="27"/>
  <c r="AU112" i="27"/>
  <c r="AW112" i="27"/>
  <c r="AV112" i="27"/>
  <c r="AW111" i="27"/>
  <c r="AV111" i="27"/>
  <c r="AU111" i="27"/>
  <c r="AW110" i="27"/>
  <c r="AV110" i="27"/>
  <c r="AU110" i="27"/>
  <c r="AW109" i="27"/>
  <c r="AV109" i="27"/>
  <c r="AU109" i="27"/>
  <c r="AW108" i="27"/>
  <c r="AV108" i="27"/>
  <c r="AU108" i="27"/>
  <c r="AW107" i="27"/>
  <c r="AV107" i="27"/>
  <c r="AU107" i="27"/>
  <c r="AW106" i="27"/>
  <c r="AV106" i="27"/>
  <c r="AU106" i="27"/>
  <c r="AW105" i="27"/>
  <c r="AV105" i="27"/>
  <c r="AU105" i="27"/>
  <c r="AW104" i="27"/>
  <c r="AV104" i="27"/>
  <c r="AU104" i="27"/>
  <c r="AW103" i="27"/>
  <c r="AV103" i="27"/>
  <c r="AU103" i="27"/>
  <c r="AW102" i="27"/>
  <c r="AV102" i="27"/>
  <c r="AU102" i="27"/>
  <c r="AW100" i="27"/>
  <c r="AV100" i="27"/>
  <c r="AU100" i="27"/>
  <c r="AW96" i="27"/>
  <c r="AV96" i="27"/>
  <c r="AU96" i="27"/>
  <c r="AU92" i="27"/>
  <c r="AS90" i="27"/>
  <c r="AW95" i="27"/>
  <c r="AV95" i="27"/>
  <c r="AU95" i="27"/>
  <c r="AW93" i="27" l="1"/>
  <c r="AV93" i="27"/>
  <c r="AU93" i="27"/>
  <c r="AW92" i="27"/>
  <c r="AV92" i="27"/>
  <c r="AW91" i="27"/>
  <c r="AV91" i="27"/>
  <c r="AW90" i="27"/>
  <c r="AV90" i="27"/>
  <c r="AU90" i="27"/>
  <c r="AT90" i="27"/>
  <c r="AT91" i="27"/>
  <c r="AT92" i="27"/>
  <c r="AT93" i="27"/>
  <c r="AT94" i="27"/>
  <c r="AT95" i="27"/>
  <c r="AT96" i="27"/>
  <c r="AT97" i="27"/>
  <c r="AT98" i="27"/>
  <c r="AT99" i="27"/>
  <c r="AT100" i="27"/>
  <c r="AT101" i="27"/>
  <c r="AT102" i="27"/>
  <c r="AT103" i="27"/>
  <c r="AT104" i="27"/>
  <c r="AT105" i="27"/>
  <c r="AT106" i="27"/>
  <c r="AT107" i="27"/>
  <c r="AT108" i="27"/>
  <c r="AT109" i="27"/>
  <c r="AT110" i="27"/>
  <c r="AT111" i="27"/>
  <c r="AT112" i="27"/>
  <c r="AT113" i="27"/>
  <c r="AT114" i="27"/>
  <c r="AT115" i="27"/>
  <c r="AT116" i="27"/>
  <c r="AT117" i="27"/>
  <c r="AT118" i="27"/>
  <c r="AT119" i="27"/>
  <c r="AT120" i="27"/>
  <c r="AT89" i="27"/>
  <c r="AS91" i="27" l="1"/>
  <c r="AS92" i="27"/>
  <c r="AS93" i="27"/>
  <c r="AS94" i="27"/>
  <c r="AS95" i="27"/>
  <c r="AS96" i="27"/>
  <c r="AS97" i="27"/>
  <c r="AS98" i="27"/>
  <c r="AS99" i="27"/>
  <c r="AS100" i="27"/>
  <c r="AS101" i="27"/>
  <c r="AS102" i="27"/>
  <c r="AS103" i="27"/>
  <c r="AS104" i="27"/>
  <c r="AS105" i="27"/>
  <c r="AS106" i="27"/>
  <c r="AS107" i="27"/>
  <c r="AS108" i="27"/>
  <c r="AS109" i="27"/>
  <c r="AS110" i="27"/>
  <c r="AS111" i="27"/>
  <c r="AS112" i="27"/>
  <c r="AS113" i="27"/>
  <c r="AS114" i="27"/>
  <c r="AS115" i="27"/>
  <c r="AS116" i="27"/>
  <c r="AS117" i="27"/>
  <c r="AS118" i="27"/>
  <c r="AS119" i="27"/>
  <c r="AS120" i="27"/>
  <c r="AS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BL150" i="56" s="1"/>
  <c r="CT77" i="56"/>
  <c r="BL149" i="56" s="1"/>
  <c r="CS77" i="56"/>
  <c r="BL148" i="56" s="1"/>
  <c r="CR77" i="56"/>
  <c r="BL146" i="56" s="1"/>
  <c r="CU76" i="56"/>
  <c r="BL145" i="56" s="1"/>
  <c r="CT76" i="56"/>
  <c r="BL144" i="56" s="1"/>
  <c r="CS76" i="56"/>
  <c r="BL143" i="56" s="1"/>
  <c r="CR76" i="56"/>
  <c r="BL141" i="56" s="1"/>
  <c r="CU75" i="56"/>
  <c r="BL140" i="56" s="1"/>
  <c r="CT75" i="56"/>
  <c r="BL139" i="56" s="1"/>
  <c r="CS75" i="56"/>
  <c r="BL138" i="56" s="1"/>
  <c r="CR75" i="56"/>
  <c r="BL136" i="56" s="1"/>
  <c r="CU74" i="56"/>
  <c r="BL135" i="56" s="1"/>
  <c r="CT74" i="56"/>
  <c r="BL134" i="56" s="1"/>
  <c r="CS74" i="56"/>
  <c r="BL133" i="56" s="1"/>
  <c r="CR74" i="56"/>
  <c r="BL131" i="56" s="1"/>
  <c r="CU73" i="56"/>
  <c r="BL130" i="56" s="1"/>
  <c r="CT73" i="56"/>
  <c r="BL129" i="56" s="1"/>
  <c r="CS73" i="56"/>
  <c r="BL128" i="56" s="1"/>
  <c r="CR73" i="56"/>
  <c r="BL126" i="56" s="1"/>
  <c r="G71" i="56"/>
  <c r="H71" i="56" s="1"/>
  <c r="CU72" i="56"/>
  <c r="BL125" i="56" s="1"/>
  <c r="CT72" i="56"/>
  <c r="BL124" i="56" s="1"/>
  <c r="CS72" i="56"/>
  <c r="BL123" i="56" s="1"/>
  <c r="CR72" i="56"/>
  <c r="BL121" i="56" s="1"/>
  <c r="CU71" i="56"/>
  <c r="BL120" i="56" s="1"/>
  <c r="CT71" i="56"/>
  <c r="BL119" i="56" s="1"/>
  <c r="CS71" i="56"/>
  <c r="BL118" i="56" s="1"/>
  <c r="CR71" i="56"/>
  <c r="BL116" i="56" s="1"/>
  <c r="CU70" i="56"/>
  <c r="BL115" i="56" s="1"/>
  <c r="CT70" i="56"/>
  <c r="BL114" i="56" s="1"/>
  <c r="CS70" i="56"/>
  <c r="CR70" i="56"/>
  <c r="BL111" i="56" s="1"/>
  <c r="CU69" i="56"/>
  <c r="BL110" i="56" s="1"/>
  <c r="CT69" i="56"/>
  <c r="BL109" i="56" s="1"/>
  <c r="CS69" i="56"/>
  <c r="BL108" i="56" s="1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BL106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BL113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AG59" i="28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58" i="2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S51" i="51" s="1"/>
  <c r="AA18" i="27"/>
  <c r="I28" i="27"/>
  <c r="S7" i="28" s="1"/>
  <c r="L19" i="27"/>
  <c r="K28" i="27"/>
  <c r="AB18" i="27"/>
  <c r="S12" i="52" l="1"/>
  <c r="S11" i="52"/>
  <c r="S59" i="28"/>
  <c r="S60" i="51"/>
  <c r="T60" i="51" s="1"/>
  <c r="S59" i="51"/>
  <c r="T59" i="51" s="1"/>
  <c r="AC59" i="51" s="1"/>
  <c r="S51" i="52"/>
  <c r="S51" i="28"/>
  <c r="S9" i="52"/>
  <c r="S60" i="52"/>
  <c r="T60" i="52" s="1"/>
  <c r="AC60" i="52" s="1"/>
  <c r="AB60" i="52" s="1"/>
  <c r="BU151" i="56" s="1"/>
  <c r="BU153" i="56" s="1"/>
  <c r="S59" i="52"/>
  <c r="T59" i="52" s="1"/>
  <c r="AC59" i="52" s="1"/>
  <c r="AB59" i="52" s="1"/>
  <c r="BS151" i="56" s="1"/>
  <c r="BS153" i="56" s="1"/>
  <c r="S37" i="52"/>
  <c r="T37" i="52" s="1"/>
  <c r="S10" i="52"/>
  <c r="S7" i="52"/>
  <c r="S20" i="52"/>
  <c r="S49" i="52"/>
  <c r="T49" i="52" s="1"/>
  <c r="AB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Z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S46" i="51"/>
  <c r="T46" i="51" s="1"/>
  <c r="AC47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S38" i="51"/>
  <c r="T38" i="51" s="1"/>
  <c r="AA27" i="27"/>
  <c r="S42" i="51"/>
  <c r="T42" i="51" s="1"/>
  <c r="S23" i="51"/>
  <c r="S24" i="51"/>
  <c r="S36" i="51"/>
  <c r="T36" i="51" s="1"/>
  <c r="S44" i="51"/>
  <c r="S12" i="51"/>
  <c r="S14" i="51"/>
  <c r="S16" i="51"/>
  <c r="S10" i="51"/>
  <c r="S8" i="51"/>
  <c r="AC34" i="51" l="1"/>
  <c r="AB34" i="51" s="1"/>
  <c r="V34" i="51" s="1"/>
  <c r="AB59" i="51"/>
  <c r="BS51" i="56"/>
  <c r="BS53" i="56" s="1"/>
  <c r="BR129" i="56"/>
  <c r="BS129" i="56" s="1"/>
  <c r="BR114" i="56"/>
  <c r="BS114" i="56" s="1"/>
  <c r="BR109" i="56"/>
  <c r="BS109" i="56" s="1"/>
  <c r="BR149" i="56"/>
  <c r="BS149" i="56" s="1"/>
  <c r="BR144" i="56"/>
  <c r="BS144" i="56" s="1"/>
  <c r="BR139" i="56"/>
  <c r="BS139" i="56" s="1"/>
  <c r="BR134" i="56"/>
  <c r="BS134" i="56" s="1"/>
  <c r="BR119" i="56"/>
  <c r="BS119" i="56" s="1"/>
  <c r="BR124" i="56"/>
  <c r="BS124" i="56" s="1"/>
  <c r="BT115" i="56"/>
  <c r="BU115" i="56" s="1"/>
  <c r="BT110" i="56"/>
  <c r="BU110" i="56" s="1"/>
  <c r="BT145" i="56"/>
  <c r="BU145" i="56" s="1"/>
  <c r="BT140" i="56"/>
  <c r="BU140" i="56" s="1"/>
  <c r="BT135" i="56"/>
  <c r="BU135" i="56" s="1"/>
  <c r="BT130" i="56"/>
  <c r="BU130" i="56" s="1"/>
  <c r="BT125" i="56"/>
  <c r="BU125" i="56" s="1"/>
  <c r="BT120" i="56"/>
  <c r="BU120" i="56" s="1"/>
  <c r="BT150" i="56"/>
  <c r="BU150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AI6" i="48"/>
  <c r="AI8" i="48"/>
  <c r="AI7" i="48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I13" i="48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BS154" i="56" l="1"/>
  <c r="BS155" i="56" s="1"/>
  <c r="BU154" i="56"/>
  <c r="BU155" i="56" s="1"/>
  <c r="AB60" i="5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C21" i="51"/>
  <c r="AC20" i="51"/>
  <c r="AB20" i="51" s="1"/>
  <c r="T51" i="51"/>
  <c r="F17" i="22"/>
  <c r="V11" i="52"/>
  <c r="AM10" i="48"/>
  <c r="A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Y24" i="22" l="1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AI10" i="48"/>
  <c r="I9" i="22"/>
  <c r="Y18" i="22"/>
  <c r="AM9" i="48"/>
  <c r="AL9" i="48" s="1"/>
  <c r="F23" i="48" s="1"/>
  <c r="AM11" i="48"/>
  <c r="AM5" i="48"/>
  <c r="AL5" i="48" s="1"/>
  <c r="A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0" i="56" l="1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Q128" i="56" s="1"/>
  <c r="BP123" i="56"/>
  <c r="BQ123" i="56" s="1"/>
  <c r="BP118" i="56"/>
  <c r="BQ118" i="56" s="1"/>
  <c r="BP113" i="56"/>
  <c r="BP148" i="56"/>
  <c r="BQ148" i="56" s="1"/>
  <c r="BP108" i="56"/>
  <c r="BQ108" i="56" s="1"/>
  <c r="BP143" i="56"/>
  <c r="BQ143" i="56" s="1"/>
  <c r="BP138" i="56"/>
  <c r="BQ138" i="56" s="1"/>
  <c r="BP133" i="56"/>
  <c r="BQ133" i="56" s="1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F21" i="48"/>
  <c r="AI9" i="48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Q53" i="56" l="1"/>
  <c r="BP8" i="56" s="1"/>
  <c r="BU104" i="56"/>
  <c r="BU105" i="56" s="1"/>
  <c r="BS104" i="56"/>
  <c r="BS105" i="56" s="1"/>
  <c r="BN131" i="56"/>
  <c r="BO131" i="56" s="1"/>
  <c r="BN121" i="56"/>
  <c r="BO121" i="56" s="1"/>
  <c r="BN116" i="56"/>
  <c r="BO116" i="56" s="1"/>
  <c r="BN111" i="56"/>
  <c r="BN126" i="56"/>
  <c r="BO126" i="56" s="1"/>
  <c r="BN146" i="56"/>
  <c r="BO146" i="56" s="1"/>
  <c r="BN106" i="56"/>
  <c r="BO106" i="56" s="1"/>
  <c r="BN141" i="56"/>
  <c r="BO141" i="56" s="1"/>
  <c r="BN136" i="56"/>
  <c r="BO136" i="56" s="1"/>
  <c r="BU54" i="56"/>
  <c r="BU55" i="56" s="1"/>
  <c r="BP43" i="56"/>
  <c r="BP38" i="56"/>
  <c r="BP33" i="56"/>
  <c r="BP13" i="56"/>
  <c r="BP28" i="56"/>
  <c r="BP23" i="56"/>
  <c r="BP18" i="56"/>
  <c r="BP48" i="56"/>
  <c r="AE9" i="22"/>
  <c r="AA19" i="22"/>
  <c r="AA10" i="22"/>
  <c r="BQ8" i="56" l="1"/>
  <c r="BL8" i="56"/>
  <c r="BQ13" i="56"/>
  <c r="BL13" i="56"/>
  <c r="BQ43" i="56"/>
  <c r="BL43" i="56"/>
  <c r="BQ18" i="56"/>
  <c r="BL18" i="56"/>
  <c r="BQ38" i="56"/>
  <c r="BL38" i="56"/>
  <c r="BQ23" i="56"/>
  <c r="BL23" i="56"/>
  <c r="BQ33" i="56"/>
  <c r="BL33" i="56"/>
  <c r="BQ48" i="56"/>
  <c r="BL48" i="56"/>
  <c r="BQ28" i="56"/>
  <c r="BL28" i="56"/>
  <c r="AM12" i="48"/>
  <c r="AL12" i="48" s="1"/>
  <c r="BQ54" i="56" l="1"/>
  <c r="BQ55" i="56" s="1"/>
  <c r="F26" i="48"/>
  <c r="AI12" i="48"/>
  <c r="S30" i="22"/>
  <c r="Z38" i="22" l="1"/>
  <c r="AL11" i="48" l="1"/>
  <c r="AI11" i="48" l="1"/>
  <c r="F25" i="48"/>
  <c r="R37" i="28" l="1"/>
  <c r="R38" i="28"/>
  <c r="S38" i="28" s="1"/>
  <c r="T38" i="28" s="1"/>
  <c r="AC38" i="28" s="1"/>
  <c r="R11" i="28"/>
  <c r="R12" i="28"/>
  <c r="S12" i="28" s="1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S11" i="28"/>
  <c r="R6" i="28"/>
  <c r="S37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BN96" i="56"/>
  <c r="BN86" i="56"/>
  <c r="BN91" i="56"/>
  <c r="BN66" i="56"/>
  <c r="BN81" i="56"/>
  <c r="V37" i="28"/>
  <c r="AB54" i="28"/>
  <c r="BQ101" i="56" s="1"/>
  <c r="BQ103" i="56" s="1"/>
  <c r="Z34" i="22"/>
  <c r="Z33" i="22"/>
  <c r="Y26" i="22"/>
  <c r="BN76" i="56" l="1"/>
  <c r="BN61" i="56"/>
  <c r="BN71" i="56"/>
  <c r="BO71" i="56" s="1"/>
  <c r="BL56" i="56"/>
  <c r="BO56" i="56"/>
  <c r="BO66" i="56"/>
  <c r="BL66" i="56"/>
  <c r="BO96" i="56"/>
  <c r="BL96" i="56"/>
  <c r="BO91" i="56"/>
  <c r="BL91" i="56"/>
  <c r="BO76" i="56"/>
  <c r="BL76" i="56"/>
  <c r="BO86" i="56"/>
  <c r="BL86" i="56"/>
  <c r="BO61" i="56"/>
  <c r="BL61" i="56"/>
  <c r="BP98" i="56"/>
  <c r="BP68" i="56"/>
  <c r="BP63" i="56"/>
  <c r="BP58" i="56"/>
  <c r="BP93" i="56"/>
  <c r="BP88" i="56"/>
  <c r="BP83" i="56"/>
  <c r="BP78" i="56"/>
  <c r="BP73" i="56"/>
  <c r="BO81" i="56"/>
  <c r="BL81" i="56"/>
  <c r="AE26" i="22"/>
  <c r="AA26" i="22"/>
  <c r="Y29" i="22"/>
  <c r="BL71" i="56" l="1"/>
  <c r="BO104" i="56"/>
  <c r="BO105" i="56" s="1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AA29" i="22"/>
  <c r="P30" i="22"/>
  <c r="M30" i="22"/>
  <c r="R30" i="22"/>
  <c r="T30" i="22"/>
  <c r="G30" i="22"/>
  <c r="J30" i="22"/>
  <c r="BQ104" i="56" l="1"/>
  <c r="BQ105" i="56" s="1"/>
  <c r="Y30" i="22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s="1" a="1"/>
  <c r="I35" i="27" s="1"/>
  <c r="I61" i="56" s="1"/>
  <c r="J61" i="56" s="1"/>
  <c r="I36" i="27" l="1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X103" i="27" s="1" a="1"/>
  <c r="AX103" i="27" s="1"/>
  <c r="BA103" i="27" s="1"/>
  <c r="BR43" i="27"/>
  <c r="AY110" i="27" s="1" a="1"/>
  <c r="AY110" i="27" s="1"/>
  <c r="BB110" i="27" s="1"/>
  <c r="AY43" i="27"/>
  <c r="AX102" i="27" s="1" a="1"/>
  <c r="AX102" i="27" s="1"/>
  <c r="BA102" i="27" s="1"/>
  <c r="BD43" i="27"/>
  <c r="AZ107" i="27" s="1" a="1"/>
  <c r="AZ107" i="27" s="1"/>
  <c r="BC107" i="27" s="1"/>
  <c r="AW43" i="27"/>
  <c r="AY93" i="27" s="1" a="1"/>
  <c r="AY93" i="27" s="1"/>
  <c r="BB93" i="27" s="1"/>
  <c r="AI6" i="56"/>
  <c r="AJ6" i="56" s="1"/>
  <c r="AE6" i="56"/>
  <c r="AF6" i="56" s="1"/>
  <c r="AQ43" i="27"/>
  <c r="AY120" i="27" s="1" a="1"/>
  <c r="AY120" i="27" s="1"/>
  <c r="BB120" i="27" s="1"/>
  <c r="BN43" i="27"/>
  <c r="AX106" i="27" s="1" a="1"/>
  <c r="AX106" i="27" s="1"/>
  <c r="BA106" i="27" s="1"/>
  <c r="AF43" i="27"/>
  <c r="AZ111" i="27" s="1" a="1"/>
  <c r="AZ111" i="27" s="1"/>
  <c r="BC111" i="27" s="1"/>
  <c r="AJ43" i="27"/>
  <c r="AX118" i="27" s="1" a="1"/>
  <c r="AX118" i="27" s="1"/>
  <c r="BA118" i="27" s="1"/>
  <c r="BL43" i="27"/>
  <c r="AY100" i="27" s="1" a="1"/>
  <c r="AY100" i="27" s="1"/>
  <c r="BB100" i="27" s="1"/>
  <c r="CF43" i="27"/>
  <c r="AX112" i="27" s="1" a="1"/>
  <c r="AX112" i="27" s="1"/>
  <c r="BA112" i="27" s="1"/>
  <c r="Y6" i="56"/>
  <c r="Z6" i="56" s="1"/>
  <c r="AH43" i="27"/>
  <c r="AY113" i="27" s="1" a="1"/>
  <c r="AY113" i="27" s="1"/>
  <c r="BB113" i="27" s="1"/>
  <c r="CI39" i="27"/>
  <c r="AO43" i="27"/>
  <c r="AZ119" i="27" s="1" a="1"/>
  <c r="AZ119" i="27" s="1"/>
  <c r="BC119" i="27" s="1"/>
  <c r="BC43" i="27"/>
  <c r="AY107" i="27" s="1" a="1"/>
  <c r="AY107" i="27" s="1"/>
  <c r="BB107" i="27" s="1"/>
  <c r="AM6" i="56"/>
  <c r="AN6" i="56" s="1"/>
  <c r="AA43" i="27"/>
  <c r="AX109" i="27" s="1" a="1"/>
  <c r="AX109" i="27" s="1"/>
  <c r="BA109" i="27" s="1"/>
  <c r="AU43" i="27"/>
  <c r="AZ92" i="27" s="1" a="1"/>
  <c r="AZ92" i="27" s="1"/>
  <c r="BC92" i="27" s="1"/>
  <c r="AI43" i="27"/>
  <c r="AZ113" i="27" s="1" a="1"/>
  <c r="AZ113" i="27" s="1"/>
  <c r="BC113" i="27" s="1"/>
  <c r="R43" i="27"/>
  <c r="AX104" i="27" s="1" a="1"/>
  <c r="AX104" i="27" s="1"/>
  <c r="BA104" i="27" s="1"/>
  <c r="AP43" i="27"/>
  <c r="AX120" i="27" s="1" a="1"/>
  <c r="AX120" i="27" s="1"/>
  <c r="BA120" i="27" s="1"/>
  <c r="K43" i="27"/>
  <c r="AZ90" i="27" s="1" a="1"/>
  <c r="AZ90" i="27" s="1"/>
  <c r="BC90" i="27" s="1"/>
  <c r="X43" i="27"/>
  <c r="AX108" i="27" s="1" a="1"/>
  <c r="AX108" i="27" s="1"/>
  <c r="BA108" i="27" s="1"/>
  <c r="AL43" i="27"/>
  <c r="AZ118" i="27" s="1" a="1"/>
  <c r="AZ118" i="27" s="1"/>
  <c r="BC118" i="27" s="1"/>
  <c r="AG43" i="27"/>
  <c r="AX113" i="27" s="1" a="1"/>
  <c r="AX113" i="27" s="1"/>
  <c r="BA113" i="27" s="1"/>
  <c r="BU43" i="27"/>
  <c r="AY114" i="27" s="1" a="1"/>
  <c r="AY114" i="27" s="1"/>
  <c r="BB114" i="27" s="1"/>
  <c r="BX43" i="27"/>
  <c r="AY115" i="27" s="1" a="1"/>
  <c r="AY115" i="27" s="1"/>
  <c r="BB115" i="27" s="1"/>
  <c r="BM43" i="27"/>
  <c r="AZ100" i="27" s="1" a="1"/>
  <c r="AZ100" i="27" s="1"/>
  <c r="BC100" i="27" s="1"/>
  <c r="K6" i="56"/>
  <c r="L6" i="56" s="1"/>
  <c r="M43" i="27"/>
  <c r="AY96" i="27" s="1" a="1"/>
  <c r="AY96" i="27" s="1"/>
  <c r="BB96" i="27" s="1"/>
  <c r="BP43" i="27"/>
  <c r="AZ106" i="27" s="1" a="1"/>
  <c r="AZ106" i="27" s="1"/>
  <c r="BC106" i="27" s="1"/>
  <c r="Y43" i="27"/>
  <c r="AY108" i="27" s="1" a="1"/>
  <c r="AY108" i="27" s="1"/>
  <c r="BB108" i="27" s="1"/>
  <c r="S6" i="56"/>
  <c r="T6" i="56" s="1"/>
  <c r="CH43" i="27"/>
  <c r="AZ112" i="27" s="1" a="1"/>
  <c r="AZ112" i="27" s="1"/>
  <c r="BC112" i="27" s="1"/>
  <c r="AR43" i="27"/>
  <c r="AZ120" i="27" s="1" a="1"/>
  <c r="AZ120" i="27" s="1"/>
  <c r="BC120" i="27" s="1"/>
  <c r="L43" i="27"/>
  <c r="AX96" i="27" s="1" a="1"/>
  <c r="AX96" i="27" s="1"/>
  <c r="BA96" i="27" s="1"/>
  <c r="AB43" i="27"/>
  <c r="AY109" i="27" s="1" a="1"/>
  <c r="AY109" i="27" s="1"/>
  <c r="BB109" i="27" s="1"/>
  <c r="U6" i="56"/>
  <c r="V6" i="56" s="1"/>
  <c r="AV43" i="27"/>
  <c r="AX93" i="27" s="1" a="1"/>
  <c r="AX93" i="27" s="1"/>
  <c r="BA93" i="27" s="1"/>
  <c r="J43" i="27"/>
  <c r="AY90" i="27" s="1" a="1"/>
  <c r="AY90" i="27" s="1"/>
  <c r="BB90" i="27" s="1"/>
  <c r="CI42" i="27"/>
  <c r="CI40" i="27"/>
  <c r="CI36" i="27"/>
  <c r="BI43" i="27"/>
  <c r="AY117" i="27" s="1" a="1"/>
  <c r="AY117" i="27" s="1"/>
  <c r="BB117" i="27" s="1"/>
  <c r="AQ6" i="56"/>
  <c r="AR6" i="56" s="1"/>
  <c r="BT43" i="27"/>
  <c r="AX114" i="27" s="1" a="1"/>
  <c r="AX114" i="27" s="1"/>
  <c r="BA114" i="27" s="1"/>
  <c r="BV43" i="27"/>
  <c r="AZ114" i="27" s="1" a="1"/>
  <c r="AZ114" i="27" s="1"/>
  <c r="BC114" i="27" s="1"/>
  <c r="T43" i="27"/>
  <c r="AZ104" i="27" s="1" a="1"/>
  <c r="AZ104" i="27" s="1"/>
  <c r="BC104" i="27" s="1"/>
  <c r="BG43" i="27"/>
  <c r="AZ116" i="27" s="1" a="1"/>
  <c r="AZ116" i="27" s="1"/>
  <c r="BC116" i="27" s="1"/>
  <c r="AX43" i="27"/>
  <c r="AZ93" i="27" s="1" a="1"/>
  <c r="AZ93" i="27" s="1"/>
  <c r="BC93" i="27" s="1"/>
  <c r="CC43" i="27"/>
  <c r="AX95" i="27" s="1" a="1"/>
  <c r="AX95" i="27" s="1"/>
  <c r="BA95" i="27" s="1"/>
  <c r="BA43" i="27"/>
  <c r="AZ102" i="27" s="1" a="1"/>
  <c r="AZ102" i="27" s="1"/>
  <c r="BC102" i="27" s="1"/>
  <c r="AO6" i="56"/>
  <c r="AP6" i="56" s="1"/>
  <c r="BF43" i="27"/>
  <c r="AY116" i="27" s="1" a="1"/>
  <c r="AY116" i="27" s="1"/>
  <c r="BB116" i="27" s="1"/>
  <c r="CB43" i="27"/>
  <c r="AZ91" i="27" s="1" a="1"/>
  <c r="AZ91" i="27" s="1"/>
  <c r="BC91" i="27" s="1"/>
  <c r="BH43" i="27"/>
  <c r="AX117" i="27" s="1" a="1"/>
  <c r="AX117" i="27" s="1"/>
  <c r="BA117" i="27" s="1"/>
  <c r="AK6" i="56"/>
  <c r="AL6" i="56" s="1"/>
  <c r="AZ43" i="27"/>
  <c r="AY102" i="27" s="1" a="1"/>
  <c r="AY102" i="27" s="1"/>
  <c r="BB102" i="27" s="1"/>
  <c r="AE43" i="27"/>
  <c r="AY111" i="27" s="1" a="1"/>
  <c r="AY111" i="27" s="1"/>
  <c r="BB111" i="27" s="1"/>
  <c r="W6" i="56"/>
  <c r="X6" i="56" s="1"/>
  <c r="BS43" i="27"/>
  <c r="AZ110" i="27" s="1" a="1"/>
  <c r="AZ110" i="27" s="1"/>
  <c r="BC110" i="27" s="1"/>
  <c r="BK43" i="27"/>
  <c r="AX100" i="27" s="1" a="1"/>
  <c r="AX100" i="27" s="1"/>
  <c r="BA100" i="27" s="1"/>
  <c r="W43" i="27"/>
  <c r="AZ105" i="27" s="1" a="1"/>
  <c r="AZ105" i="27" s="1"/>
  <c r="BC105" i="27" s="1"/>
  <c r="CI41" i="27"/>
  <c r="BQ43" i="27"/>
  <c r="AX110" i="27" s="1" a="1"/>
  <c r="AX110" i="27" s="1"/>
  <c r="BA110" i="27" s="1"/>
  <c r="M6" i="56"/>
  <c r="N6" i="56" s="1"/>
  <c r="P43" i="27"/>
  <c r="AY103" i="27" s="1" a="1"/>
  <c r="AY103" i="27" s="1"/>
  <c r="BB103" i="27" s="1"/>
  <c r="CG43" i="27"/>
  <c r="AY112" i="27" s="1" a="1"/>
  <c r="AY112" i="27" s="1"/>
  <c r="BB112" i="27" s="1"/>
  <c r="S43" i="27"/>
  <c r="AY104" i="27" s="1" a="1"/>
  <c r="AY104" i="27" s="1"/>
  <c r="BB104" i="27" s="1"/>
  <c r="O6" i="56"/>
  <c r="P6" i="56" s="1"/>
  <c r="AM43" i="27"/>
  <c r="AX119" i="27" s="1" a="1"/>
  <c r="AX119" i="27" s="1"/>
  <c r="BA119" i="27" s="1"/>
  <c r="U43" i="27"/>
  <c r="AX105" i="27" s="1" a="1"/>
  <c r="AX105" i="27" s="1"/>
  <c r="BA105" i="27" s="1"/>
  <c r="AC43" i="27"/>
  <c r="AZ109" i="27" s="1" a="1"/>
  <c r="AZ109" i="27" s="1"/>
  <c r="BC109" i="27" s="1"/>
  <c r="BW43" i="27"/>
  <c r="AX115" i="27" s="1" a="1"/>
  <c r="AX115" i="27" s="1"/>
  <c r="BA115" i="27" s="1"/>
  <c r="Z43" i="27"/>
  <c r="AZ108" i="27" s="1" a="1"/>
  <c r="AZ108" i="27" s="1"/>
  <c r="BC108" i="27" s="1"/>
  <c r="AC6" i="56"/>
  <c r="AD6" i="56" s="1"/>
  <c r="AN43" i="27"/>
  <c r="AY119" i="27" s="1" a="1"/>
  <c r="AY119" i="27" s="1"/>
  <c r="BB119" i="27" s="1"/>
  <c r="BY43" i="27"/>
  <c r="AZ115" i="27" s="1" a="1"/>
  <c r="AZ115" i="27" s="1"/>
  <c r="BC115" i="27" s="1"/>
  <c r="BE43" i="27"/>
  <c r="AX116" i="27" s="1" a="1"/>
  <c r="AX116" i="27" s="1"/>
  <c r="BA116" i="27" s="1"/>
  <c r="BO43" i="27"/>
  <c r="AY106" i="27" s="1" a="1"/>
  <c r="AY106" i="27" s="1"/>
  <c r="BB106" i="27" s="1"/>
  <c r="CE43" i="27"/>
  <c r="AZ95" i="27" s="1" a="1"/>
  <c r="AZ95" i="27" s="1"/>
  <c r="BC95" i="27" s="1"/>
  <c r="CA43" i="27"/>
  <c r="AY91" i="27" s="1" a="1"/>
  <c r="AY91" i="27" s="1"/>
  <c r="BB91" i="27" s="1"/>
  <c r="BZ43" i="27"/>
  <c r="AX91" i="27" s="1" a="1"/>
  <c r="AX91" i="27" s="1"/>
  <c r="BA91" i="27" s="1"/>
  <c r="CI38" i="27"/>
  <c r="CI34" i="27"/>
  <c r="I43" i="27"/>
  <c r="CD43" i="27"/>
  <c r="AY95" i="27" s="1" a="1"/>
  <c r="AY95" i="27" s="1"/>
  <c r="BB95" i="27" s="1"/>
  <c r="AK43" i="27"/>
  <c r="AY118" i="27" s="1" a="1"/>
  <c r="AY118" i="27" s="1"/>
  <c r="BB118" i="27" s="1"/>
  <c r="AA6" i="56"/>
  <c r="AB6" i="56" s="1"/>
  <c r="Q43" i="27"/>
  <c r="AZ103" i="27" s="1" a="1"/>
  <c r="AZ103" i="27" s="1"/>
  <c r="BC103" i="27" s="1"/>
  <c r="N43" i="27"/>
  <c r="AZ96" i="27" s="1" a="1"/>
  <c r="AZ96" i="27" s="1"/>
  <c r="BC96" i="27" s="1"/>
  <c r="AD43" i="27"/>
  <c r="AX111" i="27" s="1" a="1"/>
  <c r="AX111" i="27" s="1"/>
  <c r="BA111" i="27" s="1"/>
  <c r="AS43" i="27"/>
  <c r="AX92" i="27" s="1" a="1"/>
  <c r="AX92" i="27" s="1"/>
  <c r="BA92" i="27" s="1"/>
  <c r="V43" i="27"/>
  <c r="AY105" i="27" s="1" a="1"/>
  <c r="AY105" i="27" s="1"/>
  <c r="BB105" i="27" s="1"/>
  <c r="Q6" i="56"/>
  <c r="R6" i="56" s="1"/>
  <c r="AT43" i="27"/>
  <c r="AY92" i="27" s="1" a="1"/>
  <c r="AY92" i="27" s="1"/>
  <c r="BB92" i="27" s="1"/>
  <c r="AG6" i="56"/>
  <c r="AH6" i="56" s="1"/>
  <c r="BJ43" i="27"/>
  <c r="AZ117" i="27" s="1" a="1"/>
  <c r="AZ117" i="27" s="1"/>
  <c r="BC117" i="27" s="1"/>
  <c r="BB43" i="27"/>
  <c r="AX107" i="27" s="1" a="1"/>
  <c r="AX107" i="27" s="1"/>
  <c r="BA107" i="27" s="1"/>
  <c r="CI35" i="27"/>
  <c r="BB122" i="27" l="1"/>
  <c r="BE90" i="27" s="1"/>
  <c r="AX90" i="27" a="1"/>
  <c r="AX90" i="27" s="1"/>
  <c r="BA90" i="27" s="1"/>
  <c r="BE119" i="27"/>
  <c r="BE112" i="27"/>
  <c r="BE117" i="27"/>
  <c r="BE113" i="27"/>
  <c r="BE103" i="27"/>
  <c r="R21" i="27"/>
  <c r="BC122" i="27"/>
  <c r="R26" i="27"/>
  <c r="Q28" i="27"/>
  <c r="P28" i="27"/>
  <c r="R19" i="27"/>
  <c r="O28" i="27"/>
  <c r="R22" i="27"/>
  <c r="R24" i="27"/>
  <c r="R23" i="27"/>
  <c r="R25" i="27"/>
  <c r="R27" i="27"/>
  <c r="CI43" i="27"/>
  <c r="BA122" i="27" l="1"/>
  <c r="BD90" i="27"/>
  <c r="BD102" i="27"/>
  <c r="BE96" i="27"/>
  <c r="BE116" i="27"/>
  <c r="BE107" i="27"/>
  <c r="BE108" i="27"/>
  <c r="BE93" i="27"/>
  <c r="BE101" i="27"/>
  <c r="BE94" i="27"/>
  <c r="BE114" i="27"/>
  <c r="BE92" i="27"/>
  <c r="BE106" i="27"/>
  <c r="BE102" i="27"/>
  <c r="BE120" i="27"/>
  <c r="BE105" i="27"/>
  <c r="BE118" i="27"/>
  <c r="BE115" i="27"/>
  <c r="BE109" i="27"/>
  <c r="BE95" i="27"/>
  <c r="BE100" i="27"/>
  <c r="BE111" i="27"/>
  <c r="BE104" i="27"/>
  <c r="BE110" i="27"/>
  <c r="BE91" i="27"/>
  <c r="BD119" i="27"/>
  <c r="BD95" i="27"/>
  <c r="BD115" i="27"/>
  <c r="BD103" i="27"/>
  <c r="BD106" i="27"/>
  <c r="BD107" i="27"/>
  <c r="BD111" i="27"/>
  <c r="BD91" i="27"/>
  <c r="BD114" i="27"/>
  <c r="BD120" i="27"/>
  <c r="BD117" i="27"/>
  <c r="BD108" i="27"/>
  <c r="BD112" i="27"/>
  <c r="BD109" i="27"/>
  <c r="BD113" i="27"/>
  <c r="BD92" i="27"/>
  <c r="BD104" i="27"/>
  <c r="BD101" i="27"/>
  <c r="BD105" i="27"/>
  <c r="BD116" i="27"/>
  <c r="BD94" i="27"/>
  <c r="BD96" i="27"/>
  <c r="BD93" i="27"/>
  <c r="BD100" i="27"/>
  <c r="BD118" i="27"/>
  <c r="BD110" i="27"/>
  <c r="BF95" i="27"/>
  <c r="BF103" i="27"/>
  <c r="BF111" i="27"/>
  <c r="BF119" i="27"/>
  <c r="BF96" i="27"/>
  <c r="BF104" i="27"/>
  <c r="BF120" i="27"/>
  <c r="BF90" i="27"/>
  <c r="BF106" i="27"/>
  <c r="BF114" i="27"/>
  <c r="BF109" i="27"/>
  <c r="BF91" i="27"/>
  <c r="BF107" i="27"/>
  <c r="BF115" i="27"/>
  <c r="BF101" i="27"/>
  <c r="BF117" i="27"/>
  <c r="BF113" i="27"/>
  <c r="BF92" i="27"/>
  <c r="BF100" i="27"/>
  <c r="BF108" i="27"/>
  <c r="BF116" i="27"/>
  <c r="BF93" i="27"/>
  <c r="BF94" i="27"/>
  <c r="BF102" i="27"/>
  <c r="BF110" i="27"/>
  <c r="BF118" i="27"/>
  <c r="BF112" i="27"/>
  <c r="BF105" i="27"/>
  <c r="R28" i="27"/>
  <c r="CG32" i="56"/>
  <c r="CK35" i="56"/>
  <c r="BE122" i="27" l="1"/>
  <c r="BF122" i="27"/>
  <c r="BD122" i="27"/>
  <c r="CH32" i="56"/>
  <c r="BH86" i="56" l="1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BO21" i="56" l="1"/>
  <c r="BL21" i="56"/>
  <c r="BN26" i="56"/>
  <c r="BN16" i="56"/>
  <c r="BN11" i="56"/>
  <c r="BN46" i="56"/>
  <c r="BN41" i="56"/>
  <c r="BN36" i="56"/>
  <c r="BN31" i="56"/>
  <c r="BO6" i="56"/>
  <c r="BO16" i="56" l="1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BO54" i="56" l="1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<sst xmlns="http://schemas.openxmlformats.org/spreadsheetml/2006/main" count="69731" uniqueCount="1127">
  <si>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</si>
  <si>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</si>
  <si>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</si>
  <si>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</si>
  <si>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</si>
  <si>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</si>
  <si>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</si>
  <si>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</si>
  <si>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</si>
  <si>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</si>
  <si>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</si>
  <si>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</si>
  <si>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</si>
  <si>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</si>
  <si>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</si>
  <si>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</si>
  <si>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</si>
  <si>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</si>
  <si>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</si>
  <si>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</si>
  <si>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</si>
  <si>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</si>
  <si>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</si>
  <si>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</si>
  <si>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</si>
  <si>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</si>
  <si>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</si>
  <si>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</si>
  <si>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</si>
  <si>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</si>
  <si>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</si>
  <si>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</si>
  <si>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</si>
  <si>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</si>
  <si>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</si>
  <si>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</si>
  <si>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</si>
  <si>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</si>
  <si>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</si>
  <si>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</si>
  <si>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</si>
  <si>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</si>
  <si>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</si>
  <si>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</si>
  <si>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</si>
  <si>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</si>
  <si>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</si>
  <si>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</si>
  <si>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</si>
  <si>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</si>
  <si>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</si>
  <si>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</si>
  <si>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</si>
  <si>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</si>
  <si>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</si>
  <si>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</si>
  <si>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</si>
  <si>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</si>
  <si>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</si>
  <si>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</si>
  <si>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</si>
  <si>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</si>
  <si>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</si>
  <si>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</si>
  <si>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</si>
  <si>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</si>
  <si>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</si>
  <si>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</si>
  <si>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</si>
  <si>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</si>
  <si>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</si>
  <si>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</si>
  <si>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</si>
  <si>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</si>
  <si>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</si>
  <si>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</si>
  <si>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</si>
  <si>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</si>
  <si>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</si>
  <si>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</si>
  <si>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</si>
  <si>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</si>
  <si>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</si>
  <si>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</si>
  <si>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</si>
  <si>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</si>
  <si>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</si>
  <si>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</si>
  <si>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</si>
  <si>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</si>
  <si>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</si>
  <si>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</si>
  <si>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</si>
  <si>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</si>
  <si>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</si>
  <si>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</si>
  <si>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</si>
  <si>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</si>
  <si>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</si>
  <si>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</si>
  <si>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</si>
  <si>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</si>
  <si>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</si>
  <si>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</si>
  <si>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</si>
  <si>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</si>
  <si>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</si>
  <si>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</si>
  <si>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</si>
  <si>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</si>
  <si>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</si>
  <si>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</si>
  <si>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</si>
  <si>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</si>
  <si>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</si>
  <si>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</si>
  <si>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</si>
  <si>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</si>
  <si>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</si>
  <si>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</si>
  <si>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</si>
  <si>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</si>
  <si>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</si>
  <si>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</si>
  <si>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</si>
  <si>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</si>
  <si>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</si>
  <si>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</si>
  <si>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</si>
  <si>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</si>
  <si>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</si>
  <si>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</si>
  <si>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</si>
  <si>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</si>
  <si>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</si>
  <si>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</si>
  <si>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</si>
  <si>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</si>
  <si>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</si>
  <si>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</si>
  <si>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</si>
  <si>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</si>
  <si>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</si>
  <si>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</si>
  <si>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</si>
  <si>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</si>
  <si>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</si>
  <si>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</si>
  <si>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</si>
  <si>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</si>
  <si>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</si>
  <si>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</si>
  <si>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</si>
  <si>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</si>
  <si>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</si>
  <si>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</si>
  <si>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</si>
  <si>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</si>
  <si>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</si>
  <si>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</si>
  <si>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</si>
  <si>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</si>
  <si>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</si>
  <si>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</si>
  <si>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</si>
  <si>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</si>
  <si>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</si>
  <si>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</si>
  <si>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</si>
  <si>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</si>
  <si>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</si>
  <si>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</si>
  <si>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</si>
  <si>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</si>
  <si>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</si>
  <si>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</si>
  <si>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</si>
  <si>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</si>
  <si>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</si>
  <si>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</si>
  <si>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</si>
  <si>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</si>
  <si>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</si>
  <si>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</si>
  <si>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</si>
  <si>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</si>
  <si>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</si>
  <si>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</si>
  <si>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</si>
  <si>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</si>
  <si>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</si>
  <si>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</si>
  <si>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</si>
  <si>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</si>
  <si>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</si>
  <si>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</si>
  <si>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</si>
  <si>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</si>
  <si>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</si>
  <si>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</si>
  <si>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</si>
  <si>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</si>
  <si>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</si>
  <si>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</si>
  <si>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</si>
  <si>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</si>
  <si>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</si>
  <si>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</si>
  <si>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</si>
  <si>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</si>
  <si>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</si>
  <si>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</si>
  <si>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</si>
  <si>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</si>
  <si>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</si>
  <si>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</si>
  <si>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</si>
  <si>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</si>
  <si>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</si>
  <si>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</si>
  <si>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</si>
  <si>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</si>
  <si>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</si>
  <si>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</si>
  <si>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</si>
  <si>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</si>
  <si>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</si>
  <si>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</si>
  <si>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</si>
  <si>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</si>
  <si>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</si>
  <si>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</si>
  <si>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</si>
  <si>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</si>
  <si>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</si>
  <si>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</si>
  <si>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</si>
  <si>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</si>
  <si>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</si>
  <si>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</si>
  <si>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</si>
  <si>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</si>
  <si>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</si>
  <si>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</si>
  <si>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</si>
  <si>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</si>
  <si>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</si>
  <si>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</si>
  <si>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</si>
  <si>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</si>
  <si>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</si>
  <si>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</si>
  <si>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</si>
  <si>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</si>
  <si>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</si>
  <si>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</si>
  <si>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</si>
  <si>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</si>
  <si>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</si>
  <si>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</si>
  <si>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</si>
  <si>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</si>
  <si>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</si>
  <si>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</si>
  <si>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</si>
  <si>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</si>
  <si>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</si>
  <si>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</si>
  <si>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</si>
  <si>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</si>
  <si>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</si>
  <si>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</si>
  <si>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</si>
  <si>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</si>
  <si>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</si>
  <si>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</si>
  <si>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</si>
  <si>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</si>
  <si>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</si>
  <si>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</si>
  <si>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</si>
  <si>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</si>
  <si>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</si>
  <si>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</si>
  <si>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</si>
  <si>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</si>
  <si>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</si>
  <si>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</si>
  <si>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</si>
  <si>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</si>
  <si>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</si>
  <si>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</si>
  <si>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</si>
  <si>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</si>
  <si>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</si>
  <si>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</si>
  <si>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</si>
  <si>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</si>
  <si>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</si>
  <si>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</si>
  <si>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</si>
  <si>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</si>
  <si>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</si>
  <si>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</si>
  <si>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</si>
  <si>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</si>
  <si>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</si>
  <si>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</si>
  <si>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</si>
  <si>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</si>
  <si>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</si>
  <si>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</si>
  <si>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</si>
  <si>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</si>
  <si>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</si>
  <si>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</si>
  <si>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</si>
  <si>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</si>
  <si>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</si>
  <si>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</si>
  <si>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</si>
  <si>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</si>
  <si>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</si>
  <si>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</si>
  <si>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</si>
  <si>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</si>
  <si>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</si>
  <si>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</si>
  <si>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</si>
  <si>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</si>
  <si>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</si>
  <si>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</si>
  <si>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</si>
  <si>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</si>
  <si>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</si>
  <si>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</si>
  <si>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</si>
  <si>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</si>
  <si>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</si>
  <si>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</si>
  <si>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</si>
  <si>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</si>
  <si>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</si>
  <si>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</si>
  <si>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</si>
  <si>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</si>
  <si>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</si>
  <si>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</si>
  <si>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</si>
  <si>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</si>
  <si>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</si>
  <si>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</si>
  <si>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</si>
  <si>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</si>
  <si>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</si>
  <si>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</si>
  <si>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</si>
  <si>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</si>
  <si>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</si>
  <si>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</si>
  <si>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</si>
  <si>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</si>
  <si>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</si>
  <si>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</si>
  <si>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</si>
  <si>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</si>
  <si>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</si>
  <si>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</si>
  <si>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</si>
  <si>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</si>
  <si>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</si>
  <si>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</si>
  <si>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</si>
  <si>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</si>
  <si>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</si>
  <si>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</si>
  <si>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</si>
  <si>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</si>
  <si>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</si>
  <si>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</si>
  <si>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</si>
  <si>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</si>
  <si>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</si>
  <si>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</si>
  <si>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</si>
  <si>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</si>
  <si>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</si>
  <si>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</si>
  <si>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</si>
  <si>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</si>
  <si>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</si>
  <si>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</si>
  <si>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</si>
  <si>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</si>
  <si>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</si>
  <si>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</si>
  <si>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</si>
  <si>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</si>
  <si>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</si>
  <si>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</si>
  <si>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</si>
  <si>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</si>
  <si>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</si>
  <si>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</si>
  <si>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</si>
  <si>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</si>
  <si>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</si>
  <si>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</si>
  <si>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</si>
  <si>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</si>
  <si>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</si>
  <si>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</si>
  <si>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</si>
  <si>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</si>
  <si>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</si>
  <si>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</si>
  <si>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</si>
  <si>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</si>
  <si>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</si>
  <si>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</si>
  <si>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</si>
  <si>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</si>
  <si>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</si>
  <si>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</si>
  <si>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</si>
  <si>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</si>
  <si>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</si>
  <si>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</si>
  <si>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</si>
  <si>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</si>
  <si>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</si>
  <si>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</si>
  <si>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</si>
  <si>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</si>
  <si>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</si>
  <si>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</si>
  <si>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</si>
  <si>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</si>
  <si>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</si>
  <si>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</si>
  <si>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</si>
  <si>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</si>
  <si>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</si>
  <si>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</si>
  <si>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</si>
  <si>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</si>
  <si>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</si>
  <si>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</si>
  <si>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</si>
  <si>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</si>
  <si>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</si>
  <si>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</si>
  <si>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</si>
  <si>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</si>
  <si>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</si>
  <si>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</si>
  <si>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</si>
  <si>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</si>
  <si>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</si>
  <si>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</si>
  <si>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</si>
  <si>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</si>
  <si>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</si>
  <si>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</si>
  <si>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</si>
  <si>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</si>
  <si>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</si>
  <si>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</si>
  <si>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</si>
  <si>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</si>
  <si>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</si>
  <si>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</si>
  <si>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</si>
  <si>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</si>
  <si>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</si>
  <si>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</si>
  <si>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</si>
  <si>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</si>
  <si>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</si>
  <si>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</si>
  <si>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</si>
  <si>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</si>
  <si>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</si>
  <si>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</si>
  <si>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</si>
  <si>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</si>
  <si>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</si>
  <si>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</si>
  <si>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</si>
  <si>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</si>
  <si>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</si>
  <si>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</si>
  <si>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</si>
  <si>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</si>
  <si>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</si>
  <si>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</si>
  <si>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</si>
  <si>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</si>
  <si>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</si>
  <si>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</si>
  <si>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</si>
  <si>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</si>
  <si>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</si>
  <si>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</si>
  <si>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</si>
  <si>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</si>
  <si>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</si>
  <si>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</si>
  <si>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</si>
  <si>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</si>
  <si>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</si>
  <si>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</si>
  <si>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</si>
  <si>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</si>
  <si>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</si>
  <si>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</si>
  <si>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</si>
  <si>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</si>
  <si>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</si>
  <si>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</si>
  <si>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</si>
  <si>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</si>
  <si>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</si>
  <si>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</si>
  <si>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</si>
  <si>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</si>
  <si>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</si>
  <si>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</si>
  <si>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</si>
  <si>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</si>
  <si>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</si>
  <si>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</si>
  <si>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</si>
  <si>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</si>
  <si>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</si>
  <si>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</si>
  <si>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</si>
  <si>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</si>
  <si>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</si>
  <si>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</si>
  <si>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</si>
  <si>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</si>
  <si>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</si>
  <si>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</si>
  <si>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</si>
  <si>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</si>
  <si>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</si>
  <si>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</si>
  <si>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</si>
  <si>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</si>
  <si>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</si>
  <si>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</si>
  <si>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</si>
  <si>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</si>
  <si>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</si>
  <si>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</si>
  <si>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</si>
  <si>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</si>
  <si>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</si>
  <si>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</si>
  <si>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</si>
  <si>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</si>
  <si>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</si>
  <si>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</si>
  <si>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</si>
  <si>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</si>
  <si>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</si>
  <si>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</si>
  <si>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</si>
  <si>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</si>
  <si>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</si>
  <si>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</si>
  <si>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</si>
  <si>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</si>
  <si>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</si>
  <si>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</si>
  <si>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</si>
  <si>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</si>
  <si>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</si>
  <si>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</si>
  <si>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</si>
  <si>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</si>
  <si>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</si>
  <si>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</si>
  <si>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</si>
  <si>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</si>
  <si>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</si>
  <si>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</si>
  <si>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</si>
  <si>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</si>
  <si>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</si>
  <si>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</si>
  <si>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</si>
  <si>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</si>
  <si>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</si>
  <si>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</si>
  <si>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</si>
  <si>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</si>
  <si>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</si>
  <si>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</si>
  <si>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</si>
  <si>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</si>
  <si>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</si>
  <si>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</si>
  <si>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</si>
  <si>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</si>
  <si>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</si>
  <si>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</si>
  <si>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</si>
  <si>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</si>
  <si>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</si>
  <si>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</si>
  <si>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</si>
  <si>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</si>
  <si>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</si>
  <si>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</si>
  <si>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</si>
  <si>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</si>
  <si>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</si>
  <si>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</si>
  <si>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</si>
  <si>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</si>
  <si>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</si>
  <si>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</si>
  <si>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</si>
  <si>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</si>
  <si>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</si>
  <si>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</si>
  <si>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</si>
  <si>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</si>
  <si>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</si>
  <si>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</si>
  <si>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</si>
  <si>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</si>
  <si>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</si>
  <si>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</si>
  <si>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</si>
  <si>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</si>
  <si>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</si>
  <si>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</si>
  <si>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</si>
  <si>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</si>
  <si>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</si>
  <si>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</si>
  <si>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</si>
  <si>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</si>
  <si>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</si>
  <si>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</si>
  <si>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</si>
  <si>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</si>
  <si>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</si>
  <si>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</si>
  <si>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</si>
  <si>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</si>
  <si>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</si>
  <si>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</si>
  <si>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</si>
  <si>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</si>
  <si>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</si>
  <si>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</si>
  <si>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</si>
  <si>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</si>
  <si>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</si>
  <si>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</si>
  <si>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</si>
  <si>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</si>
  <si>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</si>
  <si>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</si>
  <si>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</si>
  <si>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</si>
  <si>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</si>
  <si>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</si>
  <si>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</si>
  <si>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</si>
  <si>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</si>
  <si>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</si>
  <si>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</si>
  <si>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</si>
  <si>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</si>
  <si>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</si>
  <si>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</si>
  <si>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</si>
  <si>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</si>
  <si>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</si>
  <si>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</si>
  <si>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</si>
  <si>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</si>
  <si>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</si>
  <si>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</si>
  <si>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</si>
  <si>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</si>
  <si>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</si>
  <si>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</si>
  <si>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</si>
  <si>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</si>
  <si>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</si>
  <si>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</si>
  <si>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</si>
  <si>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</si>
  <si>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</si>
  <si>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</si>
  <si>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</si>
  <si>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</si>
  <si>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</si>
  <si>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</si>
  <si>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</si>
  <si>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</si>
  <si>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</si>
  <si>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</si>
  <si>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</si>
  <si>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</si>
  <si>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</si>
  <si>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</si>
  <si>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</si>
  <si>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</si>
  <si>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</si>
  <si>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</si>
  <si>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</si>
  <si>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</si>
  <si>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</si>
  <si>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</si>
  <si>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</si>
  <si>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</si>
  <si>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</si>
  <si>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</si>
  <si>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</si>
  <si>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</si>
  <si>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</si>
  <si>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</si>
  <si>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</si>
  <si>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</si>
  <si>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</si>
  <si>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</si>
  <si>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</si>
  <si>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</si>
  <si>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</si>
  <si>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</si>
  <si>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</si>
  <si>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</si>
  <si>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</si>
  <si>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</si>
  <si>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</si>
  <si>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</si>
  <si>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</si>
  <si>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</si>
  <si>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</si>
  <si>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</si>
  <si>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</si>
  <si>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</si>
  <si>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</si>
  <si>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</si>
  <si>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</si>
  <si>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</si>
  <si>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</si>
  <si>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</si>
  <si>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</si>
  <si>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</si>
  <si>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</si>
  <si>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</si>
  <si>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</si>
  <si>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</si>
  <si>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</si>
  <si>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</si>
  <si>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</si>
  <si>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</si>
  <si>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</si>
  <si>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</si>
  <si>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</si>
  <si>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</si>
  <si>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</si>
  <si>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</si>
  <si>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</si>
  <si>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</si>
  <si>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</si>
  <si>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</si>
  <si>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</si>
  <si>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</si>
  <si>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</si>
  <si>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</si>
  <si>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</si>
  <si>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</si>
  <si>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</si>
  <si>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</si>
  <si>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</si>
  <si>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</si>
  <si>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</si>
  <si>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</si>
  <si>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</si>
  <si>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</si>
  <si>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</si>
  <si>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</si>
  <si>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</si>
  <si>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</si>
  <si>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</si>
  <si>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</si>
  <si>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</si>
  <si>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</si>
  <si>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</si>
  <si>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</si>
  <si>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</si>
  <si>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</si>
  <si>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</si>
  <si>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</si>
  <si>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</si>
  <si>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</si>
  <si>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</si>
  <si>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</si>
  <si>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</si>
  <si>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</si>
  <si>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</si>
  <si>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</si>
  <si>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</si>
  <si>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</si>
  <si>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</si>
  <si>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</si>
  <si>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</si>
  <si>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</si>
  <si>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</si>
  <si>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</si>
  <si>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</si>
  <si>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</si>
  <si>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</si>
  <si>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</si>
  <si>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</si>
  <si>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</si>
  <si>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</si>
  <si>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</si>
  <si>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</si>
  <si>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</si>
  <si>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</si>
  <si>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</si>
  <si>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</si>
  <si>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</si>
  <si>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</si>
  <si>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</si>
  <si>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</si>
  <si>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</si>
  <si>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</si>
  <si>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</si>
  <si>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</si>
  <si>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</si>
  <si>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</si>
  <si>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</si>
  <si>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</si>
  <si>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</si>
  <si>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</si>
  <si>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</si>
  <si>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</si>
  <si>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</si>
  <si>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</si>
  <si>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</si>
  <si>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</si>
  <si>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</si>
  <si>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</si>
  <si>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</si>
  <si>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</si>
  <si>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</si>
  <si>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</si>
  <si>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</si>
  <si>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</si>
  <si>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</si>
  <si>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</si>
  <si>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</si>
  <si>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</si>
  <si>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</si>
  <si>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</si>
  <si>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</si>
  <si>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</si>
  <si>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</si>
  <si>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</si>
  <si>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</si>
  <si>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</si>
  <si>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</si>
  <si>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</si>
  <si>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</si>
  <si>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</si>
  <si>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</si>
  <si>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</si>
  <si>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</si>
  <si>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</si>
  <si>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</si>
  <si>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</si>
  <si>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</si>
  <si>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</si>
  <si>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</si>
  <si>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</si>
  <si>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</si>
  <si>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</si>
  <si>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</si>
  <si>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</si>
  <si>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</si>
  <si>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</si>
  <si>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</si>
  <si>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</si>
  <si>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</si>
  <si>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</si>
  <si>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</si>
  <si>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</si>
  <si>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</si>
  <si>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</si>
  <si>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</si>
  <si>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</si>
  <si>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</si>
  <si>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</si>
  <si>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</si>
  <si>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</si>
  <si>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</si>
  <si>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</si>
  <si>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</si>
  <si>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</si>
  <si>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</si>
  <si>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</si>
  <si>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</si>
  <si>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</si>
  <si>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</si>
  <si>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</si>
  <si>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</si>
  <si>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</si>
  <si>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</si>
  <si>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</si>
  <si>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</si>
  <si>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</si>
  <si>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</si>
  <si>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</si>
  <si>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</si>
  <si>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</si>
  <si>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</si>
  <si>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</si>
  <si>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</si>
  <si>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</si>
  <si>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</si>
  <si>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</si>
  <si>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</si>
  <si>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</si>
  <si>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</si>
  <si>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</si>
  <si>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</si>
  <si>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</si>
  <si>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</si>
  <si>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</si>
  <si>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</si>
  <si>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</si>
  <si>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</si>
  <si>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</si>
  <si>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</si>
  <si>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</si>
  <si>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</si>
  <si>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</si>
  <si>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</si>
  <si>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</si>
  <si>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</si>
  <si>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</si>
  <si>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</si>
  <si>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</si>
  <si>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</si>
  <si>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</si>
  <si>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</si>
  <si>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</si>
  <si>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</si>
  <si>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</si>
  <si>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</si>
  <si>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</si>
  <si>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</si>
  <si>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</si>
  <si>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</si>
  <si>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</si>
  <si>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</si>
  <si>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</si>
  <si>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</si>
  <si>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</si>
  <si>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</si>
  <si>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</si>
  <si>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</si>
  <si>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</si>
  <si>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</si>
  <si>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</si>
  <si>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</si>
  <si>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</si>
  <si>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</si>
  <si>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</si>
  <si>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</si>
  <si>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</si>
  <si>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</si>
  <si>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</si>
  <si>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</si>
  <si>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</si>
  <si>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</si>
  <si>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</si>
  <si>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</si>
  <si>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</si>
  <si>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</si>
  <si>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</si>
  <si>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</si>
  <si>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</si>
  <si>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</si>
  <si>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</si>
  <si>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</si>
  <si>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</si>
  <si>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</si>
  <si>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</si>
  <si>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</si>
  <si>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</si>
  <si>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</si>
  <si>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</si>
  <si>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</si>
  <si>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</si>
  <si>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</si>
  <si>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</si>
  <si>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</si>
  <si>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</si>
  <si>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</si>
  <si>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</si>
  <si>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</si>
  <si>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</si>
  <si>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</si>
  <si>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</si>
  <si>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</si>
  <si>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</si>
  <si>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</si>
  <si>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</si>
  <si>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</si>
  <si>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</si>
  <si>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</si>
  <si>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</si>
  <si>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</si>
  <si>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</si>
  <si>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</si>
  <si>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</si>
  <si>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</si>
  <si>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</si>
  <si>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</si>
  <si>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</si>
  <si>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</si>
  <si>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</si>
  <si>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</si>
  <si>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</si>
  <si>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</si>
  <si>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</si>
  <si>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</si>
  <si>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</si>
  <si>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</si>
  <si>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</si>
  <si>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</si>
  <si>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</si>
  <si>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</si>
  <si>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</si>
  <si>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</si>
  <si>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</si>
  <si>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IE~2070</t>
  </si>
  <si>
    <t>IE-CW~2070</t>
  </si>
  <si>
    <t>IE-CN~2070</t>
  </si>
  <si>
    <t>IE-D~2070</t>
  </si>
  <si>
    <t>IE-KE~2070</t>
  </si>
  <si>
    <t>IE-KK~2070</t>
  </si>
  <si>
    <t>IE-LS~2070</t>
  </si>
  <si>
    <t>IE-LD~2070</t>
  </si>
  <si>
    <t>IE-LH~2070</t>
  </si>
  <si>
    <t>IE-MH~2070</t>
  </si>
  <si>
    <t>IE-OY~2070</t>
  </si>
  <si>
    <t>IE-WH~2070</t>
  </si>
  <si>
    <t>IE-WX~2070</t>
  </si>
  <si>
    <t>IE-WW~2070</t>
  </si>
  <si>
    <t>IE-CE~2070</t>
  </si>
  <si>
    <t>IE-CO~2070</t>
  </si>
  <si>
    <t>IE-KY~2070</t>
  </si>
  <si>
    <t>IE-LK~2070</t>
  </si>
  <si>
    <t>IE-TA~2070</t>
  </si>
  <si>
    <t>IE-WD~2070</t>
  </si>
  <si>
    <t>IE-G~2070</t>
  </si>
  <si>
    <t>IE-LM~2070</t>
  </si>
  <si>
    <t>IE-MO~2070</t>
  </si>
  <si>
    <t>IE-RN~2070</t>
  </si>
  <si>
    <t>IE-SO~2070</t>
  </si>
  <si>
    <t>IE-DL~2070</t>
  </si>
  <si>
    <t>IE-MN~2070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</si>
  <si>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</si>
  <si>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</si>
  <si>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</si>
  <si>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</si>
  <si>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</si>
  <si>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</si>
  <si>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</si>
  <si>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</si>
  <si>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</si>
  <si>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</si>
  <si>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</si>
  <si>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</si>
  <si>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</si>
  <si>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</si>
  <si>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</si>
  <si>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</si>
  <si>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</si>
  <si>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</si>
  <si>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</si>
  <si>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</si>
  <si>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</si>
  <si>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</si>
  <si>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</si>
  <si>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</si>
  <si>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</si>
  <si>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</si>
  <si>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</si>
  <si>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</si>
  <si>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</si>
  <si>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</si>
  <si>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</si>
  <si>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</si>
  <si>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</si>
  <si>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</si>
  <si>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</si>
  <si>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</si>
  <si>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</si>
  <si>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</si>
  <si>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</si>
  <si>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</si>
  <si>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</si>
  <si>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</si>
  <si>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</si>
  <si>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</si>
  <si>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</si>
  <si>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</si>
  <si>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</si>
  <si>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</si>
  <si>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</si>
  <si>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*National</t>
  </si>
  <si>
    <t>~FI_T: Demand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</si>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</sst>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</fills>
  <borders count="2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296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9" fontId="94" fillId="43" borderId="192" xfId="1" applyFont="1" applyFill="1" applyBorder="1" applyAlignment="1">
      <alignment vertical="top" wrapText="1"/>
    </xf>
    <xf numFmtId="9" fontId="94" fillId="44" borderId="192" xfId="1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78.72575129706226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1001" customWidth="1"/>
    <col min="5" max="6" width="14.140625" style="1001" customWidth="1"/>
    <col min="7" max="7" width="12.140625" style="1001" customWidth="1"/>
    <col min="8" max="10" width="8.140625" style="1001" customWidth="1"/>
    <col min="11" max="11" width="9.7109375" style="1001" customWidth="1"/>
    <col min="12" max="12" width="8.140625" style="1001" customWidth="1"/>
    <col min="13" max="13" width="10" style="1001" customWidth="1"/>
    <col min="14" max="14" width="11.42578125" style="1001" customWidth="1"/>
    <col min="15" max="15" width="13.42578125" style="1001" customWidth="1"/>
    <col min="16" max="16384" width="8.85546875" style="1001"/>
  </cols>
  <sheetData>
    <row r="1" spans="1:26">
      <c r="A1" s="999"/>
      <c r="B1" s="999"/>
      <c r="C1" s="999"/>
      <c r="D1" s="999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</row>
    <row r="2" spans="1:26">
      <c r="A2" s="999"/>
      <c r="B2" s="999"/>
      <c r="C2" s="999"/>
      <c r="D2" s="999"/>
      <c r="E2" s="1000"/>
      <c r="F2" s="1000"/>
      <c r="G2" s="1000"/>
      <c r="H2" s="1000"/>
      <c r="I2" s="1000"/>
      <c r="J2" s="1000"/>
      <c r="K2" s="1000"/>
      <c r="L2" s="1000"/>
      <c r="M2" s="1000"/>
      <c r="N2" s="1000"/>
      <c r="O2" s="1000"/>
      <c r="P2" s="1000"/>
      <c r="Q2" s="1000"/>
      <c r="R2" s="1000"/>
      <c r="S2" s="1000"/>
      <c r="T2" s="1000"/>
      <c r="U2" s="1000"/>
      <c r="V2" s="1000"/>
      <c r="W2" s="1000"/>
      <c r="X2" s="1000"/>
      <c r="Y2" s="1000"/>
      <c r="Z2" s="1000"/>
    </row>
    <row r="3" spans="1:26">
      <c r="A3" s="999"/>
      <c r="B3" s="999"/>
      <c r="C3" s="999"/>
      <c r="D3" s="999"/>
      <c r="E3" s="1000"/>
      <c r="F3" s="1000"/>
      <c r="G3" s="1000"/>
      <c r="H3" s="1000"/>
      <c r="I3" s="1000"/>
      <c r="J3" s="1000"/>
      <c r="K3" s="1000"/>
      <c r="L3" s="1000"/>
      <c r="M3" s="1000"/>
      <c r="N3" s="1000"/>
      <c r="O3" s="1000"/>
      <c r="P3" s="1000"/>
      <c r="Q3" s="1000"/>
      <c r="R3" s="1000"/>
      <c r="S3" s="1000"/>
      <c r="T3" s="1000"/>
      <c r="U3" s="1000"/>
      <c r="V3" s="1000"/>
      <c r="W3" s="1000"/>
      <c r="X3" s="1000"/>
      <c r="Y3" s="1000"/>
      <c r="Z3" s="1000"/>
    </row>
    <row r="4" spans="1:26">
      <c r="A4" s="999"/>
      <c r="B4" s="999"/>
      <c r="C4" s="999"/>
      <c r="D4" s="999"/>
      <c r="E4" s="1000"/>
      <c r="F4" s="1000"/>
      <c r="G4" s="1000"/>
      <c r="H4" s="1000"/>
      <c r="I4" s="1000"/>
      <c r="J4" s="1000"/>
      <c r="K4" s="1000"/>
      <c r="L4" s="1000"/>
      <c r="M4" s="1000"/>
      <c r="N4" s="1000"/>
      <c r="O4" s="1000"/>
      <c r="P4" s="1000"/>
      <c r="Q4" s="1000"/>
      <c r="R4" s="1000"/>
      <c r="S4" s="1000"/>
      <c r="T4" s="1000"/>
      <c r="U4" s="1000"/>
      <c r="V4" s="1000"/>
      <c r="W4" s="1000"/>
      <c r="X4" s="1000"/>
      <c r="Y4" s="1000"/>
      <c r="Z4" s="1000"/>
    </row>
    <row r="5" spans="1:26">
      <c r="A5" s="999"/>
      <c r="B5" s="999"/>
      <c r="C5" s="999"/>
      <c r="D5" s="999"/>
      <c r="E5" s="1000"/>
      <c r="F5" s="1000"/>
      <c r="G5" s="1000"/>
      <c r="H5" s="1000"/>
      <c r="I5" s="1000"/>
      <c r="J5" s="1000"/>
      <c r="K5" s="1000"/>
      <c r="L5" s="1000"/>
      <c r="M5" s="1000"/>
      <c r="N5" s="1000"/>
      <c r="O5" s="1000"/>
      <c r="P5" s="1000"/>
      <c r="Q5" s="1000"/>
      <c r="R5" s="1000"/>
      <c r="S5" s="1000"/>
      <c r="T5" s="1000"/>
      <c r="U5" s="1000"/>
      <c r="V5" s="1000"/>
      <c r="W5" s="1000"/>
      <c r="X5" s="1000"/>
      <c r="Y5" s="1000"/>
      <c r="Z5" s="1000"/>
    </row>
    <row r="6" spans="1:26">
      <c r="A6" s="999"/>
      <c r="B6" s="999"/>
      <c r="C6" s="999"/>
      <c r="D6" s="999"/>
      <c r="E6" s="1000"/>
      <c r="F6" s="1000"/>
      <c r="G6" s="1000"/>
      <c r="H6" s="1000"/>
      <c r="I6" s="1000"/>
      <c r="J6" s="1000"/>
      <c r="K6" s="1000"/>
      <c r="L6" s="1000"/>
      <c r="M6" s="1000"/>
      <c r="N6" s="1000"/>
      <c r="O6" s="1000"/>
      <c r="P6" s="1000"/>
      <c r="Q6" s="1000"/>
      <c r="R6" s="1000"/>
      <c r="S6" s="1000"/>
      <c r="T6" s="1000"/>
      <c r="U6" s="1000"/>
      <c r="V6" s="1000"/>
      <c r="W6" s="1000"/>
      <c r="X6" s="1000"/>
      <c r="Y6" s="1000"/>
      <c r="Z6" s="1000"/>
    </row>
    <row r="7" spans="1:26">
      <c r="A7" s="999"/>
      <c r="B7" s="999"/>
      <c r="C7" s="999"/>
      <c r="D7" s="999"/>
      <c r="E7" s="1000"/>
      <c r="F7" s="1000"/>
      <c r="G7" s="1000"/>
      <c r="H7" s="1000"/>
      <c r="I7" s="1000"/>
      <c r="J7" s="1000"/>
      <c r="K7" s="1000"/>
      <c r="L7" s="1000"/>
      <c r="M7" s="1000"/>
      <c r="N7" s="1000"/>
      <c r="O7" s="1000"/>
      <c r="P7" s="1000"/>
      <c r="Q7" s="1000"/>
      <c r="R7" s="1000"/>
      <c r="S7" s="1000"/>
      <c r="T7" s="1000"/>
      <c r="U7" s="1000"/>
      <c r="V7" s="1000"/>
      <c r="W7" s="1000"/>
      <c r="X7" s="1000"/>
      <c r="Y7" s="1000"/>
      <c r="Z7" s="1000"/>
    </row>
    <row r="8" spans="1:26">
      <c r="A8" s="999"/>
      <c r="B8" s="999"/>
      <c r="C8" s="999"/>
      <c r="D8" s="999"/>
      <c r="E8" s="1000"/>
      <c r="F8" s="1000"/>
      <c r="G8" s="1000"/>
      <c r="H8" s="1000"/>
      <c r="I8" s="1000"/>
      <c r="J8" s="1000"/>
      <c r="K8" s="1000"/>
      <c r="L8" s="1000"/>
      <c r="M8" s="1000"/>
      <c r="N8" s="1000"/>
      <c r="O8" s="1000"/>
      <c r="P8" s="1000"/>
      <c r="Q8" s="1000"/>
      <c r="R8" s="1000"/>
      <c r="S8" s="1000"/>
      <c r="T8" s="1000"/>
      <c r="U8" s="1000"/>
      <c r="V8" s="1000"/>
      <c r="W8" s="1000"/>
      <c r="X8" s="1000"/>
      <c r="Y8" s="1000"/>
      <c r="Z8" s="1000"/>
    </row>
    <row r="9" spans="1:26">
      <c r="A9" s="999"/>
      <c r="B9" s="999"/>
      <c r="C9" s="999"/>
      <c r="D9" s="999"/>
      <c r="E9" s="1000"/>
      <c r="F9" s="1000"/>
      <c r="G9" s="1000"/>
      <c r="H9" s="1000"/>
      <c r="I9" s="1000"/>
      <c r="J9" s="1000"/>
      <c r="K9" s="1000"/>
      <c r="L9" s="1000"/>
      <c r="M9" s="1000"/>
      <c r="N9" s="1000"/>
      <c r="O9" s="1000"/>
      <c r="P9" s="1000"/>
      <c r="Q9" s="1000"/>
      <c r="R9" s="1000"/>
      <c r="S9" s="1000"/>
      <c r="T9" s="1000"/>
      <c r="U9" s="1000"/>
      <c r="V9" s="1000"/>
      <c r="W9" s="1000"/>
      <c r="X9" s="1000"/>
      <c r="Y9" s="1000"/>
      <c r="Z9" s="1000"/>
    </row>
    <row r="10" spans="1:26">
      <c r="A10" s="999"/>
      <c r="B10" s="999"/>
      <c r="C10" s="999"/>
      <c r="D10" s="999"/>
      <c r="E10" s="1000"/>
      <c r="F10" s="1000"/>
      <c r="G10" s="1000"/>
      <c r="H10" s="1000"/>
      <c r="I10" s="1000"/>
      <c r="J10" s="1000"/>
      <c r="K10" s="1000"/>
      <c r="L10" s="1000"/>
      <c r="M10" s="1000"/>
      <c r="N10" s="1000"/>
      <c r="O10" s="1000"/>
      <c r="P10" s="1000"/>
      <c r="Q10" s="1000"/>
      <c r="R10" s="1000"/>
      <c r="S10" s="1000"/>
      <c r="T10" s="1000"/>
      <c r="U10" s="1000"/>
      <c r="V10" s="1000"/>
      <c r="W10" s="1000"/>
      <c r="X10" s="1000"/>
      <c r="Y10" s="1000"/>
      <c r="Z10" s="1000"/>
    </row>
    <row r="11" spans="1:26">
      <c r="A11" s="999"/>
      <c r="B11" s="999"/>
      <c r="C11" s="999"/>
      <c r="D11" s="999"/>
      <c r="E11" s="1000"/>
      <c r="F11" s="1000"/>
      <c r="G11" s="1000"/>
      <c r="H11" s="1000"/>
      <c r="I11" s="1000"/>
      <c r="J11" s="1000"/>
      <c r="K11" s="1000"/>
      <c r="L11" s="1000"/>
      <c r="M11" s="1000"/>
      <c r="N11" s="1000"/>
      <c r="O11" s="1000"/>
      <c r="P11" s="1000"/>
      <c r="Q11" s="1000"/>
      <c r="R11" s="1000"/>
      <c r="S11" s="1000"/>
      <c r="T11" s="1000"/>
      <c r="U11" s="1000"/>
      <c r="V11" s="1000"/>
      <c r="W11" s="1000"/>
      <c r="X11" s="1000"/>
      <c r="Y11" s="1000"/>
      <c r="Z11" s="1000"/>
    </row>
    <row r="12" spans="1:26">
      <c r="A12" s="999"/>
      <c r="B12" s="999"/>
      <c r="C12" s="999"/>
      <c r="D12" s="999"/>
      <c r="E12" s="1000"/>
      <c r="F12" s="1000"/>
      <c r="G12" s="1000"/>
      <c r="H12" s="1000"/>
      <c r="I12" s="1000"/>
      <c r="J12" s="1000"/>
      <c r="K12" s="1000"/>
      <c r="L12" s="1000"/>
      <c r="M12" s="1000"/>
      <c r="N12" s="1000"/>
      <c r="O12" s="1000"/>
      <c r="P12" s="1000"/>
      <c r="Q12" s="1000"/>
      <c r="R12" s="1000"/>
      <c r="S12" s="1000"/>
      <c r="T12" s="1000"/>
      <c r="U12" s="1000"/>
      <c r="V12" s="1000"/>
      <c r="W12" s="1000"/>
      <c r="X12" s="1000"/>
      <c r="Y12" s="1000"/>
      <c r="Z12" s="1000"/>
    </row>
    <row r="13" spans="1:26">
      <c r="A13" s="999"/>
      <c r="B13" s="999"/>
      <c r="C13" s="999"/>
      <c r="D13" s="999"/>
      <c r="E13" s="1000"/>
      <c r="F13" s="1000"/>
      <c r="G13" s="1000"/>
      <c r="H13" s="1000"/>
      <c r="I13" s="1000"/>
      <c r="J13" s="1000"/>
      <c r="K13" s="1000"/>
      <c r="L13" s="1000"/>
      <c r="M13" s="1000"/>
      <c r="N13" s="1000"/>
      <c r="O13" s="1000"/>
      <c r="P13" s="1000"/>
      <c r="Q13" s="1000"/>
      <c r="R13" s="1000"/>
      <c r="S13" s="1000"/>
      <c r="T13" s="1000"/>
      <c r="U13" s="1000"/>
      <c r="V13" s="1000"/>
      <c r="W13" s="1000"/>
      <c r="X13" s="1000"/>
      <c r="Y13" s="1000"/>
      <c r="Z13" s="1000"/>
    </row>
    <row r="14" spans="1:26">
      <c r="A14" s="999"/>
      <c r="B14" s="999"/>
      <c r="C14" s="999"/>
      <c r="D14" s="999"/>
      <c r="E14" s="1000"/>
      <c r="F14" s="1000"/>
      <c r="G14" s="1000"/>
      <c r="H14" s="1000"/>
      <c r="I14" s="1000"/>
      <c r="J14" s="1000"/>
      <c r="K14" s="1000"/>
      <c r="L14" s="1000"/>
      <c r="M14" s="1000"/>
      <c r="N14" s="1000"/>
      <c r="O14" s="1000"/>
      <c r="P14" s="1000"/>
      <c r="Q14" s="1000"/>
      <c r="R14" s="1000"/>
      <c r="S14" s="1000"/>
      <c r="T14" s="1000"/>
      <c r="U14" s="1000"/>
      <c r="V14" s="1000"/>
      <c r="W14" s="1000"/>
      <c r="X14" s="1000"/>
      <c r="Y14" s="1000"/>
      <c r="Z14" s="1000"/>
    </row>
    <row r="15" spans="1:26">
      <c r="A15" s="999"/>
      <c r="B15" s="999"/>
      <c r="C15" s="999"/>
      <c r="D15" s="999"/>
      <c r="E15" s="1000"/>
      <c r="F15" s="1000"/>
      <c r="G15" s="1000"/>
      <c r="H15" s="1000"/>
      <c r="I15" s="1000"/>
      <c r="J15" s="1000"/>
      <c r="K15" s="1000"/>
      <c r="L15" s="1000"/>
      <c r="M15" s="1000"/>
      <c r="N15" s="1000"/>
      <c r="O15" s="1000"/>
      <c r="P15" s="1000"/>
      <c r="Q15" s="1000"/>
      <c r="R15" s="1000"/>
      <c r="S15" s="1000"/>
      <c r="T15" s="1000"/>
      <c r="U15" s="1000"/>
      <c r="V15" s="1000"/>
      <c r="W15" s="1000"/>
      <c r="X15" s="1000"/>
      <c r="Y15" s="1000"/>
      <c r="Z15" s="1000"/>
    </row>
    <row r="16" spans="1:26" ht="102.75" customHeight="1">
      <c r="A16" s="1189" t="s">
        <v>868</v>
      </c>
      <c r="B16" s="1189"/>
      <c r="C16" s="1189"/>
      <c r="D16" s="1189"/>
      <c r="E16" s="1002"/>
      <c r="F16" s="1002"/>
      <c r="G16" s="1003"/>
      <c r="H16" s="1003"/>
      <c r="I16" s="1003"/>
      <c r="J16" s="1003"/>
      <c r="K16" s="1003"/>
      <c r="L16" s="1003"/>
      <c r="M16" s="1000"/>
      <c r="N16" s="1000"/>
      <c r="O16" s="1000"/>
      <c r="P16" s="1000"/>
      <c r="Q16" s="1000"/>
      <c r="R16" s="1000"/>
      <c r="S16" s="1000"/>
      <c r="T16" s="1000"/>
      <c r="U16" s="1000"/>
      <c r="V16" s="1000"/>
      <c r="W16" s="1000"/>
      <c r="X16" s="1000"/>
      <c r="Y16" s="1000"/>
      <c r="Z16" s="1000"/>
    </row>
    <row r="17" spans="1:26" ht="17.25" customHeight="1">
      <c r="A17" s="1004"/>
      <c r="B17" s="1004"/>
      <c r="C17" s="1004"/>
      <c r="D17" s="1004"/>
      <c r="E17" s="1000"/>
      <c r="F17" s="1000"/>
      <c r="G17" s="1000"/>
      <c r="H17" s="1000"/>
      <c r="I17" s="1000"/>
      <c r="J17" s="1000"/>
      <c r="K17" s="1000"/>
      <c r="L17" s="1000"/>
      <c r="M17" s="1000"/>
      <c r="N17" s="1000"/>
      <c r="O17" s="1000"/>
      <c r="P17" s="1000"/>
      <c r="Q17" s="1000"/>
      <c r="R17" s="1000"/>
      <c r="S17" s="1000"/>
      <c r="T17" s="1000"/>
      <c r="U17" s="1000"/>
      <c r="V17" s="1000"/>
      <c r="W17" s="1000"/>
      <c r="X17" s="1000"/>
      <c r="Y17" s="1000"/>
      <c r="Z17" s="1000"/>
    </row>
    <row r="18" spans="1:26" ht="17.25" customHeight="1">
      <c r="A18" s="1004"/>
      <c r="B18" s="1004"/>
      <c r="C18" s="1004"/>
      <c r="D18" s="1004"/>
      <c r="E18" s="1005"/>
      <c r="F18" s="1005"/>
      <c r="G18" s="1006"/>
      <c r="H18" s="1006"/>
      <c r="I18" s="1006"/>
      <c r="J18" s="1006"/>
      <c r="K18" s="1006"/>
      <c r="L18" s="1006"/>
      <c r="M18" s="1000"/>
      <c r="N18" s="1000"/>
      <c r="O18" s="1000"/>
      <c r="P18" s="1000"/>
      <c r="Q18" s="1000"/>
      <c r="R18" s="1000"/>
      <c r="S18" s="1000"/>
      <c r="T18" s="1000"/>
      <c r="U18" s="1000"/>
      <c r="V18" s="1000"/>
      <c r="W18" s="1000"/>
      <c r="X18" s="1000"/>
      <c r="Y18" s="1000"/>
      <c r="Z18" s="1000"/>
    </row>
    <row r="19" spans="1:26" ht="17.25" customHeight="1">
      <c r="A19" s="1007" t="s">
        <v>0</v>
      </c>
      <c r="B19" s="1188" t="s">
        <v>883</v>
      </c>
      <c r="C19" s="1188"/>
      <c r="D19" s="1188"/>
      <c r="E19" s="1008"/>
      <c r="F19" s="1008"/>
      <c r="G19" s="1009"/>
      <c r="H19" s="1009"/>
      <c r="I19" s="1009"/>
      <c r="J19" s="1009"/>
      <c r="K19" s="1009"/>
      <c r="L19" s="1009"/>
      <c r="M19" s="1000"/>
      <c r="N19" s="1000"/>
      <c r="O19" s="1000"/>
      <c r="P19" s="1000"/>
      <c r="Q19" s="1000"/>
      <c r="R19" s="1000"/>
      <c r="S19" s="1000"/>
      <c r="T19" s="1000"/>
      <c r="U19" s="1000"/>
      <c r="V19" s="1000"/>
      <c r="W19" s="1000"/>
      <c r="X19" s="1000"/>
      <c r="Y19" s="1000"/>
      <c r="Z19" s="1000"/>
    </row>
    <row r="20" spans="1:26" ht="17.25" customHeight="1">
      <c r="A20" s="1007" t="s">
        <v>869</v>
      </c>
      <c r="B20" s="1188" t="s">
        <v>884</v>
      </c>
      <c r="C20" s="1188"/>
      <c r="D20" s="1188"/>
      <c r="E20" s="1008"/>
      <c r="F20" s="1008"/>
      <c r="G20" s="1009"/>
      <c r="H20" s="1009"/>
      <c r="I20" s="1009"/>
      <c r="J20" s="1009"/>
      <c r="K20" s="1009"/>
      <c r="L20" s="1009"/>
      <c r="M20" s="1000"/>
      <c r="N20" s="1000"/>
      <c r="O20" s="1000"/>
      <c r="P20" s="1000"/>
      <c r="Q20" s="1000"/>
      <c r="R20" s="1000"/>
      <c r="S20" s="1000"/>
      <c r="T20" s="1000"/>
      <c r="U20" s="1000"/>
      <c r="V20" s="1000"/>
      <c r="W20" s="1000"/>
      <c r="X20" s="1000"/>
      <c r="Y20" s="1000"/>
      <c r="Z20" s="1000"/>
    </row>
    <row r="21" spans="1:26" ht="17.25" customHeight="1">
      <c r="A21" s="1007" t="s">
        <v>870</v>
      </c>
      <c r="B21" s="1010" t="s">
        <v>885</v>
      </c>
      <c r="C21" s="1010"/>
      <c r="D21" s="1010"/>
      <c r="E21" s="1008"/>
      <c r="F21" s="1008"/>
      <c r="G21" s="1009"/>
      <c r="H21" s="1009"/>
      <c r="I21" s="1009"/>
      <c r="J21" s="1009"/>
      <c r="K21" s="1009"/>
      <c r="L21" s="1009"/>
      <c r="M21" s="1000"/>
      <c r="N21" s="1000"/>
      <c r="O21" s="1000"/>
      <c r="P21" s="1000"/>
      <c r="Q21" s="1000"/>
      <c r="R21" s="1000"/>
      <c r="S21" s="1000"/>
      <c r="T21" s="1000"/>
      <c r="U21" s="1000"/>
      <c r="V21" s="1000"/>
      <c r="W21" s="1000"/>
      <c r="X21" s="1000"/>
      <c r="Y21" s="1000"/>
      <c r="Z21" s="1000"/>
    </row>
    <row r="22" spans="1:26" ht="17.25" customHeight="1">
      <c r="A22" s="1007"/>
      <c r="B22" s="1010"/>
      <c r="C22" s="1010"/>
      <c r="D22" s="1010"/>
      <c r="E22" s="1008"/>
      <c r="F22" s="1008"/>
      <c r="G22" s="1009"/>
      <c r="H22" s="1009"/>
      <c r="I22" s="1009"/>
      <c r="J22" s="1009"/>
      <c r="K22" s="1009"/>
      <c r="L22" s="1009"/>
      <c r="M22" s="1000"/>
      <c r="N22" s="1000"/>
      <c r="O22" s="1000"/>
      <c r="P22" s="1000"/>
      <c r="Q22" s="1000"/>
      <c r="R22" s="1000"/>
      <c r="S22" s="1000"/>
      <c r="T22" s="1000"/>
      <c r="U22" s="1000"/>
      <c r="V22" s="1000"/>
      <c r="W22" s="1000"/>
      <c r="X22" s="1000"/>
      <c r="Y22" s="1000"/>
      <c r="Z22" s="1000"/>
    </row>
    <row r="23" spans="1:26" ht="17.25" customHeight="1">
      <c r="A23" s="1007" t="s">
        <v>871</v>
      </c>
      <c r="B23" s="1188" t="s">
        <v>879</v>
      </c>
      <c r="C23" s="1188"/>
      <c r="D23" s="1188"/>
      <c r="E23" s="1000"/>
      <c r="F23" s="1000"/>
      <c r="G23" s="1000"/>
      <c r="H23" s="1000"/>
      <c r="I23" s="1000"/>
      <c r="J23" s="1000"/>
      <c r="K23" s="1000"/>
      <c r="L23" s="1000"/>
      <c r="M23" s="1000"/>
      <c r="N23" s="1000"/>
      <c r="O23" s="1000"/>
      <c r="P23" s="1000"/>
      <c r="Q23" s="1000"/>
      <c r="R23" s="1000"/>
      <c r="S23" s="1000"/>
      <c r="T23" s="1000"/>
      <c r="U23" s="1000"/>
      <c r="V23" s="1000"/>
      <c r="W23" s="1000"/>
      <c r="X23" s="1000"/>
      <c r="Y23" s="1000"/>
      <c r="Z23" s="1000"/>
    </row>
    <row r="24" spans="1:26" ht="17.25" customHeight="1">
      <c r="A24" s="1007"/>
      <c r="B24" s="1188" t="s">
        <v>880</v>
      </c>
      <c r="C24" s="1188"/>
      <c r="D24" s="1188"/>
      <c r="E24" s="1000"/>
      <c r="F24" s="1000"/>
      <c r="G24" s="1000"/>
      <c r="H24" s="1000"/>
      <c r="I24" s="1000"/>
      <c r="J24" s="1000"/>
      <c r="K24" s="1000"/>
      <c r="L24" s="1000"/>
      <c r="M24" s="1000"/>
      <c r="N24" s="1000"/>
      <c r="O24" s="1000"/>
      <c r="P24" s="1000"/>
      <c r="Q24" s="1000"/>
      <c r="R24" s="1000"/>
      <c r="S24" s="1000"/>
      <c r="T24" s="1000"/>
      <c r="U24" s="1000"/>
      <c r="V24" s="1000"/>
      <c r="W24" s="1000"/>
      <c r="X24" s="1000"/>
      <c r="Y24" s="1000"/>
      <c r="Z24" s="1000"/>
    </row>
    <row r="25" spans="1:26" ht="17.25" customHeight="1">
      <c r="A25" s="1007"/>
      <c r="B25" s="1188" t="s">
        <v>881</v>
      </c>
      <c r="C25" s="1188"/>
      <c r="D25" s="1188"/>
      <c r="E25" s="1000"/>
      <c r="F25" s="1000"/>
      <c r="G25" s="1000"/>
      <c r="H25" s="1000"/>
      <c r="I25" s="1000"/>
      <c r="J25" s="1000"/>
      <c r="K25" s="1000"/>
      <c r="L25" s="1000"/>
      <c r="M25" s="1000"/>
      <c r="N25" s="1000"/>
      <c r="O25" s="1000"/>
      <c r="P25" s="1000"/>
      <c r="Q25" s="1000"/>
      <c r="R25" s="1000"/>
      <c r="S25" s="1000"/>
      <c r="T25" s="1000"/>
      <c r="U25" s="1000"/>
      <c r="V25" s="1000"/>
      <c r="W25" s="1000"/>
      <c r="X25" s="1000"/>
      <c r="Y25" s="1000"/>
      <c r="Z25" s="1000"/>
    </row>
    <row r="26" spans="1:26" ht="17.25" customHeight="1">
      <c r="A26" s="1007" t="s">
        <v>872</v>
      </c>
      <c r="B26" s="1188" t="s">
        <v>879</v>
      </c>
      <c r="C26" s="1188"/>
      <c r="D26" s="1188"/>
      <c r="E26" s="1000"/>
      <c r="F26" s="1000"/>
      <c r="G26" s="1000"/>
      <c r="H26" s="1000"/>
      <c r="I26" s="1000"/>
      <c r="J26" s="1000"/>
      <c r="K26" s="1000"/>
      <c r="L26" s="1000"/>
      <c r="M26" s="1000"/>
      <c r="N26" s="1000"/>
      <c r="O26" s="1000"/>
      <c r="P26" s="1000"/>
      <c r="Q26" s="1000"/>
      <c r="R26" s="1000"/>
      <c r="S26" s="1000"/>
      <c r="T26" s="1000"/>
      <c r="U26" s="1000"/>
      <c r="V26" s="1000"/>
      <c r="W26" s="1000"/>
      <c r="X26" s="1000"/>
      <c r="Y26" s="1000"/>
      <c r="Z26" s="1000"/>
    </row>
    <row r="27" spans="1:26" ht="17.25" customHeight="1">
      <c r="A27" s="1007"/>
      <c r="B27" s="1188" t="s">
        <v>882</v>
      </c>
      <c r="C27" s="1188"/>
      <c r="D27" s="1188"/>
      <c r="E27" s="1000"/>
      <c r="F27" s="1000"/>
      <c r="G27" s="1000"/>
      <c r="H27" s="1000"/>
      <c r="I27" s="1000"/>
      <c r="J27" s="1000"/>
      <c r="K27" s="1000"/>
      <c r="L27" s="1000"/>
      <c r="M27" s="1000"/>
      <c r="N27" s="1000"/>
      <c r="O27" s="1000"/>
      <c r="P27" s="1000"/>
      <c r="Q27" s="1000"/>
      <c r="R27" s="1000"/>
      <c r="S27" s="1000"/>
      <c r="T27" s="1000"/>
      <c r="U27" s="1000"/>
      <c r="V27" s="1000"/>
      <c r="W27" s="1000"/>
      <c r="X27" s="1000"/>
      <c r="Y27" s="1000"/>
      <c r="Z27" s="1000"/>
    </row>
    <row r="28" spans="1:26" ht="17.25" customHeight="1">
      <c r="A28" s="1007"/>
      <c r="B28" s="1010"/>
      <c r="C28" s="1010"/>
      <c r="D28" s="1010"/>
      <c r="E28" s="1000"/>
      <c r="F28" s="1000"/>
      <c r="G28" s="1000"/>
      <c r="H28" s="1000"/>
      <c r="I28" s="1000"/>
      <c r="J28" s="1000"/>
      <c r="K28" s="1000"/>
      <c r="L28" s="1000"/>
      <c r="M28" s="1000"/>
      <c r="N28" s="1000"/>
      <c r="O28" s="1000"/>
      <c r="P28" s="1000"/>
      <c r="Q28" s="1000"/>
      <c r="R28" s="1000"/>
      <c r="S28" s="1000"/>
      <c r="T28" s="1000"/>
      <c r="U28" s="1000"/>
      <c r="V28" s="1000"/>
      <c r="W28" s="1000"/>
      <c r="X28" s="1000"/>
      <c r="Y28" s="1000"/>
      <c r="Z28" s="1000"/>
    </row>
    <row r="29" spans="1:26" ht="17.25" customHeight="1">
      <c r="A29" s="1007" t="s">
        <v>873</v>
      </c>
      <c r="B29" s="1011">
        <v>1.1000000000000001</v>
      </c>
      <c r="C29" s="1010"/>
      <c r="D29" s="1010"/>
      <c r="E29" s="1000"/>
      <c r="F29" s="1000"/>
      <c r="G29" s="1000"/>
      <c r="H29" s="1000"/>
      <c r="I29" s="1000"/>
      <c r="J29" s="1000"/>
      <c r="K29" s="1000"/>
      <c r="L29" s="1000"/>
      <c r="M29" s="1000"/>
      <c r="N29" s="1000"/>
      <c r="O29" s="1000"/>
      <c r="P29" s="1000"/>
      <c r="Q29" s="1000"/>
      <c r="R29" s="1000"/>
      <c r="S29" s="1000"/>
      <c r="T29" s="1000"/>
      <c r="U29" s="1000"/>
      <c r="V29" s="1000"/>
      <c r="W29" s="1000"/>
      <c r="X29" s="1000"/>
      <c r="Y29" s="1000"/>
      <c r="Z29" s="1000"/>
    </row>
    <row r="30" spans="1:26" ht="17.25" customHeight="1">
      <c r="A30" s="1007" t="s">
        <v>874</v>
      </c>
      <c r="B30" s="1190" t="s">
        <v>875</v>
      </c>
      <c r="C30" s="1188"/>
      <c r="D30" s="1188"/>
      <c r="E30" s="1012"/>
      <c r="F30" s="1012"/>
      <c r="G30" s="1000"/>
      <c r="H30" s="1000"/>
      <c r="I30" s="1000"/>
      <c r="J30" s="1000"/>
      <c r="K30" s="1000"/>
      <c r="L30" s="1000"/>
      <c r="M30" s="1000"/>
      <c r="N30" s="1000"/>
      <c r="O30" s="1000"/>
      <c r="P30" s="1000"/>
      <c r="Q30" s="1000"/>
      <c r="R30" s="1000"/>
      <c r="S30" s="1000"/>
      <c r="T30" s="1000"/>
      <c r="U30" s="1000"/>
      <c r="V30" s="1000"/>
      <c r="W30" s="1000"/>
      <c r="X30" s="1000"/>
      <c r="Y30" s="1000"/>
      <c r="Z30" s="1000"/>
    </row>
    <row r="31" spans="1:26" ht="17.25" customHeight="1">
      <c r="A31" s="1007" t="s">
        <v>876</v>
      </c>
      <c r="B31" s="1188" t="s">
        <v>877</v>
      </c>
      <c r="C31" s="1188"/>
      <c r="D31" s="1188"/>
      <c r="E31" s="1012"/>
      <c r="F31" s="1012"/>
      <c r="G31" s="1000"/>
      <c r="H31" s="1000"/>
      <c r="I31" s="1000"/>
      <c r="J31" s="1000"/>
      <c r="K31" s="1000"/>
      <c r="L31" s="1000"/>
      <c r="M31" s="1000"/>
      <c r="N31" s="1000"/>
      <c r="O31" s="1000"/>
      <c r="P31" s="1000"/>
      <c r="Q31" s="1000"/>
      <c r="R31" s="1000"/>
      <c r="S31" s="1000"/>
      <c r="T31" s="1000"/>
      <c r="U31" s="1000"/>
      <c r="V31" s="1000"/>
      <c r="W31" s="1000"/>
      <c r="X31" s="1000"/>
      <c r="Y31" s="1000"/>
      <c r="Z31" s="1000"/>
    </row>
    <row r="32" spans="1:26" ht="17.25" customHeight="1">
      <c r="A32" s="1013"/>
      <c r="B32" s="1014" t="s">
        <v>878</v>
      </c>
      <c r="C32" s="1013"/>
      <c r="D32" s="1013"/>
      <c r="E32" s="1000"/>
      <c r="F32" s="1000"/>
      <c r="G32" s="1000"/>
      <c r="H32" s="1000"/>
      <c r="I32" s="1000"/>
      <c r="J32" s="1000"/>
      <c r="K32" s="1000"/>
      <c r="L32" s="1000"/>
      <c r="M32" s="1000"/>
      <c r="N32" s="1000"/>
      <c r="O32" s="1000"/>
      <c r="P32" s="1000"/>
      <c r="Q32" s="1000"/>
      <c r="R32" s="1000"/>
      <c r="S32" s="1000"/>
      <c r="T32" s="1000"/>
      <c r="U32" s="1000"/>
      <c r="V32" s="1000"/>
      <c r="W32" s="1000"/>
      <c r="X32" s="1000"/>
      <c r="Y32" s="1000"/>
      <c r="Z32" s="1000"/>
    </row>
    <row r="33" spans="1:26">
      <c r="A33" s="999"/>
      <c r="B33" s="999"/>
      <c r="C33" s="999"/>
      <c r="D33" s="999"/>
      <c r="E33" s="1000"/>
      <c r="F33" s="1000"/>
      <c r="G33" s="1000"/>
      <c r="H33" s="1000"/>
      <c r="I33" s="1000"/>
      <c r="J33" s="1000"/>
      <c r="K33" s="1000"/>
      <c r="L33" s="1000"/>
      <c r="M33" s="1000"/>
      <c r="N33" s="1000"/>
      <c r="O33" s="1000"/>
      <c r="P33" s="1000"/>
      <c r="Q33" s="1000"/>
      <c r="R33" s="1000"/>
      <c r="S33" s="1000"/>
      <c r="T33" s="1000"/>
      <c r="U33" s="1000"/>
      <c r="V33" s="1000"/>
      <c r="W33" s="1000"/>
      <c r="X33" s="1000"/>
      <c r="Y33" s="1000"/>
      <c r="Z33" s="1000"/>
    </row>
    <row r="34" spans="1:26">
      <c r="A34" s="999"/>
      <c r="B34" s="999"/>
      <c r="C34" s="999"/>
      <c r="D34" s="999"/>
      <c r="E34" s="1000"/>
      <c r="F34" s="1000"/>
      <c r="G34" s="1000"/>
      <c r="H34" s="1000"/>
      <c r="I34" s="1000"/>
      <c r="J34" s="1000"/>
      <c r="K34" s="1000"/>
      <c r="L34" s="1000"/>
      <c r="M34" s="1000"/>
      <c r="N34" s="1000"/>
      <c r="O34" s="1000"/>
      <c r="P34" s="1000"/>
      <c r="Q34" s="1000"/>
      <c r="R34" s="1000"/>
      <c r="S34" s="1000"/>
      <c r="T34" s="1000"/>
      <c r="U34" s="1000"/>
      <c r="V34" s="1000"/>
      <c r="W34" s="1000"/>
      <c r="X34" s="1000"/>
      <c r="Y34" s="1000"/>
      <c r="Z34" s="1000"/>
    </row>
    <row r="35" spans="1:26">
      <c r="A35" s="999"/>
      <c r="B35" s="999"/>
      <c r="C35" s="999"/>
      <c r="D35" s="999"/>
      <c r="E35" s="1000"/>
      <c r="F35" s="1000"/>
      <c r="G35" s="1000"/>
      <c r="H35" s="1000"/>
      <c r="I35" s="1000"/>
      <c r="J35" s="1000"/>
      <c r="K35" s="1000"/>
      <c r="L35" s="1000"/>
      <c r="M35" s="1000"/>
      <c r="N35" s="1000"/>
      <c r="O35" s="1000"/>
      <c r="P35" s="1000"/>
      <c r="Q35" s="1000"/>
      <c r="R35" s="1000"/>
      <c r="S35" s="1000"/>
      <c r="T35" s="1000"/>
      <c r="U35" s="1000"/>
      <c r="V35" s="1000"/>
      <c r="W35" s="1000"/>
      <c r="X35" s="1000"/>
      <c r="Y35" s="1000"/>
      <c r="Z35" s="1000"/>
    </row>
    <row r="36" spans="1:26">
      <c r="A36" s="999"/>
      <c r="B36" s="999"/>
      <c r="C36" s="999"/>
      <c r="D36" s="999"/>
      <c r="E36" s="1000"/>
      <c r="F36" s="1000"/>
      <c r="G36" s="1000"/>
      <c r="H36" s="1000"/>
      <c r="I36" s="1000"/>
      <c r="J36" s="1000"/>
      <c r="K36" s="1000"/>
      <c r="L36" s="1000"/>
      <c r="M36" s="1000"/>
      <c r="N36" s="1000"/>
      <c r="O36" s="1000"/>
      <c r="P36" s="1000"/>
      <c r="Q36" s="1000"/>
      <c r="R36" s="1000"/>
      <c r="S36" s="1000"/>
      <c r="T36" s="1000"/>
      <c r="U36" s="1000"/>
      <c r="V36" s="1000"/>
      <c r="W36" s="1000"/>
      <c r="X36" s="1000"/>
      <c r="Y36" s="1000"/>
      <c r="Z36" s="1000"/>
    </row>
    <row r="37" spans="1:26">
      <c r="A37" s="999"/>
      <c r="B37" s="999"/>
      <c r="C37" s="999"/>
      <c r="D37" s="999"/>
      <c r="E37" s="1000"/>
      <c r="F37" s="1000"/>
      <c r="G37" s="1000"/>
      <c r="H37" s="1000"/>
      <c r="I37" s="1000"/>
      <c r="J37" s="1000"/>
      <c r="K37" s="1000"/>
      <c r="L37" s="1000"/>
      <c r="M37" s="1000"/>
      <c r="N37" s="1000"/>
      <c r="O37" s="1000"/>
      <c r="P37" s="1000"/>
      <c r="Q37" s="1000"/>
      <c r="R37" s="1000"/>
      <c r="S37" s="1000"/>
      <c r="T37" s="1000"/>
      <c r="U37" s="1000"/>
      <c r="V37" s="1000"/>
      <c r="W37" s="1000"/>
      <c r="X37" s="1000"/>
      <c r="Y37" s="1000"/>
      <c r="Z37" s="1000"/>
    </row>
    <row r="38" spans="1:26">
      <c r="A38" s="999"/>
      <c r="B38" s="999"/>
      <c r="C38" s="999"/>
      <c r="D38" s="999"/>
      <c r="E38" s="1000"/>
      <c r="F38" s="1000"/>
      <c r="G38" s="1000"/>
      <c r="H38" s="1000"/>
      <c r="I38" s="1000"/>
      <c r="J38" s="1000"/>
      <c r="K38" s="1000"/>
      <c r="L38" s="1000"/>
      <c r="M38" s="1000"/>
      <c r="N38" s="1000"/>
      <c r="O38" s="1000"/>
      <c r="P38" s="1000"/>
      <c r="Q38" s="1000"/>
      <c r="R38" s="1000"/>
      <c r="S38" s="1000"/>
      <c r="T38" s="1000"/>
      <c r="U38" s="1000"/>
      <c r="V38" s="1000"/>
      <c r="W38" s="1000"/>
      <c r="X38" s="1000"/>
      <c r="Y38" s="1000"/>
      <c r="Z38" s="1000"/>
    </row>
    <row r="39" spans="1:26">
      <c r="A39" s="999"/>
      <c r="B39" s="999"/>
      <c r="C39" s="999"/>
      <c r="D39" s="999"/>
      <c r="E39" s="1000"/>
      <c r="F39" s="1000"/>
      <c r="G39" s="1000"/>
      <c r="H39" s="1000"/>
      <c r="I39" s="1000"/>
      <c r="J39" s="1000"/>
      <c r="K39" s="1000"/>
      <c r="L39" s="1000"/>
      <c r="M39" s="1000"/>
      <c r="N39" s="1000"/>
      <c r="O39" s="1000"/>
      <c r="P39" s="1000"/>
      <c r="Q39" s="1000"/>
      <c r="R39" s="1000"/>
      <c r="S39" s="1000"/>
      <c r="T39" s="1000"/>
      <c r="U39" s="1000"/>
      <c r="V39" s="1000"/>
      <c r="W39" s="1000"/>
      <c r="X39" s="1000"/>
      <c r="Y39" s="1000"/>
      <c r="Z39" s="1000"/>
    </row>
    <row r="40" spans="1:26">
      <c r="A40" s="999"/>
      <c r="B40" s="999"/>
      <c r="C40" s="999"/>
      <c r="D40" s="999"/>
      <c r="E40" s="1000"/>
      <c r="F40" s="1000"/>
      <c r="G40" s="1000"/>
      <c r="H40" s="1000"/>
      <c r="I40" s="1000"/>
      <c r="J40" s="1000"/>
      <c r="K40" s="1000"/>
      <c r="L40" s="1000"/>
      <c r="M40" s="1000"/>
      <c r="N40" s="1000"/>
      <c r="O40" s="1000"/>
      <c r="P40" s="1000"/>
      <c r="Q40" s="1000"/>
      <c r="R40" s="1000"/>
      <c r="S40" s="1000"/>
      <c r="T40" s="1000"/>
      <c r="U40" s="1000"/>
      <c r="V40" s="1000"/>
      <c r="W40" s="1000"/>
      <c r="X40" s="1000"/>
      <c r="Y40" s="1000"/>
      <c r="Z40" s="1000"/>
    </row>
    <row r="41" spans="1:26">
      <c r="A41" s="999"/>
      <c r="B41" s="999"/>
      <c r="C41" s="999"/>
      <c r="D41" s="999"/>
      <c r="E41" s="1000"/>
      <c r="F41" s="1000"/>
      <c r="G41" s="1000"/>
      <c r="H41" s="1000"/>
      <c r="I41" s="1000"/>
      <c r="J41" s="1000"/>
      <c r="K41" s="1000"/>
      <c r="L41" s="1000"/>
      <c r="M41" s="1000"/>
      <c r="N41" s="1000"/>
      <c r="O41" s="1000"/>
      <c r="P41" s="1000"/>
      <c r="Q41" s="1000"/>
      <c r="R41" s="1000"/>
      <c r="S41" s="1000"/>
      <c r="T41" s="1000"/>
      <c r="U41" s="1000"/>
      <c r="V41" s="1000"/>
      <c r="W41" s="1000"/>
      <c r="X41" s="1000"/>
      <c r="Y41" s="1000"/>
      <c r="Z41" s="1000"/>
    </row>
    <row r="42" spans="1:26">
      <c r="A42" s="999"/>
      <c r="B42" s="999"/>
      <c r="C42" s="999"/>
      <c r="D42" s="999"/>
      <c r="E42" s="1000"/>
      <c r="F42" s="1000"/>
      <c r="G42" s="1000"/>
      <c r="H42" s="1000"/>
      <c r="I42" s="1000"/>
      <c r="J42" s="1000"/>
      <c r="K42" s="1000"/>
      <c r="L42" s="1000"/>
      <c r="M42" s="1000"/>
      <c r="N42" s="1000"/>
      <c r="O42" s="1000"/>
      <c r="P42" s="1000"/>
      <c r="Q42" s="1000"/>
      <c r="R42" s="1000"/>
      <c r="S42" s="1000"/>
      <c r="T42" s="1000"/>
      <c r="U42" s="1000"/>
      <c r="V42" s="1000"/>
      <c r="W42" s="1000"/>
      <c r="X42" s="1000"/>
      <c r="Y42" s="1000"/>
      <c r="Z42" s="1000"/>
    </row>
    <row r="43" spans="1:26">
      <c r="A43" s="1000"/>
      <c r="B43" s="1000"/>
      <c r="C43" s="1000"/>
      <c r="D43" s="1000"/>
      <c r="E43" s="1000"/>
      <c r="F43" s="1000"/>
      <c r="G43" s="1000"/>
      <c r="H43" s="1000"/>
      <c r="I43" s="1000"/>
      <c r="J43" s="1000"/>
      <c r="K43" s="1000"/>
      <c r="L43" s="1000"/>
      <c r="M43" s="1000"/>
      <c r="N43" s="1000"/>
      <c r="O43" s="1000"/>
      <c r="P43" s="1000"/>
      <c r="Q43" s="1000"/>
      <c r="R43" s="1000"/>
      <c r="S43" s="1000"/>
      <c r="T43" s="1000"/>
      <c r="U43" s="1000"/>
      <c r="V43" s="1000"/>
      <c r="W43" s="1000"/>
      <c r="X43" s="1000"/>
      <c r="Y43" s="1000"/>
      <c r="Z43" s="1000"/>
    </row>
    <row r="44" spans="1:26">
      <c r="A44" s="1000"/>
      <c r="B44" s="1000"/>
      <c r="C44" s="1000"/>
      <c r="D44" s="1000"/>
      <c r="E44" s="1000"/>
      <c r="F44" s="1000"/>
      <c r="G44" s="1000"/>
      <c r="H44" s="1000"/>
      <c r="I44" s="1000"/>
      <c r="J44" s="1000"/>
      <c r="K44" s="1000"/>
      <c r="L44" s="1000"/>
      <c r="M44" s="1000"/>
      <c r="N44" s="1000"/>
      <c r="O44" s="1000"/>
      <c r="P44" s="1000"/>
      <c r="Q44" s="1000"/>
      <c r="R44" s="1000"/>
      <c r="S44" s="1000"/>
      <c r="T44" s="1000"/>
      <c r="U44" s="1000"/>
      <c r="V44" s="1000"/>
      <c r="W44" s="1000"/>
      <c r="X44" s="1000"/>
      <c r="Y44" s="1000"/>
      <c r="Z44" s="1000"/>
    </row>
    <row r="45" spans="1:26">
      <c r="A45" s="1000"/>
      <c r="B45" s="1000"/>
      <c r="C45" s="1000"/>
      <c r="D45" s="1000"/>
      <c r="E45" s="1000"/>
      <c r="F45" s="1000"/>
      <c r="G45" s="1000"/>
      <c r="H45" s="1000"/>
      <c r="I45" s="1000"/>
      <c r="J45" s="1000"/>
      <c r="K45" s="1000"/>
      <c r="L45" s="1000"/>
      <c r="M45" s="1000"/>
      <c r="N45" s="1000"/>
      <c r="O45" s="1000"/>
      <c r="P45" s="1000"/>
      <c r="Q45" s="1000"/>
      <c r="R45" s="1000"/>
      <c r="S45" s="1000"/>
      <c r="T45" s="1000"/>
      <c r="U45" s="1000"/>
      <c r="V45" s="1000"/>
      <c r="W45" s="1000"/>
      <c r="X45" s="1000"/>
      <c r="Y45" s="1000"/>
      <c r="Z45" s="1000"/>
    </row>
    <row r="46" spans="1:26">
      <c r="A46" s="1000"/>
      <c r="B46" s="1000"/>
      <c r="C46" s="1000"/>
      <c r="D46" s="1000"/>
      <c r="E46" s="1000"/>
      <c r="F46" s="1000"/>
      <c r="G46" s="1000"/>
      <c r="H46" s="1000"/>
      <c r="I46" s="1000"/>
      <c r="J46" s="1000"/>
      <c r="K46" s="1000"/>
      <c r="L46" s="1000"/>
      <c r="M46" s="1000"/>
      <c r="N46" s="1000"/>
      <c r="O46" s="1000"/>
      <c r="P46" s="1000"/>
      <c r="Q46" s="1000"/>
      <c r="R46" s="1000"/>
      <c r="S46" s="1000"/>
      <c r="T46" s="1000"/>
      <c r="U46" s="1000"/>
      <c r="V46" s="1000"/>
      <c r="W46" s="1000"/>
      <c r="X46" s="1000"/>
      <c r="Y46" s="1000"/>
      <c r="Z46" s="1000"/>
    </row>
    <row r="47" spans="1:26">
      <c r="A47" s="1000"/>
      <c r="B47" s="1000"/>
      <c r="C47" s="1000"/>
      <c r="D47" s="1000"/>
      <c r="E47" s="1000"/>
      <c r="F47" s="1000"/>
      <c r="G47" s="1000"/>
      <c r="H47" s="1000"/>
      <c r="I47" s="1000"/>
      <c r="J47" s="1000"/>
      <c r="K47" s="1000"/>
      <c r="L47" s="1000"/>
      <c r="M47" s="1000"/>
      <c r="N47" s="1000"/>
      <c r="O47" s="1000"/>
      <c r="P47" s="1000"/>
      <c r="Q47" s="1000"/>
      <c r="R47" s="1000"/>
      <c r="S47" s="1000"/>
      <c r="T47" s="1000"/>
      <c r="U47" s="1000"/>
      <c r="V47" s="1000"/>
      <c r="W47" s="1000"/>
      <c r="X47" s="1000"/>
      <c r="Y47" s="1000"/>
      <c r="Z47" s="1000"/>
    </row>
    <row r="48" spans="1:26">
      <c r="A48" s="1000"/>
      <c r="B48" s="1000"/>
      <c r="C48" s="1000"/>
      <c r="D48" s="1000"/>
      <c r="E48" s="1000"/>
      <c r="F48" s="1000"/>
      <c r="G48" s="1000"/>
      <c r="H48" s="1000"/>
      <c r="I48" s="1000"/>
      <c r="J48" s="1000"/>
      <c r="K48" s="1000"/>
      <c r="L48" s="1000"/>
      <c r="M48" s="1000"/>
      <c r="N48" s="1000"/>
      <c r="O48" s="1000"/>
      <c r="P48" s="1000"/>
      <c r="Q48" s="1000"/>
      <c r="R48" s="1000"/>
      <c r="S48" s="1000"/>
      <c r="T48" s="1000"/>
      <c r="U48" s="1000"/>
      <c r="V48" s="1000"/>
      <c r="W48" s="1000"/>
      <c r="X48" s="1000"/>
      <c r="Y48" s="1000"/>
      <c r="Z48" s="1000"/>
    </row>
    <row r="49" spans="1:26">
      <c r="A49" s="1000"/>
      <c r="B49" s="1000"/>
      <c r="C49" s="1000"/>
      <c r="D49" s="1000"/>
      <c r="E49" s="1000"/>
      <c r="F49" s="1000"/>
      <c r="G49" s="1000"/>
      <c r="H49" s="1000"/>
      <c r="I49" s="1000"/>
      <c r="J49" s="1000"/>
      <c r="K49" s="1000"/>
      <c r="L49" s="1000"/>
      <c r="M49" s="1000"/>
      <c r="N49" s="1000"/>
      <c r="O49" s="1000"/>
      <c r="P49" s="1000"/>
      <c r="Q49" s="1000"/>
      <c r="R49" s="1000"/>
      <c r="S49" s="1000"/>
      <c r="T49" s="1000"/>
      <c r="U49" s="1000"/>
      <c r="V49" s="1000"/>
      <c r="W49" s="1000"/>
      <c r="X49" s="1000"/>
      <c r="Y49" s="1000"/>
      <c r="Z49" s="1000"/>
    </row>
    <row r="50" spans="1:26">
      <c r="A50" s="1000"/>
      <c r="B50" s="1000"/>
      <c r="C50" s="1000"/>
      <c r="D50" s="1000"/>
      <c r="E50" s="1000"/>
      <c r="F50" s="1000"/>
      <c r="G50" s="1000"/>
      <c r="H50" s="1000"/>
      <c r="I50" s="1000"/>
      <c r="J50" s="1000"/>
      <c r="K50" s="1000"/>
      <c r="L50" s="1000"/>
      <c r="M50" s="1000"/>
      <c r="N50" s="1000"/>
      <c r="O50" s="1000"/>
      <c r="P50" s="1000"/>
      <c r="Q50" s="1000"/>
      <c r="R50" s="1000"/>
      <c r="S50" s="1000"/>
      <c r="T50" s="1000"/>
      <c r="U50" s="1000"/>
      <c r="V50" s="1000"/>
      <c r="W50" s="1000"/>
      <c r="X50" s="1000"/>
      <c r="Y50" s="1000"/>
      <c r="Z50" s="1000"/>
    </row>
    <row r="51" spans="1:26">
      <c r="A51" s="1000"/>
      <c r="B51" s="1000"/>
      <c r="C51" s="1000"/>
      <c r="D51" s="1000"/>
      <c r="E51" s="1000"/>
      <c r="F51" s="1000"/>
      <c r="G51" s="1000"/>
      <c r="H51" s="1000"/>
      <c r="I51" s="1000"/>
      <c r="J51" s="1000"/>
      <c r="K51" s="1000"/>
      <c r="L51" s="1000"/>
      <c r="M51" s="1000"/>
      <c r="N51" s="1000"/>
      <c r="O51" s="1000"/>
      <c r="P51" s="1000"/>
      <c r="Q51" s="1000"/>
      <c r="R51" s="1000"/>
      <c r="S51" s="1000"/>
      <c r="T51" s="1000"/>
      <c r="U51" s="1000"/>
      <c r="V51" s="1000"/>
      <c r="W51" s="1000"/>
      <c r="X51" s="1000"/>
      <c r="Y51" s="1000"/>
      <c r="Z51" s="1000"/>
    </row>
    <row r="52" spans="1:26">
      <c r="A52" s="1000"/>
      <c r="B52" s="1000"/>
      <c r="C52" s="1000"/>
      <c r="D52" s="1000"/>
      <c r="E52" s="1000"/>
      <c r="F52" s="1000"/>
      <c r="G52" s="1000"/>
      <c r="H52" s="1000"/>
      <c r="I52" s="1000"/>
      <c r="J52" s="1000"/>
      <c r="K52" s="1000"/>
      <c r="L52" s="1000"/>
      <c r="M52" s="1000"/>
      <c r="N52" s="1000"/>
      <c r="O52" s="1000"/>
      <c r="P52" s="1000"/>
      <c r="Q52" s="1000"/>
      <c r="R52" s="1000"/>
      <c r="S52" s="1000"/>
      <c r="T52" s="1000"/>
      <c r="U52" s="1000"/>
      <c r="V52" s="1000"/>
      <c r="W52" s="1000"/>
      <c r="X52" s="1000"/>
      <c r="Y52" s="1000"/>
      <c r="Z52" s="1000"/>
    </row>
    <row r="53" spans="1:26">
      <c r="A53" s="1000"/>
      <c r="B53" s="1000"/>
      <c r="C53" s="1000"/>
      <c r="D53" s="1000"/>
      <c r="E53" s="1000"/>
      <c r="F53" s="1000"/>
      <c r="G53" s="1000"/>
      <c r="H53" s="1000"/>
      <c r="I53" s="1000"/>
      <c r="J53" s="1000"/>
      <c r="K53" s="1000"/>
      <c r="L53" s="1000"/>
      <c r="M53" s="1000"/>
      <c r="N53" s="1000"/>
      <c r="O53" s="1000"/>
      <c r="P53" s="1000"/>
      <c r="Q53" s="1000"/>
      <c r="R53" s="1000"/>
      <c r="S53" s="1000"/>
      <c r="T53" s="1000"/>
      <c r="U53" s="1000"/>
      <c r="V53" s="1000"/>
      <c r="W53" s="1000"/>
      <c r="X53" s="1000"/>
      <c r="Y53" s="1000"/>
      <c r="Z53" s="1000"/>
    </row>
    <row r="54" spans="1:26">
      <c r="A54" s="1000"/>
      <c r="B54" s="1000"/>
      <c r="C54" s="1000"/>
      <c r="D54" s="1000"/>
      <c r="E54" s="1000"/>
      <c r="F54" s="1000"/>
      <c r="G54" s="1000"/>
      <c r="H54" s="1000"/>
      <c r="I54" s="1000"/>
      <c r="J54" s="1000"/>
      <c r="K54" s="1000"/>
      <c r="L54" s="1000"/>
      <c r="M54" s="1000"/>
      <c r="N54" s="1000"/>
      <c r="O54" s="1000"/>
      <c r="P54" s="1000"/>
      <c r="Q54" s="1000"/>
      <c r="R54" s="1000"/>
      <c r="S54" s="1000"/>
      <c r="T54" s="1000"/>
      <c r="U54" s="1000"/>
      <c r="V54" s="1000"/>
      <c r="W54" s="1000"/>
      <c r="X54" s="1000"/>
      <c r="Y54" s="1000"/>
      <c r="Z54" s="1000"/>
    </row>
    <row r="55" spans="1:26">
      <c r="A55" s="1000"/>
      <c r="B55" s="1000"/>
      <c r="C55" s="1000"/>
      <c r="D55" s="1000"/>
      <c r="E55" s="1000"/>
      <c r="F55" s="1000"/>
      <c r="G55" s="1000"/>
      <c r="H55" s="1000"/>
      <c r="I55" s="1000"/>
      <c r="J55" s="1000"/>
      <c r="K55" s="1000"/>
      <c r="L55" s="1000"/>
      <c r="M55" s="1000"/>
      <c r="N55" s="1000"/>
      <c r="O55" s="1000"/>
      <c r="P55" s="1000"/>
      <c r="Q55" s="1000"/>
      <c r="R55" s="1000"/>
      <c r="S55" s="1000"/>
      <c r="T55" s="1000"/>
      <c r="U55" s="1000"/>
      <c r="V55" s="1000"/>
      <c r="W55" s="1000"/>
      <c r="X55" s="1000"/>
      <c r="Y55" s="1000"/>
      <c r="Z55" s="1000"/>
    </row>
    <row r="56" spans="1:26">
      <c r="A56" s="1000"/>
      <c r="B56" s="1000"/>
      <c r="C56" s="1000"/>
      <c r="D56" s="1000"/>
      <c r="E56" s="1000"/>
      <c r="F56" s="1000"/>
      <c r="G56" s="1000"/>
      <c r="H56" s="1000"/>
      <c r="I56" s="1000"/>
      <c r="J56" s="1000"/>
      <c r="K56" s="1000"/>
      <c r="L56" s="1000"/>
      <c r="M56" s="1000"/>
      <c r="N56" s="1000"/>
      <c r="O56" s="1000"/>
      <c r="P56" s="1000"/>
      <c r="Q56" s="1000"/>
      <c r="R56" s="1000"/>
      <c r="S56" s="1000"/>
      <c r="T56" s="1000"/>
      <c r="U56" s="1000"/>
      <c r="V56" s="1000"/>
      <c r="W56" s="1000"/>
      <c r="X56" s="1000"/>
      <c r="Y56" s="1000"/>
      <c r="Z56" s="1000"/>
    </row>
    <row r="57" spans="1:26">
      <c r="A57" s="1000"/>
      <c r="B57" s="1000"/>
      <c r="C57" s="1000"/>
      <c r="D57" s="1000"/>
      <c r="E57" s="1000"/>
      <c r="F57" s="1000"/>
      <c r="G57" s="1000"/>
      <c r="H57" s="1000"/>
      <c r="I57" s="1000"/>
      <c r="J57" s="1000"/>
      <c r="K57" s="1000"/>
      <c r="L57" s="1000"/>
      <c r="M57" s="1000"/>
      <c r="N57" s="1000"/>
      <c r="O57" s="1000"/>
      <c r="P57" s="1000"/>
      <c r="Q57" s="1000"/>
      <c r="R57" s="1000"/>
      <c r="S57" s="1000"/>
      <c r="T57" s="1000"/>
      <c r="U57" s="1000"/>
      <c r="V57" s="1000"/>
      <c r="W57" s="1000"/>
      <c r="X57" s="1000"/>
      <c r="Y57" s="1000"/>
      <c r="Z57" s="1000"/>
    </row>
    <row r="58" spans="1:26">
      <c r="A58" s="1000"/>
      <c r="B58" s="1000"/>
      <c r="C58" s="1000"/>
      <c r="D58" s="1000"/>
      <c r="E58" s="1000"/>
      <c r="F58" s="1000"/>
      <c r="G58" s="1000"/>
      <c r="H58" s="1000"/>
      <c r="I58" s="1000"/>
      <c r="J58" s="1000"/>
      <c r="K58" s="1000"/>
      <c r="L58" s="1000"/>
      <c r="M58" s="1000"/>
      <c r="N58" s="1000"/>
      <c r="O58" s="1000"/>
      <c r="P58" s="1000"/>
      <c r="Q58" s="1000"/>
      <c r="R58" s="1000"/>
      <c r="S58" s="1000"/>
      <c r="T58" s="1000"/>
      <c r="U58" s="1000"/>
      <c r="V58" s="1000"/>
      <c r="W58" s="1000"/>
      <c r="X58" s="1000"/>
      <c r="Y58" s="1000"/>
      <c r="Z58" s="1000"/>
    </row>
    <row r="59" spans="1:26">
      <c r="A59" s="1000"/>
      <c r="B59" s="1000"/>
      <c r="C59" s="1000"/>
      <c r="D59" s="1000"/>
      <c r="E59" s="1000"/>
      <c r="F59" s="1000"/>
      <c r="G59" s="1000"/>
      <c r="H59" s="1000"/>
      <c r="I59" s="1000"/>
      <c r="J59" s="1000"/>
      <c r="K59" s="1000"/>
      <c r="L59" s="1000"/>
      <c r="M59" s="1000"/>
      <c r="N59" s="1000"/>
      <c r="O59" s="1000"/>
      <c r="P59" s="1000"/>
      <c r="Q59" s="1000"/>
      <c r="R59" s="1000"/>
      <c r="S59" s="1000"/>
      <c r="T59" s="1000"/>
      <c r="U59" s="1000"/>
      <c r="V59" s="1000"/>
      <c r="W59" s="1000"/>
      <c r="X59" s="1000"/>
      <c r="Y59" s="1000"/>
      <c r="Z59" s="1000"/>
    </row>
    <row r="60" spans="1:26">
      <c r="A60" s="1000"/>
      <c r="B60" s="1000"/>
      <c r="C60" s="1000"/>
      <c r="D60" s="1000"/>
      <c r="E60" s="1000"/>
      <c r="F60" s="1000"/>
      <c r="G60" s="1000"/>
      <c r="H60" s="1000"/>
      <c r="I60" s="1000"/>
      <c r="J60" s="1000"/>
      <c r="K60" s="1000"/>
      <c r="L60" s="1000"/>
      <c r="M60" s="1000"/>
      <c r="N60" s="1000"/>
      <c r="O60" s="1000"/>
      <c r="P60" s="1000"/>
      <c r="Q60" s="1000"/>
      <c r="R60" s="1000"/>
      <c r="S60" s="1000"/>
      <c r="T60" s="1000"/>
      <c r="U60" s="1000"/>
      <c r="V60" s="1000"/>
      <c r="W60" s="1000"/>
      <c r="X60" s="1000"/>
      <c r="Y60" s="1000"/>
      <c r="Z60" s="1000"/>
    </row>
    <row r="61" spans="1:26">
      <c r="A61" s="1000"/>
      <c r="B61" s="1000"/>
      <c r="C61" s="1000"/>
      <c r="D61" s="1000"/>
      <c r="E61" s="1000"/>
      <c r="F61" s="1000"/>
      <c r="G61" s="1000"/>
      <c r="H61" s="1000"/>
      <c r="I61" s="1000"/>
      <c r="J61" s="1000"/>
      <c r="K61" s="1000"/>
      <c r="L61" s="1000"/>
      <c r="M61" s="1000"/>
      <c r="N61" s="1000"/>
      <c r="O61" s="1000"/>
      <c r="P61" s="1000"/>
      <c r="Q61" s="1000"/>
      <c r="R61" s="1000"/>
      <c r="S61" s="1000"/>
      <c r="T61" s="1000"/>
      <c r="U61" s="1000"/>
      <c r="V61" s="1000"/>
      <c r="W61" s="1000"/>
      <c r="X61" s="1000"/>
      <c r="Y61" s="1000"/>
      <c r="Z61" s="1000"/>
    </row>
    <row r="62" spans="1:26">
      <c r="A62" s="1000"/>
      <c r="B62" s="1000"/>
      <c r="C62" s="1000"/>
      <c r="D62" s="1000"/>
      <c r="E62" s="1000"/>
      <c r="F62" s="1000"/>
      <c r="G62" s="1000"/>
      <c r="H62" s="1000"/>
      <c r="I62" s="1000"/>
      <c r="J62" s="1000"/>
      <c r="K62" s="1000"/>
      <c r="L62" s="1000"/>
      <c r="M62" s="1000"/>
      <c r="N62" s="1000"/>
      <c r="O62" s="1000"/>
      <c r="P62" s="1000"/>
      <c r="Q62" s="1000"/>
      <c r="R62" s="1000"/>
      <c r="S62" s="1000"/>
      <c r="T62" s="1000"/>
      <c r="U62" s="1000"/>
      <c r="V62" s="1000"/>
      <c r="W62" s="1000"/>
      <c r="X62" s="1000"/>
      <c r="Y62" s="1000"/>
      <c r="Z62" s="1000"/>
    </row>
    <row r="63" spans="1:26">
      <c r="A63" s="1000"/>
      <c r="B63" s="1000"/>
      <c r="C63" s="1000"/>
      <c r="D63" s="1000"/>
      <c r="E63" s="1000"/>
      <c r="F63" s="1000"/>
      <c r="G63" s="1000"/>
      <c r="H63" s="1000"/>
      <c r="I63" s="1000"/>
      <c r="J63" s="1000"/>
      <c r="K63" s="1000"/>
      <c r="L63" s="1000"/>
      <c r="M63" s="1000"/>
      <c r="N63" s="1000"/>
      <c r="O63" s="1000"/>
      <c r="P63" s="1000"/>
      <c r="Q63" s="1000"/>
      <c r="R63" s="1000"/>
      <c r="S63" s="1000"/>
      <c r="T63" s="1000"/>
      <c r="U63" s="1000"/>
      <c r="V63" s="1000"/>
      <c r="W63" s="1000"/>
      <c r="X63" s="1000"/>
      <c r="Y63" s="1000"/>
      <c r="Z63" s="1000"/>
    </row>
    <row r="64" spans="1:26">
      <c r="A64" s="1000"/>
      <c r="B64" s="1000"/>
      <c r="C64" s="1000"/>
      <c r="D64" s="1000"/>
      <c r="E64" s="1000"/>
      <c r="F64" s="1000"/>
      <c r="G64" s="1000"/>
      <c r="H64" s="1000"/>
      <c r="I64" s="1000"/>
      <c r="J64" s="1000"/>
      <c r="K64" s="1000"/>
      <c r="L64" s="1000"/>
      <c r="M64" s="1000"/>
      <c r="N64" s="1000"/>
      <c r="O64" s="1000"/>
      <c r="P64" s="1000"/>
      <c r="Q64" s="1000"/>
      <c r="R64" s="1000"/>
      <c r="S64" s="1000"/>
      <c r="T64" s="1000"/>
      <c r="U64" s="1000"/>
      <c r="V64" s="1000"/>
      <c r="W64" s="1000"/>
      <c r="X64" s="1000"/>
      <c r="Y64" s="1000"/>
      <c r="Z64" s="1000"/>
    </row>
    <row r="65" spans="1:26">
      <c r="A65" s="1000"/>
      <c r="B65" s="1000"/>
      <c r="C65" s="1000"/>
      <c r="D65" s="1000"/>
      <c r="E65" s="1000"/>
      <c r="F65" s="1000"/>
      <c r="G65" s="1000"/>
      <c r="H65" s="1000"/>
      <c r="I65" s="1000"/>
      <c r="J65" s="1000"/>
      <c r="K65" s="1000"/>
      <c r="L65" s="1000"/>
      <c r="M65" s="1000"/>
      <c r="N65" s="1000"/>
      <c r="O65" s="1000"/>
      <c r="P65" s="1000"/>
      <c r="Q65" s="1000"/>
      <c r="R65" s="1000"/>
      <c r="S65" s="1000"/>
      <c r="T65" s="1000"/>
      <c r="U65" s="1000"/>
      <c r="V65" s="1000"/>
      <c r="W65" s="1000"/>
      <c r="X65" s="1000"/>
      <c r="Y65" s="1000"/>
      <c r="Z65" s="1000"/>
    </row>
    <row r="66" spans="1:26">
      <c r="A66" s="1000"/>
      <c r="B66" s="1000"/>
      <c r="C66" s="1000"/>
      <c r="D66" s="1000"/>
      <c r="E66" s="1000"/>
      <c r="F66" s="1000"/>
      <c r="G66" s="1000"/>
      <c r="H66" s="1000"/>
      <c r="I66" s="1000"/>
      <c r="J66" s="1000"/>
      <c r="K66" s="1000"/>
      <c r="L66" s="1000"/>
      <c r="M66" s="1000"/>
      <c r="N66" s="1000"/>
      <c r="O66" s="1000"/>
      <c r="P66" s="1000"/>
      <c r="Q66" s="1000"/>
      <c r="R66" s="1000"/>
      <c r="S66" s="1000"/>
      <c r="T66" s="1000"/>
      <c r="U66" s="1000"/>
      <c r="V66" s="1000"/>
      <c r="W66" s="1000"/>
      <c r="X66" s="1000"/>
      <c r="Y66" s="1000"/>
      <c r="Z66" s="1000"/>
    </row>
    <row r="67" spans="1:26">
      <c r="A67" s="1000"/>
      <c r="B67" s="1000"/>
      <c r="C67" s="1000"/>
      <c r="D67" s="1000"/>
      <c r="E67" s="1000"/>
      <c r="F67" s="1000"/>
      <c r="G67" s="1000"/>
      <c r="H67" s="1000"/>
      <c r="I67" s="1000"/>
      <c r="J67" s="1000"/>
      <c r="K67" s="1000"/>
      <c r="L67" s="1000"/>
      <c r="M67" s="1000"/>
      <c r="N67" s="1000"/>
      <c r="O67" s="1000"/>
      <c r="P67" s="1000"/>
      <c r="Q67" s="1000"/>
      <c r="R67" s="1000"/>
      <c r="S67" s="1000"/>
      <c r="T67" s="1000"/>
      <c r="U67" s="1000"/>
      <c r="V67" s="1000"/>
      <c r="W67" s="1000"/>
      <c r="X67" s="1000"/>
      <c r="Y67" s="1000"/>
      <c r="Z67" s="1000"/>
    </row>
    <row r="68" spans="1:26">
      <c r="A68" s="1000"/>
      <c r="B68" s="1000"/>
      <c r="C68" s="1000"/>
      <c r="D68" s="1000"/>
      <c r="E68" s="1000"/>
      <c r="F68" s="1000"/>
      <c r="G68" s="1000"/>
      <c r="H68" s="1000"/>
      <c r="I68" s="1000"/>
      <c r="J68" s="1000"/>
      <c r="K68" s="1000"/>
      <c r="L68" s="1000"/>
      <c r="M68" s="1000"/>
      <c r="N68" s="1000"/>
      <c r="O68" s="1000"/>
      <c r="P68" s="1000"/>
      <c r="Q68" s="1000"/>
      <c r="R68" s="1000"/>
      <c r="S68" s="1000"/>
      <c r="T68" s="1000"/>
      <c r="U68" s="1000"/>
      <c r="V68" s="1000"/>
      <c r="W68" s="1000"/>
      <c r="X68" s="1000"/>
      <c r="Y68" s="1000"/>
      <c r="Z68" s="1000"/>
    </row>
    <row r="69" spans="1:26">
      <c r="A69" s="1000"/>
      <c r="B69" s="1000"/>
      <c r="C69" s="1000"/>
      <c r="D69" s="1000"/>
      <c r="E69" s="1000"/>
      <c r="F69" s="1000"/>
      <c r="G69" s="1000"/>
      <c r="H69" s="1000"/>
      <c r="I69" s="1000"/>
      <c r="J69" s="1000"/>
      <c r="K69" s="1000"/>
      <c r="L69" s="1000"/>
      <c r="M69" s="1000"/>
      <c r="N69" s="1000"/>
      <c r="O69" s="1000"/>
      <c r="P69" s="1000"/>
      <c r="Q69" s="1000"/>
      <c r="R69" s="1000"/>
      <c r="S69" s="1000"/>
      <c r="T69" s="1000"/>
      <c r="U69" s="1000"/>
      <c r="V69" s="1000"/>
      <c r="W69" s="1000"/>
      <c r="X69" s="1000"/>
      <c r="Y69" s="1000"/>
      <c r="Z69" s="1000"/>
    </row>
    <row r="70" spans="1:26">
      <c r="A70" s="1000"/>
      <c r="B70" s="1000"/>
      <c r="C70" s="1000"/>
      <c r="D70" s="1000"/>
      <c r="E70" s="1000"/>
      <c r="F70" s="1000"/>
      <c r="G70" s="1000"/>
      <c r="H70" s="1000"/>
      <c r="I70" s="1000"/>
      <c r="J70" s="1000"/>
      <c r="K70" s="1000"/>
      <c r="L70" s="1000"/>
      <c r="M70" s="1000"/>
      <c r="N70" s="1000"/>
      <c r="O70" s="1000"/>
      <c r="P70" s="1000"/>
      <c r="Q70" s="1000"/>
      <c r="R70" s="1000"/>
      <c r="S70" s="1000"/>
      <c r="T70" s="1000"/>
      <c r="U70" s="1000"/>
      <c r="V70" s="1000"/>
      <c r="W70" s="1000"/>
      <c r="X70" s="1000"/>
      <c r="Y70" s="1000"/>
      <c r="Z70" s="1000"/>
    </row>
    <row r="71" spans="1:26">
      <c r="A71" s="1000"/>
      <c r="B71" s="1000"/>
      <c r="C71" s="1000"/>
      <c r="D71" s="1000"/>
      <c r="E71" s="1000"/>
      <c r="F71" s="1000"/>
      <c r="G71" s="1000"/>
      <c r="H71" s="1000"/>
      <c r="I71" s="1000"/>
      <c r="J71" s="1000"/>
      <c r="K71" s="1000"/>
      <c r="L71" s="1000"/>
      <c r="M71" s="1000"/>
      <c r="N71" s="1000"/>
      <c r="O71" s="1000"/>
      <c r="P71" s="1000"/>
      <c r="Q71" s="1000"/>
      <c r="R71" s="1000"/>
      <c r="S71" s="1000"/>
      <c r="T71" s="1000"/>
      <c r="U71" s="1000"/>
      <c r="V71" s="1000"/>
      <c r="W71" s="1000"/>
      <c r="X71" s="1000"/>
      <c r="Y71" s="1000"/>
      <c r="Z71" s="1000"/>
    </row>
    <row r="72" spans="1:26">
      <c r="A72" s="1000"/>
      <c r="B72" s="1000"/>
      <c r="C72" s="1000"/>
      <c r="D72" s="1000"/>
      <c r="E72" s="1000"/>
      <c r="F72" s="1000"/>
      <c r="G72" s="1000"/>
      <c r="H72" s="1000"/>
      <c r="I72" s="1000"/>
      <c r="J72" s="1000"/>
      <c r="K72" s="1000"/>
      <c r="L72" s="1000"/>
      <c r="M72" s="1000"/>
      <c r="N72" s="1000"/>
      <c r="O72" s="1000"/>
      <c r="P72" s="1000"/>
      <c r="Q72" s="1000"/>
      <c r="R72" s="1000"/>
      <c r="S72" s="1000"/>
      <c r="T72" s="1000"/>
      <c r="U72" s="1000"/>
      <c r="V72" s="1000"/>
      <c r="W72" s="1000"/>
      <c r="X72" s="1000"/>
      <c r="Y72" s="1000"/>
      <c r="Z72" s="1000"/>
    </row>
    <row r="73" spans="1:26">
      <c r="A73" s="1000"/>
      <c r="B73" s="1000"/>
      <c r="C73" s="1000"/>
      <c r="D73" s="1000"/>
      <c r="E73" s="1000"/>
      <c r="F73" s="1000"/>
      <c r="G73" s="1000"/>
      <c r="H73" s="1000"/>
      <c r="I73" s="1000"/>
      <c r="J73" s="1000"/>
      <c r="K73" s="1000"/>
      <c r="L73" s="1000"/>
      <c r="M73" s="1000"/>
      <c r="N73" s="1000"/>
      <c r="O73" s="1000"/>
      <c r="P73" s="1000"/>
      <c r="Q73" s="1000"/>
      <c r="R73" s="1000"/>
      <c r="S73" s="1000"/>
      <c r="T73" s="1000"/>
      <c r="U73" s="1000"/>
      <c r="V73" s="1000"/>
      <c r="W73" s="1000"/>
      <c r="X73" s="1000"/>
      <c r="Y73" s="1000"/>
      <c r="Z73" s="1000"/>
    </row>
    <row r="74" spans="1:26">
      <c r="A74" s="1000"/>
      <c r="B74" s="1000"/>
      <c r="C74" s="1000"/>
      <c r="D74" s="1000"/>
      <c r="E74" s="1000"/>
      <c r="F74" s="1000"/>
      <c r="G74" s="1000"/>
      <c r="H74" s="1000"/>
      <c r="I74" s="1000"/>
      <c r="J74" s="1000"/>
      <c r="K74" s="1000"/>
      <c r="L74" s="1000"/>
      <c r="M74" s="1000"/>
      <c r="N74" s="1000"/>
      <c r="O74" s="1000"/>
      <c r="P74" s="1000"/>
      <c r="Q74" s="1000"/>
      <c r="R74" s="1000"/>
      <c r="S74" s="1000"/>
      <c r="T74" s="1000"/>
      <c r="U74" s="1000"/>
      <c r="V74" s="1000"/>
      <c r="W74" s="1000"/>
      <c r="X74" s="1000"/>
      <c r="Y74" s="1000"/>
      <c r="Z74" s="1000"/>
    </row>
    <row r="75" spans="1:26">
      <c r="A75" s="1000"/>
      <c r="B75" s="1000"/>
      <c r="C75" s="1000"/>
      <c r="D75" s="1000"/>
      <c r="E75" s="1000"/>
      <c r="F75" s="1000"/>
      <c r="G75" s="1000"/>
      <c r="H75" s="1000"/>
      <c r="I75" s="1000"/>
      <c r="J75" s="1000"/>
      <c r="K75" s="1000"/>
      <c r="L75" s="1000"/>
      <c r="M75" s="1000"/>
      <c r="N75" s="1000"/>
      <c r="O75" s="1000"/>
      <c r="P75" s="1000"/>
      <c r="Q75" s="1000"/>
      <c r="R75" s="1000"/>
      <c r="S75" s="1000"/>
      <c r="T75" s="1000"/>
      <c r="U75" s="1000"/>
      <c r="V75" s="1000"/>
      <c r="W75" s="1000"/>
      <c r="X75" s="1000"/>
      <c r="Y75" s="1000"/>
      <c r="Z75" s="1000"/>
    </row>
    <row r="76" spans="1:26">
      <c r="A76" s="1000"/>
      <c r="B76" s="1000"/>
      <c r="C76" s="1000"/>
      <c r="D76" s="1000"/>
      <c r="E76" s="1000"/>
      <c r="F76" s="1000"/>
      <c r="G76" s="1000"/>
      <c r="H76" s="1000"/>
      <c r="I76" s="1000"/>
      <c r="J76" s="1000"/>
      <c r="K76" s="1000"/>
      <c r="L76" s="1000"/>
      <c r="M76" s="1000"/>
      <c r="N76" s="1000"/>
      <c r="O76" s="1000"/>
      <c r="P76" s="1000"/>
      <c r="Q76" s="1000"/>
      <c r="R76" s="1000"/>
      <c r="S76" s="1000"/>
      <c r="T76" s="1000"/>
      <c r="U76" s="1000"/>
      <c r="V76" s="1000"/>
      <c r="W76" s="1000"/>
      <c r="X76" s="1000"/>
      <c r="Y76" s="1000"/>
      <c r="Z76" s="1000"/>
    </row>
    <row r="77" spans="1:26">
      <c r="A77" s="1000"/>
      <c r="B77" s="1000"/>
      <c r="C77" s="1000"/>
      <c r="D77" s="1000"/>
      <c r="E77" s="1000"/>
      <c r="F77" s="1000"/>
      <c r="G77" s="1000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00"/>
      <c r="V77" s="1000"/>
      <c r="W77" s="1000"/>
      <c r="X77" s="1000"/>
      <c r="Y77" s="1000"/>
      <c r="Z77" s="1000"/>
    </row>
    <row r="78" spans="1:26">
      <c r="A78" s="1000"/>
      <c r="B78" s="1000"/>
      <c r="C78" s="1000"/>
      <c r="D78" s="1000"/>
      <c r="E78" s="1000"/>
      <c r="F78" s="1000"/>
      <c r="G78" s="1000"/>
      <c r="H78" s="1000"/>
      <c r="I78" s="1000"/>
      <c r="J78" s="1000"/>
      <c r="K78" s="1000"/>
      <c r="L78" s="1000"/>
      <c r="M78" s="1000"/>
      <c r="N78" s="1000"/>
      <c r="O78" s="1000"/>
      <c r="P78" s="1000"/>
      <c r="Q78" s="1000"/>
      <c r="R78" s="1000"/>
      <c r="S78" s="1000"/>
      <c r="T78" s="1000"/>
      <c r="U78" s="1000"/>
      <c r="V78" s="1000"/>
      <c r="W78" s="1000"/>
      <c r="X78" s="1000"/>
      <c r="Y78" s="1000"/>
      <c r="Z78" s="1000"/>
    </row>
    <row r="79" spans="1:26">
      <c r="A79" s="1000"/>
      <c r="B79" s="1000"/>
      <c r="C79" s="1000"/>
      <c r="D79" s="1000"/>
      <c r="E79" s="1000"/>
      <c r="F79" s="1000"/>
      <c r="G79" s="1000"/>
      <c r="H79" s="1000"/>
      <c r="I79" s="1000"/>
      <c r="J79" s="1000"/>
      <c r="K79" s="1000"/>
      <c r="L79" s="1000"/>
      <c r="M79" s="1000"/>
      <c r="N79" s="1000"/>
      <c r="O79" s="1000"/>
      <c r="P79" s="1000"/>
      <c r="Q79" s="1000"/>
      <c r="R79" s="1000"/>
      <c r="S79" s="1000"/>
      <c r="T79" s="1000"/>
      <c r="U79" s="1000"/>
      <c r="V79" s="1000"/>
      <c r="W79" s="1000"/>
      <c r="X79" s="1000"/>
      <c r="Y79" s="1000"/>
      <c r="Z79" s="1000"/>
    </row>
    <row r="80" spans="1:26">
      <c r="A80" s="1000"/>
      <c r="B80" s="1000"/>
      <c r="C80" s="1000"/>
      <c r="D80" s="1000"/>
      <c r="E80" s="1000"/>
      <c r="F80" s="1000"/>
      <c r="G80" s="1000"/>
      <c r="H80" s="1000"/>
      <c r="I80" s="1000"/>
      <c r="J80" s="1000"/>
      <c r="K80" s="1000"/>
      <c r="L80" s="1000"/>
      <c r="M80" s="1000"/>
      <c r="N80" s="1000"/>
      <c r="O80" s="1000"/>
      <c r="P80" s="1000"/>
      <c r="Q80" s="1000"/>
      <c r="R80" s="1000"/>
      <c r="S80" s="1000"/>
      <c r="T80" s="1000"/>
      <c r="U80" s="1000"/>
      <c r="V80" s="1000"/>
      <c r="W80" s="1000"/>
      <c r="X80" s="1000"/>
      <c r="Y80" s="1000"/>
      <c r="Z80" s="1000"/>
    </row>
    <row r="81" spans="1:26">
      <c r="A81" s="1000"/>
      <c r="B81" s="1000"/>
      <c r="C81" s="1000"/>
      <c r="D81" s="1000"/>
      <c r="E81" s="1000"/>
      <c r="F81" s="1000"/>
      <c r="G81" s="1000"/>
      <c r="H81" s="1000"/>
      <c r="I81" s="1000"/>
      <c r="J81" s="1000"/>
      <c r="K81" s="1000"/>
      <c r="L81" s="1000"/>
      <c r="M81" s="1000"/>
      <c r="N81" s="1000"/>
      <c r="O81" s="1000"/>
      <c r="P81" s="1000"/>
      <c r="Q81" s="1000"/>
      <c r="R81" s="1000"/>
      <c r="S81" s="1000"/>
      <c r="T81" s="1000"/>
      <c r="U81" s="1000"/>
      <c r="V81" s="1000"/>
      <c r="W81" s="1000"/>
      <c r="X81" s="1000"/>
      <c r="Y81" s="1000"/>
      <c r="Z81" s="1000"/>
    </row>
    <row r="82" spans="1:26">
      <c r="A82" s="1000"/>
      <c r="B82" s="1000"/>
      <c r="C82" s="1000"/>
      <c r="D82" s="1000"/>
      <c r="E82" s="1000"/>
      <c r="F82" s="1000"/>
      <c r="G82" s="1000"/>
      <c r="H82" s="1000"/>
      <c r="I82" s="1000"/>
      <c r="J82" s="1000"/>
      <c r="K82" s="1000"/>
      <c r="L82" s="1000"/>
      <c r="M82" s="1000"/>
      <c r="N82" s="1000"/>
      <c r="O82" s="1000"/>
      <c r="P82" s="1000"/>
      <c r="Q82" s="1000"/>
      <c r="R82" s="1000"/>
      <c r="S82" s="1000"/>
      <c r="T82" s="1000"/>
      <c r="U82" s="1000"/>
      <c r="V82" s="1000"/>
      <c r="W82" s="1000"/>
      <c r="X82" s="1000"/>
      <c r="Y82" s="1000"/>
      <c r="Z82" s="1000"/>
    </row>
    <row r="83" spans="1:26">
      <c r="A83" s="1000"/>
      <c r="B83" s="1000"/>
      <c r="C83" s="1000"/>
      <c r="D83" s="1000"/>
      <c r="E83" s="1000"/>
      <c r="F83" s="1000"/>
      <c r="G83" s="1000"/>
      <c r="H83" s="1000"/>
      <c r="I83" s="1000"/>
      <c r="J83" s="1000"/>
      <c r="K83" s="1000"/>
      <c r="L83" s="1000"/>
      <c r="M83" s="1000"/>
      <c r="N83" s="1000"/>
      <c r="O83" s="1000"/>
      <c r="P83" s="1000"/>
      <c r="Q83" s="1000"/>
      <c r="R83" s="1000"/>
      <c r="S83" s="1000"/>
      <c r="T83" s="1000"/>
      <c r="U83" s="1000"/>
      <c r="V83" s="1000"/>
      <c r="W83" s="1000"/>
      <c r="X83" s="1000"/>
      <c r="Y83" s="1000"/>
      <c r="Z83" s="1000"/>
    </row>
    <row r="84" spans="1:26">
      <c r="A84" s="1000"/>
      <c r="B84" s="1000"/>
      <c r="C84" s="1000"/>
      <c r="D84" s="1000"/>
      <c r="E84" s="1000"/>
      <c r="F84" s="1000"/>
      <c r="G84" s="1000"/>
      <c r="H84" s="1000"/>
      <c r="I84" s="1000"/>
      <c r="J84" s="1000"/>
      <c r="K84" s="1000"/>
      <c r="L84" s="1000"/>
      <c r="M84" s="1000"/>
      <c r="N84" s="1000"/>
      <c r="O84" s="1000"/>
      <c r="P84" s="1000"/>
      <c r="Q84" s="1000"/>
      <c r="R84" s="1000"/>
      <c r="S84" s="1000"/>
      <c r="T84" s="1000"/>
      <c r="U84" s="1000"/>
      <c r="V84" s="1000"/>
      <c r="W84" s="1000"/>
      <c r="X84" s="1000"/>
      <c r="Y84" s="1000"/>
      <c r="Z84" s="1000"/>
    </row>
    <row r="85" spans="1:26">
      <c r="A85" s="1000"/>
      <c r="B85" s="1000"/>
      <c r="C85" s="1000"/>
      <c r="D85" s="1000"/>
      <c r="E85" s="1000"/>
      <c r="F85" s="1000"/>
      <c r="G85" s="1000"/>
      <c r="H85" s="1000"/>
      <c r="I85" s="1000"/>
      <c r="J85" s="1000"/>
      <c r="K85" s="1000"/>
      <c r="L85" s="1000"/>
      <c r="M85" s="1000"/>
      <c r="N85" s="1000"/>
      <c r="O85" s="1000"/>
      <c r="P85" s="1000"/>
      <c r="Q85" s="1000"/>
      <c r="R85" s="1000"/>
      <c r="S85" s="1000"/>
      <c r="T85" s="1000"/>
      <c r="U85" s="1000"/>
      <c r="V85" s="1000"/>
      <c r="W85" s="1000"/>
      <c r="X85" s="1000"/>
      <c r="Y85" s="1000"/>
      <c r="Z85" s="1000"/>
    </row>
    <row r="86" spans="1:26">
      <c r="A86" s="1000"/>
      <c r="B86" s="1000"/>
      <c r="C86" s="1000"/>
      <c r="D86" s="1000"/>
      <c r="E86" s="1000"/>
      <c r="F86" s="1000"/>
      <c r="G86" s="1000"/>
      <c r="H86" s="1000"/>
      <c r="I86" s="1000"/>
      <c r="J86" s="1000"/>
      <c r="K86" s="1000"/>
      <c r="L86" s="1000"/>
      <c r="M86" s="1000"/>
      <c r="N86" s="1000"/>
      <c r="O86" s="1000"/>
      <c r="P86" s="1000"/>
      <c r="Q86" s="1000"/>
      <c r="R86" s="1000"/>
      <c r="S86" s="1000"/>
      <c r="T86" s="1000"/>
      <c r="U86" s="1000"/>
      <c r="V86" s="1000"/>
      <c r="W86" s="1000"/>
      <c r="X86" s="1000"/>
      <c r="Y86" s="1000"/>
      <c r="Z86" s="1000"/>
    </row>
    <row r="87" spans="1:26">
      <c r="A87" s="1000"/>
      <c r="B87" s="1000"/>
      <c r="C87" s="1000"/>
      <c r="D87" s="1000"/>
      <c r="E87" s="1000"/>
      <c r="F87" s="1000"/>
      <c r="G87" s="1000"/>
      <c r="H87" s="1000"/>
      <c r="I87" s="1000"/>
      <c r="J87" s="1000"/>
      <c r="K87" s="1000"/>
      <c r="L87" s="1000"/>
      <c r="M87" s="1000"/>
      <c r="N87" s="1000"/>
      <c r="O87" s="1000"/>
      <c r="P87" s="1000"/>
      <c r="Q87" s="1000"/>
      <c r="R87" s="1000"/>
      <c r="S87" s="1000"/>
      <c r="T87" s="1000"/>
      <c r="U87" s="1000"/>
      <c r="V87" s="1000"/>
      <c r="W87" s="1000"/>
      <c r="X87" s="1000"/>
      <c r="Y87" s="1000"/>
      <c r="Z87" s="1000"/>
    </row>
    <row r="88" spans="1:26">
      <c r="A88" s="1000"/>
      <c r="B88" s="1000"/>
      <c r="C88" s="1000"/>
      <c r="D88" s="1000"/>
      <c r="E88" s="1000"/>
      <c r="F88" s="1000"/>
      <c r="G88" s="1000"/>
      <c r="H88" s="1000"/>
      <c r="I88" s="1000"/>
      <c r="J88" s="1000"/>
      <c r="K88" s="1000"/>
      <c r="L88" s="1000"/>
      <c r="M88" s="1000"/>
      <c r="N88" s="1000"/>
      <c r="O88" s="1000"/>
      <c r="P88" s="1000"/>
      <c r="Q88" s="1000"/>
      <c r="R88" s="1000"/>
      <c r="S88" s="1000"/>
      <c r="T88" s="1000"/>
      <c r="U88" s="1000"/>
      <c r="V88" s="1000"/>
      <c r="W88" s="1000"/>
      <c r="X88" s="1000"/>
      <c r="Y88" s="1000"/>
      <c r="Z88" s="1000"/>
    </row>
    <row r="89" spans="1:26">
      <c r="A89" s="1000"/>
      <c r="B89" s="1000"/>
      <c r="C89" s="1000"/>
      <c r="D89" s="1000"/>
      <c r="E89" s="1000"/>
      <c r="F89" s="1000"/>
      <c r="G89" s="1000"/>
      <c r="H89" s="1000"/>
      <c r="I89" s="1000"/>
      <c r="J89" s="1000"/>
      <c r="K89" s="1000"/>
      <c r="L89" s="1000"/>
      <c r="M89" s="1000"/>
      <c r="N89" s="1000"/>
      <c r="O89" s="1000"/>
      <c r="P89" s="1000"/>
      <c r="Q89" s="1000"/>
      <c r="R89" s="1000"/>
      <c r="S89" s="1000"/>
      <c r="T89" s="1000"/>
      <c r="U89" s="1000"/>
      <c r="V89" s="1000"/>
      <c r="W89" s="1000"/>
      <c r="X89" s="1000"/>
      <c r="Y89" s="1000"/>
      <c r="Z89" s="1000"/>
    </row>
    <row r="90" spans="1:26">
      <c r="A90" s="1000"/>
      <c r="B90" s="1000"/>
      <c r="C90" s="1000"/>
      <c r="D90" s="1000"/>
      <c r="E90" s="1000"/>
      <c r="F90" s="1000"/>
      <c r="G90" s="1000"/>
      <c r="H90" s="1000"/>
      <c r="I90" s="1000"/>
      <c r="J90" s="1000"/>
      <c r="K90" s="1000"/>
      <c r="L90" s="1000"/>
      <c r="M90" s="1000"/>
      <c r="N90" s="1000"/>
      <c r="O90" s="1000"/>
      <c r="P90" s="1000"/>
      <c r="Q90" s="1000"/>
      <c r="R90" s="1000"/>
      <c r="S90" s="1000"/>
      <c r="T90" s="1000"/>
      <c r="U90" s="1000"/>
      <c r="V90" s="1000"/>
      <c r="W90" s="1000"/>
      <c r="X90" s="1000"/>
      <c r="Y90" s="1000"/>
      <c r="Z90" s="1000"/>
    </row>
    <row r="91" spans="1:26">
      <c r="A91" s="1000"/>
      <c r="B91" s="1000"/>
      <c r="C91" s="1000"/>
      <c r="D91" s="1000"/>
      <c r="E91" s="1000"/>
      <c r="F91" s="1000"/>
      <c r="G91" s="1000"/>
      <c r="H91" s="1000"/>
      <c r="I91" s="1000"/>
      <c r="J91" s="1000"/>
      <c r="K91" s="1000"/>
      <c r="L91" s="1000"/>
      <c r="M91" s="1000"/>
      <c r="N91" s="1000"/>
      <c r="O91" s="1000"/>
      <c r="P91" s="1000"/>
      <c r="Q91" s="1000"/>
      <c r="R91" s="1000"/>
      <c r="S91" s="1000"/>
      <c r="T91" s="1000"/>
      <c r="U91" s="1000"/>
      <c r="V91" s="1000"/>
      <c r="W91" s="1000"/>
      <c r="X91" s="1000"/>
      <c r="Y91" s="1000"/>
      <c r="Z91" s="1000"/>
    </row>
    <row r="92" spans="1:26">
      <c r="A92" s="1000"/>
      <c r="B92" s="1000"/>
      <c r="C92" s="1000"/>
      <c r="D92" s="1000"/>
      <c r="E92" s="1000"/>
      <c r="F92" s="1000"/>
      <c r="G92" s="1000"/>
      <c r="H92" s="1000"/>
      <c r="I92" s="1000"/>
      <c r="J92" s="1000"/>
      <c r="K92" s="1000"/>
      <c r="L92" s="1000"/>
      <c r="M92" s="1000"/>
      <c r="N92" s="1000"/>
      <c r="O92" s="1000"/>
      <c r="P92" s="1000"/>
      <c r="Q92" s="1000"/>
      <c r="R92" s="1000"/>
      <c r="S92" s="1000"/>
      <c r="T92" s="1000"/>
      <c r="U92" s="1000"/>
      <c r="V92" s="1000"/>
      <c r="W92" s="1000"/>
      <c r="X92" s="1000"/>
      <c r="Y92" s="1000"/>
      <c r="Z92" s="1000"/>
    </row>
    <row r="93" spans="1:26">
      <c r="A93" s="1000"/>
      <c r="B93" s="1000"/>
      <c r="C93" s="1000"/>
      <c r="D93" s="1000"/>
      <c r="E93" s="1000"/>
      <c r="F93" s="1000"/>
      <c r="G93" s="1000"/>
      <c r="H93" s="1000"/>
      <c r="I93" s="1000"/>
      <c r="J93" s="1000"/>
      <c r="K93" s="1000"/>
      <c r="L93" s="1000"/>
      <c r="M93" s="1000"/>
      <c r="N93" s="1000"/>
      <c r="O93" s="1000"/>
      <c r="P93" s="1000"/>
      <c r="Q93" s="1000"/>
      <c r="R93" s="1000"/>
      <c r="S93" s="1000"/>
      <c r="T93" s="1000"/>
      <c r="U93" s="1000"/>
      <c r="V93" s="1000"/>
      <c r="W93" s="1000"/>
      <c r="X93" s="1000"/>
      <c r="Y93" s="1000"/>
      <c r="Z93" s="1000"/>
    </row>
    <row r="94" spans="1:26">
      <c r="A94" s="1000"/>
      <c r="B94" s="1000"/>
      <c r="C94" s="1000"/>
      <c r="D94" s="1000"/>
      <c r="E94" s="1000"/>
      <c r="F94" s="1000"/>
      <c r="G94" s="1000"/>
      <c r="H94" s="1000"/>
      <c r="I94" s="1000"/>
      <c r="J94" s="1000"/>
      <c r="K94" s="1000"/>
      <c r="L94" s="1000"/>
      <c r="M94" s="1000"/>
      <c r="N94" s="1000"/>
      <c r="O94" s="1000"/>
      <c r="P94" s="1000"/>
      <c r="Q94" s="1000"/>
      <c r="R94" s="1000"/>
      <c r="S94" s="1000"/>
      <c r="T94" s="1000"/>
      <c r="U94" s="1000"/>
      <c r="V94" s="1000"/>
      <c r="W94" s="1000"/>
      <c r="X94" s="1000"/>
      <c r="Y94" s="1000"/>
      <c r="Z94" s="1000"/>
    </row>
    <row r="95" spans="1:26">
      <c r="A95" s="1000"/>
      <c r="B95" s="1000"/>
      <c r="C95" s="1000"/>
      <c r="D95" s="1000"/>
      <c r="E95" s="1000"/>
      <c r="F95" s="1000"/>
      <c r="G95" s="1000"/>
      <c r="H95" s="1000"/>
      <c r="I95" s="1000"/>
      <c r="J95" s="1000"/>
      <c r="K95" s="1000"/>
      <c r="L95" s="1000"/>
      <c r="M95" s="1000"/>
      <c r="N95" s="1000"/>
      <c r="O95" s="1000"/>
      <c r="P95" s="1000"/>
      <c r="Q95" s="1000"/>
      <c r="R95" s="1000"/>
      <c r="S95" s="1000"/>
      <c r="T95" s="1000"/>
      <c r="U95" s="1000"/>
      <c r="V95" s="1000"/>
      <c r="W95" s="1000"/>
      <c r="X95" s="1000"/>
      <c r="Y95" s="1000"/>
      <c r="Z95" s="1000"/>
    </row>
    <row r="96" spans="1:26">
      <c r="A96" s="1000"/>
      <c r="B96" s="1000"/>
      <c r="C96" s="1000"/>
      <c r="D96" s="1000"/>
      <c r="E96" s="1000"/>
      <c r="F96" s="1000"/>
      <c r="G96" s="1000"/>
      <c r="H96" s="1000"/>
      <c r="I96" s="1000"/>
      <c r="J96" s="1000"/>
      <c r="K96" s="1000"/>
      <c r="L96" s="1000"/>
      <c r="M96" s="1000"/>
      <c r="N96" s="1000"/>
      <c r="O96" s="1000"/>
      <c r="P96" s="1000"/>
      <c r="Q96" s="1000"/>
      <c r="R96" s="1000"/>
      <c r="S96" s="1000"/>
      <c r="T96" s="1000"/>
      <c r="U96" s="1000"/>
      <c r="V96" s="1000"/>
      <c r="W96" s="1000"/>
      <c r="X96" s="1000"/>
      <c r="Y96" s="1000"/>
      <c r="Z96" s="1000"/>
    </row>
    <row r="97" spans="1:26">
      <c r="A97" s="1000"/>
      <c r="B97" s="1000"/>
      <c r="C97" s="1000"/>
      <c r="D97" s="1000"/>
      <c r="E97" s="1000"/>
      <c r="F97" s="1000"/>
      <c r="G97" s="1000"/>
      <c r="H97" s="1000"/>
      <c r="I97" s="1000"/>
      <c r="J97" s="1000"/>
      <c r="K97" s="1000"/>
      <c r="L97" s="1000"/>
      <c r="M97" s="1000"/>
      <c r="N97" s="1000"/>
      <c r="O97" s="1000"/>
      <c r="P97" s="1000"/>
      <c r="Q97" s="1000"/>
      <c r="R97" s="1000"/>
      <c r="S97" s="1000"/>
      <c r="T97" s="1000"/>
      <c r="U97" s="1000"/>
      <c r="V97" s="1000"/>
      <c r="W97" s="1000"/>
      <c r="X97" s="1000"/>
      <c r="Y97" s="1000"/>
      <c r="Z97" s="1000"/>
    </row>
    <row r="98" spans="1:26">
      <c r="A98" s="1000"/>
      <c r="B98" s="1000"/>
      <c r="C98" s="1000"/>
      <c r="D98" s="1000"/>
      <c r="E98" s="1000"/>
      <c r="F98" s="1000"/>
      <c r="G98" s="1000"/>
      <c r="H98" s="1000"/>
      <c r="I98" s="1000"/>
      <c r="J98" s="1000"/>
      <c r="K98" s="1000"/>
      <c r="L98" s="1000"/>
      <c r="M98" s="1000"/>
      <c r="N98" s="1000"/>
      <c r="O98" s="1000"/>
      <c r="P98" s="1000"/>
      <c r="Q98" s="1000"/>
      <c r="R98" s="1000"/>
      <c r="S98" s="1000"/>
      <c r="T98" s="1000"/>
      <c r="U98" s="1000"/>
      <c r="V98" s="1000"/>
      <c r="W98" s="1000"/>
      <c r="X98" s="1000"/>
      <c r="Y98" s="1000"/>
      <c r="Z98" s="1000"/>
    </row>
    <row r="99" spans="1:26">
      <c r="A99" s="1000"/>
      <c r="B99" s="1000"/>
      <c r="C99" s="1000"/>
      <c r="D99" s="1000"/>
      <c r="E99" s="1000"/>
      <c r="F99" s="1000"/>
      <c r="G99" s="1000"/>
      <c r="H99" s="1000"/>
      <c r="I99" s="1000"/>
      <c r="J99" s="1000"/>
      <c r="K99" s="1000"/>
      <c r="L99" s="1000"/>
      <c r="M99" s="1000"/>
      <c r="N99" s="1000"/>
      <c r="O99" s="1000"/>
      <c r="P99" s="1000"/>
      <c r="Q99" s="1000"/>
      <c r="R99" s="1000"/>
      <c r="S99" s="1000"/>
      <c r="T99" s="1000"/>
      <c r="U99" s="1000"/>
      <c r="V99" s="1000"/>
      <c r="W99" s="1000"/>
      <c r="X99" s="1000"/>
      <c r="Y99" s="1000"/>
      <c r="Z99" s="100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191" t="s">
        <v>2</v>
      </c>
      <c r="C2" s="1192"/>
      <c r="D2" s="1192"/>
      <c r="E2" s="1193"/>
      <c r="G2" s="1191" t="s">
        <v>3</v>
      </c>
      <c r="H2" s="1193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857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191" t="s">
        <v>11</v>
      </c>
      <c r="H11" s="1193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194" t="s">
        <v>601</v>
      </c>
      <c r="H18" s="1195"/>
    </row>
    <row r="19" spans="2:8" ht="15">
      <c r="B19" s="496"/>
      <c r="C19" s="496"/>
      <c r="D19" s="984"/>
      <c r="E19" s="508"/>
      <c r="G19" s="536" t="s">
        <v>17</v>
      </c>
      <c r="H19" s="536" t="s">
        <v>758</v>
      </c>
    </row>
    <row r="20" spans="2:8">
      <c r="B20" s="496"/>
      <c r="C20" s="496"/>
      <c r="D20" s="984"/>
      <c r="E20" s="508"/>
      <c r="G20" s="501"/>
      <c r="H20" s="501"/>
    </row>
    <row r="21" spans="2:8" ht="15" customHeight="1">
      <c r="B21" s="496"/>
      <c r="C21" s="496"/>
      <c r="D21" s="984"/>
      <c r="E21" s="508"/>
      <c r="G21" s="501"/>
      <c r="H21" s="501"/>
    </row>
    <row r="22" spans="2:8" ht="15" customHeight="1">
      <c r="B22" s="496"/>
      <c r="C22" s="496"/>
      <c r="D22" s="984"/>
      <c r="E22" s="508"/>
      <c r="G22" s="501"/>
      <c r="H22" s="501"/>
    </row>
    <row r="23" spans="2:8" ht="15" customHeight="1">
      <c r="B23" s="496"/>
      <c r="C23" s="496"/>
      <c r="D23" s="984"/>
      <c r="E23" s="508"/>
      <c r="G23" s="501"/>
      <c r="H23" s="501"/>
    </row>
    <row r="24" spans="2:8" ht="15" customHeight="1">
      <c r="B24" s="496"/>
      <c r="C24" s="496"/>
      <c r="D24" s="984"/>
      <c r="E24" s="508"/>
      <c r="G24" s="501"/>
      <c r="H24" s="501"/>
    </row>
    <row r="25" spans="2:8" ht="15" hidden="1" customHeight="1">
      <c r="B25" s="496"/>
      <c r="C25" s="496"/>
      <c r="D25" s="984"/>
      <c r="E25" s="508"/>
      <c r="G25" s="501"/>
      <c r="H25" s="501"/>
    </row>
    <row r="26" spans="2:8" ht="15" customHeight="1"/>
    <row r="27" spans="2:8" ht="15" customHeight="1" thickBot="1">
      <c r="B27" s="1198" t="s">
        <v>599</v>
      </c>
      <c r="C27" s="1199"/>
      <c r="D27" s="1199"/>
      <c r="E27" s="1199"/>
      <c r="F27" s="1199"/>
      <c r="G27" s="1199"/>
      <c r="H27" s="1199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862</v>
      </c>
      <c r="G28" s="1196" t="s">
        <v>758</v>
      </c>
      <c r="H28" s="1197"/>
    </row>
    <row r="29" spans="2:8" ht="15" customHeight="1">
      <c r="B29" s="542" t="s">
        <v>15</v>
      </c>
      <c r="C29" s="537" t="s">
        <v>600</v>
      </c>
      <c r="D29" s="537"/>
      <c r="E29" s="543"/>
      <c r="F29" s="995" t="s">
        <v>863</v>
      </c>
      <c r="G29" s="543"/>
    </row>
    <row r="30" spans="2:8" ht="15">
      <c r="B30" s="985" t="s">
        <v>16</v>
      </c>
      <c r="C30" s="993" t="s">
        <v>602</v>
      </c>
      <c r="D30" s="993"/>
      <c r="E30" s="994"/>
      <c r="F30" s="988" t="s">
        <v>314</v>
      </c>
      <c r="G30" s="994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5" t="s">
        <v>863</v>
      </c>
      <c r="G31" s="526" t="s">
        <v>1123</v>
      </c>
    </row>
    <row r="32" spans="2:8" ht="15">
      <c r="B32" s="985" t="s">
        <v>21</v>
      </c>
      <c r="C32" s="993" t="s">
        <v>603</v>
      </c>
      <c r="D32" s="987">
        <v>44044</v>
      </c>
      <c r="E32" s="994" t="s">
        <v>731</v>
      </c>
      <c r="F32" s="988" t="s">
        <v>314</v>
      </c>
      <c r="G32" s="994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6" t="s">
        <v>863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5" t="s">
        <v>863</v>
      </c>
      <c r="G34" s="526" t="s">
        <v>861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860</v>
      </c>
      <c r="D37" s="539">
        <v>43983</v>
      </c>
      <c r="E37" s="526" t="s">
        <v>731</v>
      </c>
      <c r="F37" s="996" t="s">
        <v>863</v>
      </c>
      <c r="G37" s="526" t="s">
        <v>859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6" t="s">
        <v>863</v>
      </c>
      <c r="G38" s="526" t="s">
        <v>859</v>
      </c>
    </row>
    <row r="39" spans="1:7" ht="15">
      <c r="B39" s="542" t="s">
        <v>753</v>
      </c>
      <c r="C39" s="541" t="s">
        <v>864</v>
      </c>
      <c r="D39" s="539">
        <v>43983</v>
      </c>
      <c r="E39" s="526" t="s">
        <v>731</v>
      </c>
      <c r="F39" s="996" t="s">
        <v>863</v>
      </c>
      <c r="G39" s="526" t="s">
        <v>865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6" t="s">
        <v>863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5" t="s">
        <v>863</v>
      </c>
      <c r="G41" s="526"/>
    </row>
    <row r="42" spans="1:7" ht="15">
      <c r="A42" s="508"/>
      <c r="B42" s="985" t="s">
        <v>757</v>
      </c>
      <c r="C42" s="986" t="s">
        <v>756</v>
      </c>
      <c r="D42" s="987">
        <v>44044</v>
      </c>
      <c r="E42" s="988" t="s">
        <v>731</v>
      </c>
      <c r="F42" s="988" t="s">
        <v>314</v>
      </c>
      <c r="G42" s="988"/>
    </row>
    <row r="43" spans="1:7" ht="15.75" thickBot="1">
      <c r="A43" s="508"/>
      <c r="B43" s="989" t="s">
        <v>757</v>
      </c>
      <c r="C43" s="990" t="s">
        <v>756</v>
      </c>
      <c r="D43" s="991">
        <v>44044</v>
      </c>
      <c r="E43" s="992" t="s">
        <v>731</v>
      </c>
      <c r="F43" s="992" t="s">
        <v>314</v>
      </c>
      <c r="G43" s="992"/>
    </row>
    <row r="44" spans="1:7" ht="15">
      <c r="A44" s="508"/>
      <c r="B44" s="997" t="s">
        <v>747</v>
      </c>
      <c r="C44" s="998" t="s">
        <v>866</v>
      </c>
      <c r="D44" s="539">
        <v>44044</v>
      </c>
      <c r="E44" s="526" t="s">
        <v>731</v>
      </c>
      <c r="F44" s="996" t="s">
        <v>863</v>
      </c>
      <c r="G44" s="526"/>
    </row>
    <row r="45" spans="1:7" ht="15" thickBot="1">
      <c r="A45" s="508"/>
      <c r="F45" s="508"/>
    </row>
    <row r="46" spans="1:7" ht="19.5" thickBot="1">
      <c r="B46" s="1191" t="s">
        <v>607</v>
      </c>
      <c r="C46" s="1192"/>
      <c r="D46" s="1192"/>
      <c r="E46" s="1193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856</v>
      </c>
      <c r="D48" s="546">
        <v>44166</v>
      </c>
      <c r="E48" s="1174" t="s">
        <v>731</v>
      </c>
    </row>
    <row r="49" spans="2:5" ht="15">
      <c r="B49" s="536">
        <v>1.1000000000000001</v>
      </c>
      <c r="C49" s="501" t="s">
        <v>1122</v>
      </c>
      <c r="D49" s="500">
        <v>44713</v>
      </c>
      <c r="E49" s="1175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1124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*National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00" t="s">
        <v>23</v>
      </c>
      <c r="B1" s="1201"/>
      <c r="C1" s="1201"/>
    </row>
    <row r="2" spans="1:3" s="67" customFormat="1">
      <c r="A2" s="921" t="s">
        <v>609</v>
      </c>
      <c r="B2" s="921" t="s">
        <v>24</v>
      </c>
      <c r="C2" s="921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21"/>
      <c r="B6" s="921" t="s">
        <v>24</v>
      </c>
      <c r="C6" s="921" t="s">
        <v>4</v>
      </c>
    </row>
    <row r="7" spans="1:3">
      <c r="A7" s="1202" t="s">
        <v>25</v>
      </c>
      <c r="B7" s="1203"/>
      <c r="C7" s="1204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02" t="s">
        <v>26</v>
      </c>
      <c r="B28" s="1203"/>
      <c r="C28" s="1204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02" t="s">
        <v>39</v>
      </c>
      <c r="B35" s="1203"/>
      <c r="C35" s="1204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02" t="s">
        <v>47</v>
      </c>
      <c r="B39" s="1203"/>
      <c r="C39" s="1204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02" t="s">
        <v>66</v>
      </c>
      <c r="B49" s="1203"/>
      <c r="C49" s="1204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02" t="s">
        <v>68</v>
      </c>
      <c r="B62" s="1203"/>
      <c r="C62" s="1204"/>
    </row>
    <row r="63" spans="1:3">
      <c r="A63" s="1202" t="s">
        <v>69</v>
      </c>
      <c r="B63" s="1203"/>
      <c r="C63" s="1204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02" t="s">
        <v>76</v>
      </c>
      <c r="B70" s="1203"/>
      <c r="C70" s="1204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02" t="s">
        <v>485</v>
      </c>
      <c r="B76" s="1203"/>
      <c r="C76" s="1204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02" t="s">
        <v>710</v>
      </c>
      <c r="B84" s="1203"/>
      <c r="C84" s="1204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/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22" t="s">
        <v>645</v>
      </c>
      <c r="G1" s="922"/>
      <c r="H1" s="922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08" t="s">
        <v>629</v>
      </c>
      <c r="G2" s="1209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10" t="s">
        <v>492</v>
      </c>
      <c r="G3" s="1211"/>
      <c r="H3" s="923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12" t="s">
        <v>209</v>
      </c>
      <c r="G4" s="1213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14" t="s">
        <v>500</v>
      </c>
      <c r="G5" s="1215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840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841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4"/>
      <c r="F7" s="925" t="s">
        <v>219</v>
      </c>
      <c r="G7" s="926"/>
      <c r="H7" s="927"/>
      <c r="I7" s="1205" t="s">
        <v>220</v>
      </c>
      <c r="J7" s="1206"/>
      <c r="K7" s="1207"/>
      <c r="L7" s="1205" t="s">
        <v>221</v>
      </c>
      <c r="M7" s="1206"/>
      <c r="N7" s="1207"/>
      <c r="O7" s="1205" t="s">
        <v>222</v>
      </c>
      <c r="P7" s="1206"/>
      <c r="Q7" s="1207"/>
      <c r="R7" s="1220" t="s">
        <v>223</v>
      </c>
      <c r="S7" s="1205" t="s">
        <v>644</v>
      </c>
      <c r="T7" s="1206"/>
      <c r="U7" s="1206"/>
      <c r="V7" s="1206"/>
      <c r="W7" s="1206"/>
      <c r="X7" s="1207"/>
      <c r="Y7" s="1218" t="s">
        <v>707</v>
      </c>
      <c r="Z7" s="1218" t="s">
        <v>501</v>
      </c>
      <c r="AA7" s="1216" t="s">
        <v>766</v>
      </c>
      <c r="AB7" s="80"/>
      <c r="AC7" s="80"/>
      <c r="AD7" s="1226" t="s">
        <v>837</v>
      </c>
      <c r="AE7" s="1216" t="s">
        <v>838</v>
      </c>
      <c r="AF7" s="80"/>
      <c r="AG7" s="80"/>
      <c r="AH7" s="80"/>
      <c r="AI7" s="80" t="s">
        <v>713</v>
      </c>
      <c r="AK7" s="80"/>
      <c r="AL7" s="80"/>
      <c r="AM7" s="80"/>
      <c r="AN7" s="80" t="s">
        <v>842</v>
      </c>
      <c r="AO7" s="80">
        <v>1.75</v>
      </c>
      <c r="AP7" s="80"/>
      <c r="AQ7" s="80" t="s">
        <v>845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40"/>
      <c r="F8" s="941" t="s">
        <v>42</v>
      </c>
      <c r="G8" s="942" t="s">
        <v>44</v>
      </c>
      <c r="H8" s="943" t="s">
        <v>46</v>
      </c>
      <c r="I8" s="944" t="s">
        <v>42</v>
      </c>
      <c r="J8" s="945" t="s">
        <v>44</v>
      </c>
      <c r="K8" s="946" t="s">
        <v>46</v>
      </c>
      <c r="L8" s="947" t="s">
        <v>42</v>
      </c>
      <c r="M8" s="945" t="s">
        <v>44</v>
      </c>
      <c r="N8" s="946" t="s">
        <v>46</v>
      </c>
      <c r="O8" s="944" t="s">
        <v>42</v>
      </c>
      <c r="P8" s="945" t="s">
        <v>44</v>
      </c>
      <c r="Q8" s="946" t="s">
        <v>46</v>
      </c>
      <c r="R8" s="1221"/>
      <c r="S8" s="948" t="s">
        <v>224</v>
      </c>
      <c r="T8" s="948" t="s">
        <v>225</v>
      </c>
      <c r="U8" s="948" t="s">
        <v>226</v>
      </c>
      <c r="V8" s="948" t="s">
        <v>227</v>
      </c>
      <c r="W8" s="948" t="s">
        <v>229</v>
      </c>
      <c r="X8" s="949" t="s">
        <v>228</v>
      </c>
      <c r="Y8" s="1219"/>
      <c r="Z8" s="1219"/>
      <c r="AA8" s="1217" t="s">
        <v>653</v>
      </c>
      <c r="AD8" s="1227"/>
      <c r="AE8" s="1217" t="s">
        <v>653</v>
      </c>
      <c r="AI8" s="918" t="s">
        <v>846</v>
      </c>
      <c r="AJ8" s="917">
        <v>1.1516522859674401</v>
      </c>
      <c r="AN8" s="80" t="s">
        <v>843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8" t="s">
        <v>629</v>
      </c>
      <c r="F9" s="929">
        <f>'SHWLP-Apt'!$AC$7+'SHWLP-Apt'!AC20</f>
        <v>0.1645031613684676</v>
      </c>
      <c r="G9" s="930">
        <f>'SHWLP-Att'!$AC$7+'SHWLP-Att'!$AC$20</f>
        <v>5.0701051172741778</v>
      </c>
      <c r="H9" s="931">
        <f>'SHWLP-Det'!$AC$7+'SHWLP-Det'!$AC$20</f>
        <v>4.4286560276585281</v>
      </c>
      <c r="I9" s="929">
        <f>'SHWLP-Apt'!$AC$33+'SHWLP-Apt'!$AC$46</f>
        <v>6.7589691735509116E-3</v>
      </c>
      <c r="J9" s="930">
        <f>'SHWLP-Att'!$AC$33+'SHWLP-Att'!$AC$46</f>
        <v>0.4085621664140332</v>
      </c>
      <c r="K9" s="931">
        <f>'SHWLP-Det'!$AC$33+'SHWLP-Det'!$AC$46</f>
        <v>0.19099276636082196</v>
      </c>
      <c r="L9" s="932"/>
      <c r="M9" s="933"/>
      <c r="N9" s="934"/>
      <c r="O9" s="932"/>
      <c r="P9" s="933"/>
      <c r="Q9" s="934"/>
      <c r="R9" s="935"/>
      <c r="S9" s="932"/>
      <c r="T9" s="933"/>
      <c r="U9" s="933"/>
      <c r="V9" s="933"/>
      <c r="W9" s="933"/>
      <c r="X9" s="934"/>
      <c r="Y9" s="1033">
        <f>SUM(F9:X9)</f>
        <v>10.269578208249579</v>
      </c>
      <c r="Z9" s="1034">
        <f>C9</f>
        <v>10.270341048136247</v>
      </c>
      <c r="AA9" s="393">
        <f>ABS(Z9-Y9)/Z9</f>
        <v>7.4276003405653125E-5</v>
      </c>
      <c r="AD9" s="80">
        <f>AJ9+AJ20</f>
        <v>10.269075645345431</v>
      </c>
      <c r="AE9" s="393">
        <f>ABS(AD9-Y9)/AD9</f>
        <v>4.8939449031626213E-5</v>
      </c>
      <c r="AI9" s="918" t="s">
        <v>848</v>
      </c>
      <c r="AJ9" s="917">
        <v>9.6599740335233797</v>
      </c>
      <c r="AN9" s="80" t="s">
        <v>844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6.2641019370422851E-2</v>
      </c>
      <c r="G10" s="480">
        <f>'SHWLP-Att'!$AC$18+'SHWLP-Att'!$AC$21</f>
        <v>2.0071676224144213</v>
      </c>
      <c r="H10" s="482">
        <f>'SHWLP-Det'!$AC$18+'SHWLP-Det'!$AC$21</f>
        <v>5.3563325107675972</v>
      </c>
      <c r="I10" s="481">
        <f>'SHWLP-Apt'!$AC$44+'SHWLP-Apt'!$AC$47</f>
        <v>6.7972402766291592E-3</v>
      </c>
      <c r="J10" s="480">
        <f>'SHWLP-Att'!$AC$44+'SHWLP-Att'!$AC$47</f>
        <v>0.38501317210062763</v>
      </c>
      <c r="K10" s="482">
        <f>'SHWLP-Det'!$AC$44+'SHWLP-Det'!$AC$47</f>
        <v>0.40992419463569968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5">
        <f>SUM(F10:X10)</f>
        <v>8.2278757595653982</v>
      </c>
      <c r="Z10" s="477">
        <f t="shared" ref="Z10:Z27" si="0">C10</f>
        <v>8.22868674342444</v>
      </c>
      <c r="AA10" s="393">
        <f>ABS(Z10-Y10)/Z10</f>
        <v>9.8555685047778535E-5</v>
      </c>
      <c r="AD10" s="80">
        <f>AJ14+AJ27</f>
        <v>8.1954076367650153</v>
      </c>
      <c r="AE10" s="393">
        <f t="shared" ref="AE10" si="1">ABS(AD10-Y10)/AD10</f>
        <v>3.9617459239890971E-3</v>
      </c>
      <c r="AI10" s="918" t="s">
        <v>409</v>
      </c>
      <c r="AJ10" s="917">
        <v>4.4337733997372402</v>
      </c>
      <c r="AN10" s="80" t="s">
        <v>841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8" t="s">
        <v>201</v>
      </c>
      <c r="F11" s="929">
        <f>'SHWLP-Apt'!$AC$10</f>
        <v>8.3521157656363337E-2</v>
      </c>
      <c r="G11" s="930">
        <f>'SHWLP-Att'!$AC$10</f>
        <v>0.33080594499020705</v>
      </c>
      <c r="H11" s="931">
        <f>'SHWLP-Det'!$AC$10</f>
        <v>1.2958225591678023</v>
      </c>
      <c r="I11" s="929">
        <f>'SHWLP-Apt'!$AC$36</f>
        <v>4.1055339619265108E-2</v>
      </c>
      <c r="J11" s="930">
        <f>'SHWLP-Att'!$AC$36</f>
        <v>0.14904361895454823</v>
      </c>
      <c r="K11" s="931">
        <f>'SHWLP-Det'!$AC$36</f>
        <v>0.31426985618014286</v>
      </c>
      <c r="L11" s="929"/>
      <c r="M11" s="930"/>
      <c r="N11" s="931"/>
      <c r="O11" s="929"/>
      <c r="P11" s="930"/>
      <c r="Q11" s="931"/>
      <c r="R11" s="936">
        <v>3.9492406345735545E-2</v>
      </c>
      <c r="S11" s="929"/>
      <c r="T11" s="930"/>
      <c r="U11" s="930"/>
      <c r="V11" s="930"/>
      <c r="W11" s="930"/>
      <c r="X11" s="931"/>
      <c r="Y11" s="1033">
        <f t="shared" ref="Y11:Y25" si="2">SUM(F11:X11)</f>
        <v>2.2540108829140642</v>
      </c>
      <c r="Z11" s="1034">
        <f t="shared" si="0"/>
        <v>2.2542368842613176</v>
      </c>
      <c r="AA11" s="393">
        <f>ABS(Z11-Y11)/Z11</f>
        <v>1.0025625471368195E-4</v>
      </c>
      <c r="AD11" s="80">
        <f>AJ13+AJ26+AR8</f>
        <v>2.1294859113248128</v>
      </c>
      <c r="AE11" s="393">
        <f>ABS(AD11-Y11)/AD11</f>
        <v>5.8476541651210495E-2</v>
      </c>
      <c r="AI11" s="918" t="s">
        <v>850</v>
      </c>
      <c r="AJ11" s="917">
        <v>16.539193232500899</v>
      </c>
      <c r="AN11" s="80" t="s">
        <v>842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7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5">
        <f t="shared" si="2"/>
        <v>0</v>
      </c>
      <c r="Z12" s="477">
        <f t="shared" si="0"/>
        <v>0</v>
      </c>
      <c r="AA12" s="393"/>
      <c r="AD12" s="54"/>
      <c r="AE12" s="393"/>
      <c r="AI12" s="918" t="s">
        <v>851</v>
      </c>
      <c r="AJ12" s="917">
        <v>33.821000958649797</v>
      </c>
      <c r="AN12" s="80" t="s">
        <v>843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8" t="s">
        <v>203</v>
      </c>
      <c r="F13" s="929">
        <f>'SHWLP-Apt'!$AC$14</f>
        <v>0.27353712269239377</v>
      </c>
      <c r="G13" s="930">
        <f>'SHWLP-Att'!$AC$14</f>
        <v>7.9425851662494829</v>
      </c>
      <c r="H13" s="931">
        <f>'SHWLP-Det'!$AC$14</f>
        <v>28.310640237098287</v>
      </c>
      <c r="I13" s="929">
        <f>'SHWLP-Apt'!$AC$40</f>
        <v>7.4987245601673969E-2</v>
      </c>
      <c r="J13" s="930">
        <f>'SHWLP-Att'!$AC$40</f>
        <v>3.1609218088799507</v>
      </c>
      <c r="K13" s="931">
        <f>'SHWLP-Det'!$AC$40</f>
        <v>8.4233864898363215</v>
      </c>
      <c r="L13" s="929"/>
      <c r="M13" s="930"/>
      <c r="N13" s="931"/>
      <c r="O13" s="929"/>
      <c r="P13" s="930"/>
      <c r="Q13" s="931"/>
      <c r="R13" s="936"/>
      <c r="S13" s="929"/>
      <c r="T13" s="930"/>
      <c r="U13" s="930"/>
      <c r="V13" s="930"/>
      <c r="W13" s="930"/>
      <c r="X13" s="931"/>
      <c r="Y13" s="1036">
        <f t="shared" si="2"/>
        <v>48.186058070358115</v>
      </c>
      <c r="Z13" s="1037">
        <f t="shared" si="0"/>
        <v>36.148841345600246</v>
      </c>
      <c r="AA13" s="393">
        <f>ABS(Z13+Z14+Z16-Y13)/(Z13+Z14+Z16)</f>
        <v>7.5896009155321554E-5</v>
      </c>
      <c r="AD13" s="80">
        <f>AJ12+AJ25</f>
        <v>43.727300517765926</v>
      </c>
      <c r="AE13" s="393">
        <f>ABS(AD13-Y13)/AD13</f>
        <v>0.10196736363317567</v>
      </c>
      <c r="AI13" s="918" t="s">
        <v>852</v>
      </c>
      <c r="AJ13" s="917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7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8">
        <f t="shared" si="2"/>
        <v>0</v>
      </c>
      <c r="Z14" s="1039">
        <f t="shared" si="0"/>
        <v>11.893905446769136</v>
      </c>
      <c r="AA14" s="393">
        <f>ABS(Z13+Z14+Z16-Y13)/(Z13+Z14+Z16)</f>
        <v>7.5896009155321554E-5</v>
      </c>
      <c r="AI14" s="918" t="s">
        <v>410</v>
      </c>
      <c r="AJ14" s="917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8" t="s">
        <v>205</v>
      </c>
      <c r="F15" s="929"/>
      <c r="G15" s="930"/>
      <c r="H15" s="931"/>
      <c r="I15" s="929"/>
      <c r="J15" s="930"/>
      <c r="K15" s="931"/>
      <c r="L15" s="929"/>
      <c r="M15" s="930"/>
      <c r="N15" s="931"/>
      <c r="O15" s="929"/>
      <c r="P15" s="930"/>
      <c r="Q15" s="931"/>
      <c r="R15" s="936"/>
      <c r="S15" s="929"/>
      <c r="T15" s="930"/>
      <c r="U15" s="930"/>
      <c r="V15" s="930"/>
      <c r="W15" s="930"/>
      <c r="X15" s="931"/>
      <c r="Y15" s="1036">
        <f t="shared" si="2"/>
        <v>0</v>
      </c>
      <c r="Z15" s="1039">
        <f t="shared" si="0"/>
        <v>0</v>
      </c>
      <c r="AA15" s="393">
        <f>ABS(Z13+Z14+Z16-Y13)/(Z13+Z14+Z16)</f>
        <v>7.5896009155321554E-5</v>
      </c>
      <c r="AI15" s="918" t="s">
        <v>854</v>
      </c>
      <c r="AJ15" s="917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7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8">
        <f t="shared" si="2"/>
        <v>0</v>
      </c>
      <c r="Z16" s="1039">
        <f t="shared" si="0"/>
        <v>0.14696868507580046</v>
      </c>
      <c r="AA16" s="393">
        <f>ABS(Z13+Z14+Z16-Y13)/(Z13+Z14+Z16)</f>
        <v>7.5896009155321554E-5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8" t="s">
        <v>207</v>
      </c>
      <c r="F17" s="929">
        <f>'SHWLP-Apt'!$AC$16</f>
        <v>1.290633418103742</v>
      </c>
      <c r="G17" s="930">
        <f>'SHWLP-Att'!$AC$16</f>
        <v>11.879485989406717</v>
      </c>
      <c r="H17" s="931">
        <f>'SHWLP-Det'!$AC$16</f>
        <v>5.2345577020498419</v>
      </c>
      <c r="I17" s="929">
        <f>'SHWLP-Apt'!$AC$42</f>
        <v>0.60716401702944534</v>
      </c>
      <c r="J17" s="930">
        <f>'SHWLP-Att'!$AC$42</f>
        <v>4.1120335446691945</v>
      </c>
      <c r="K17" s="931">
        <f>'SHWLP-Det'!$AC$42</f>
        <v>1.4948266478005934</v>
      </c>
      <c r="L17" s="929"/>
      <c r="M17" s="930"/>
      <c r="N17" s="931"/>
      <c r="O17" s="929"/>
      <c r="P17" s="930"/>
      <c r="Q17" s="931"/>
      <c r="R17" s="936">
        <v>0.66992893469234771</v>
      </c>
      <c r="S17" s="929"/>
      <c r="T17" s="930"/>
      <c r="U17" s="930"/>
      <c r="V17" s="930"/>
      <c r="W17" s="930"/>
      <c r="X17" s="931"/>
      <c r="Y17" s="1033">
        <f t="shared" si="2"/>
        <v>25.288630253751879</v>
      </c>
      <c r="Z17" s="1034">
        <f t="shared" si="0"/>
        <v>25.292197479166735</v>
      </c>
      <c r="AA17" s="393">
        <f>ABS(Z17-Y17)/Z17</f>
        <v>1.4104054888047736E-4</v>
      </c>
      <c r="AD17" s="80">
        <f>AJ11+AJ23+AR7</f>
        <v>23.52273418334358</v>
      </c>
      <c r="AE17" s="393">
        <f t="shared" ref="AE17:AE26" si="3">ABS(AD17-Y17)/AD17</f>
        <v>7.5071888184611135E-2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9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5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20" t="s">
        <v>839</v>
      </c>
      <c r="AJ18" s="919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8" t="s">
        <v>209</v>
      </c>
      <c r="F19" s="929">
        <f>'SHWLP-Apt'!$AC$22+'SHWLP-Apt'!$AC$23</f>
        <v>1.2270622618055806E-2</v>
      </c>
      <c r="G19" s="930">
        <f>'SHWLP-Att'!$AC$22+'SHWLP-Att'!$AC$23</f>
        <v>0.25489843797396139</v>
      </c>
      <c r="H19" s="931">
        <f>'SHWLP-Det'!$AC$22+'SHWLP-Det'!$AC$23</f>
        <v>0.86316679487914505</v>
      </c>
      <c r="I19" s="929">
        <f>'SHWLP-Apt'!$AC$49+'SHWLP-Apt'!$AC$48</f>
        <v>4.3579088563863435E-3</v>
      </c>
      <c r="J19" s="930">
        <f>'SHWLP-Att'!$AC$49+'SHWLP-Att'!$AC$48</f>
        <v>4.3900982344044298E-2</v>
      </c>
      <c r="K19" s="931">
        <f>'SHWLP-Det'!$AC$49+'SHWLP-Det'!$AC$48</f>
        <v>0.10196968907218658</v>
      </c>
      <c r="L19" s="929"/>
      <c r="M19" s="930"/>
      <c r="N19" s="931"/>
      <c r="O19" s="929"/>
      <c r="P19" s="930"/>
      <c r="Q19" s="931"/>
      <c r="R19" s="936"/>
      <c r="S19" s="929"/>
      <c r="T19" s="930"/>
      <c r="U19" s="930"/>
      <c r="V19" s="930"/>
      <c r="W19" s="930"/>
      <c r="X19" s="931"/>
      <c r="Y19" s="1033">
        <f>SUM(F19:X19)</f>
        <v>1.2805644357437795</v>
      </c>
      <c r="Z19" s="1034">
        <f t="shared" si="0"/>
        <v>1.2806945652086403</v>
      </c>
      <c r="AA19" s="393">
        <f>ABS(Z19-Y19)/Z19</f>
        <v>1.0160850869199693E-4</v>
      </c>
      <c r="AD19" s="80">
        <f>AJ29+AJ15</f>
        <v>1.2689594898892349</v>
      </c>
      <c r="AE19" s="393">
        <f t="shared" si="3"/>
        <v>9.1452453344728988E-3</v>
      </c>
      <c r="AI19" s="920" t="s">
        <v>847</v>
      </c>
      <c r="AJ19" s="919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7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5">
        <f t="shared" si="2"/>
        <v>0</v>
      </c>
      <c r="Z20" s="477">
        <f t="shared" si="0"/>
        <v>0</v>
      </c>
      <c r="AI20" s="920" t="s">
        <v>848</v>
      </c>
      <c r="AJ20" s="919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8" t="s">
        <v>211</v>
      </c>
      <c r="F21" s="929"/>
      <c r="G21" s="930"/>
      <c r="H21" s="931"/>
      <c r="I21" s="929"/>
      <c r="J21" s="930"/>
      <c r="K21" s="931"/>
      <c r="L21" s="929"/>
      <c r="M21" s="930"/>
      <c r="N21" s="931"/>
      <c r="O21" s="929"/>
      <c r="P21" s="930"/>
      <c r="Q21" s="931"/>
      <c r="R21" s="936"/>
      <c r="S21" s="929"/>
      <c r="T21" s="930"/>
      <c r="U21" s="930"/>
      <c r="V21" s="930"/>
      <c r="W21" s="930"/>
      <c r="X21" s="931"/>
      <c r="Y21" s="1033">
        <f t="shared" si="2"/>
        <v>0</v>
      </c>
      <c r="Z21" s="1034">
        <f t="shared" si="0"/>
        <v>0</v>
      </c>
      <c r="AI21" s="920" t="s">
        <v>409</v>
      </c>
      <c r="AJ21" s="919">
        <v>2.3626993757787398</v>
      </c>
    </row>
    <row r="22" spans="1:45" s="80" customFormat="1" ht="12" customHeight="1">
      <c r="A22" s="283" t="s">
        <v>822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9" t="s">
        <v>829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81">
        <f>('SHWLP-Apt'!$AC$38/('SHWLP-Apt'!$AC$12+'SHWLP-Att'!$AC$12+'SHWLP-Det'!$AC$12+'SHWLP-Apt'!$AC$38+'SHWLP-Att'!$AC$38+'SHWLP-Det'!$AC$38+'SHWLP-Apt'!AC50))</f>
        <v>0.31494966010108993</v>
      </c>
      <c r="J22" s="480">
        <f>('SHWLP-Att'!$AC$38/('SHWLP-Apt'!$AC$12+'SHWLP-Att'!$AC$12+'SHWLP-Det'!$AC$12+'SHWLP-Apt'!$AC$38+'SHWLP-Att'!$AC$38+'SHWLP-Det'!$AC$38+'SHWLP-Att'!AC50))</f>
        <v>0.14338952017256595</v>
      </c>
      <c r="K22" s="482">
        <f>('SHWLP-Det'!$AC$38/('SHWLP-Apt'!$AC$12+'SHWLP-Att'!$AC$12+'SHWLP-Det'!$AC$12+'SHWLP-Apt'!$AC$38+'SHWLP-Att'!$AC$38+'SHWLP-Det'!$AC$38+'SHWLP-Det'!AC50))</f>
        <v>8.4684807903376222E-2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40">
        <f>SUM(F22:X22)</f>
        <v>0.93306479597185543</v>
      </c>
      <c r="Z22" s="1041">
        <f t="shared" si="0"/>
        <v>1.1776284562901849</v>
      </c>
      <c r="AA22" s="900">
        <f>ABS(Z22+Z27-Y22-Y27)/(Z22+Z27)</f>
        <v>7.9607688426569477E-3</v>
      </c>
      <c r="AD22" s="80">
        <f>AJ8+AJ18+AJ24</f>
        <v>2.2054176010201956</v>
      </c>
      <c r="AE22" s="393">
        <f>ABS(AD22-Y22)/SUM(AD22+AD27)</f>
        <v>0.57692148845632107</v>
      </c>
      <c r="AI22" s="920" t="s">
        <v>849</v>
      </c>
      <c r="AJ22" s="919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8" t="s">
        <v>212</v>
      </c>
      <c r="F23" s="929">
        <f>'SHWLP-Apt'!$AC$9</f>
        <v>1.717752076955832E-8</v>
      </c>
      <c r="G23" s="930">
        <f>'SHWLP-Att'!$AC$9</f>
        <v>0</v>
      </c>
      <c r="H23" s="931">
        <f>'SHWLP-Det'!$AC$9</f>
        <v>0</v>
      </c>
      <c r="I23" s="929">
        <f>'SHWLP-Apt'!$AC$35</f>
        <v>4.5022817220784442E-5</v>
      </c>
      <c r="J23" s="930">
        <f>'SHWLP-Att'!$AC$35</f>
        <v>2.2499320963325842E-5</v>
      </c>
      <c r="K23" s="931">
        <f>'SHWLP-Det'!$AC$35</f>
        <v>7.5218748410839565E-5</v>
      </c>
      <c r="L23" s="929"/>
      <c r="M23" s="930"/>
      <c r="N23" s="931"/>
      <c r="O23" s="929"/>
      <c r="P23" s="930"/>
      <c r="Q23" s="931"/>
      <c r="R23" s="936"/>
      <c r="S23" s="929"/>
      <c r="T23" s="930"/>
      <c r="U23" s="930"/>
      <c r="V23" s="930"/>
      <c r="W23" s="930"/>
      <c r="X23" s="931"/>
      <c r="Y23" s="1033">
        <f t="shared" si="2"/>
        <v>1.427580641157194E-4</v>
      </c>
      <c r="Z23" s="1034">
        <f t="shared" si="0"/>
        <v>0</v>
      </c>
      <c r="AA23" s="54"/>
      <c r="AI23" s="920" t="s">
        <v>850</v>
      </c>
      <c r="AJ23" s="919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7" t="s">
        <v>214</v>
      </c>
      <c r="F24" s="481">
        <f>'SHWLP-Apt'!$AC$8</f>
        <v>2.3945463952764301E-5</v>
      </c>
      <c r="G24" s="480">
        <f>'SHWLP-Att'!$AC$8</f>
        <v>3.0322953671439083E-5</v>
      </c>
      <c r="H24" s="482">
        <f>'SHWLP-Det'!$AC$8</f>
        <v>0</v>
      </c>
      <c r="I24" s="481">
        <f>'SHWLP-Apt'!$AC$34</f>
        <v>4.9825781562605275E-5</v>
      </c>
      <c r="J24" s="480">
        <f>'SHWLP-Att'!$AC$34</f>
        <v>8.0367491939926361E-5</v>
      </c>
      <c r="K24" s="482">
        <f>'SHWLP-Det'!$AC$34</f>
        <v>6.6404444827140003E-5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5">
        <f t="shared" si="2"/>
        <v>2.5086613595387504E-4</v>
      </c>
      <c r="Z24" s="477">
        <f t="shared" si="0"/>
        <v>0</v>
      </c>
      <c r="AA24" s="54"/>
      <c r="AI24" s="920" t="s">
        <v>407</v>
      </c>
      <c r="AJ24" s="919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8" t="s">
        <v>216</v>
      </c>
      <c r="F25" s="929"/>
      <c r="G25" s="930"/>
      <c r="H25" s="931"/>
      <c r="I25" s="929"/>
      <c r="J25" s="930"/>
      <c r="K25" s="931"/>
      <c r="L25" s="929"/>
      <c r="M25" s="930"/>
      <c r="N25" s="931"/>
      <c r="O25" s="929"/>
      <c r="P25" s="930"/>
      <c r="Q25" s="931"/>
      <c r="R25" s="936"/>
      <c r="S25" s="929"/>
      <c r="T25" s="930"/>
      <c r="U25" s="930"/>
      <c r="V25" s="930"/>
      <c r="W25" s="930"/>
      <c r="X25" s="931"/>
      <c r="Y25" s="1033">
        <f t="shared" si="2"/>
        <v>0</v>
      </c>
      <c r="Z25" s="1034">
        <f t="shared" si="0"/>
        <v>0</v>
      </c>
      <c r="AA25" s="54"/>
      <c r="AI25" s="920" t="s">
        <v>851</v>
      </c>
      <c r="AJ25" s="919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0.62154708028854366</v>
      </c>
      <c r="G26" s="480">
        <f>'SHWLP-Att'!$AC$11+'SHWLP-Att'!$AC$13</f>
        <v>1.055385029940197</v>
      </c>
      <c r="H26" s="482">
        <f>'SHWLP-Det'!$AC$11+'SHWLP-Det'!$AC$13</f>
        <v>1.5573562329801345</v>
      </c>
      <c r="I26" s="481">
        <f>'SHWLP-Apt'!$AC$37+'SHWLP-Apt'!$AC$39</f>
        <v>0.66223410396507831</v>
      </c>
      <c r="J26" s="480">
        <f>'SHWLP-Att'!$AC$37+'SHWLP-Att'!$AC$39</f>
        <v>0.55104434771721889</v>
      </c>
      <c r="K26" s="482">
        <f>'SHWLP-Det'!$AC$37+'SHWLP-Det'!$AC$39</f>
        <v>0.46704088696682822</v>
      </c>
      <c r="L26" s="481">
        <f>'SHWLP-Apt'!$AC$59</f>
        <v>0.34353539472387451</v>
      </c>
      <c r="M26" s="480">
        <f>'SHWLP-Att'!$AC$59</f>
        <v>1.8080718525599928</v>
      </c>
      <c r="N26" s="482">
        <f>'SHWLP-Det'!$AC$59</f>
        <v>2.7736752304587728</v>
      </c>
      <c r="O26" s="481">
        <f>'SHWLP-Apt'!$AC$60</f>
        <v>7.078848738741389E-2</v>
      </c>
      <c r="P26" s="480">
        <f>'SHWLP-Att'!$AC$60</f>
        <v>0.50068510037742064</v>
      </c>
      <c r="Q26" s="482">
        <f>'SHWLP-Det'!$AC$60</f>
        <v>0.57732324799614743</v>
      </c>
      <c r="R26" s="477">
        <v>2.051734110329881</v>
      </c>
      <c r="S26" s="483">
        <f>(T38*0.0000000036)*(DwellingStocks!L28*RSD_Balance!U38)</f>
        <v>1.4430682741859997</v>
      </c>
      <c r="T26" s="480">
        <f>(T36*0.0000000036)*(DwellingStocks!L28*RSD_Balance!U36)</f>
        <v>1.1268114283822497</v>
      </c>
      <c r="U26" s="480">
        <f>(T37*0.0000000036)*(DwellingStocks!L28*RSD_Balance!U37)</f>
        <v>1.7528219421827038</v>
      </c>
      <c r="V26" s="480">
        <f>(T39*0.0000000036)*(DwellingStocks!L28*RSD_Balance!U39)</f>
        <v>1.2125521732445999</v>
      </c>
      <c r="W26" s="480">
        <v>10.843443600154002</v>
      </c>
      <c r="X26" s="482">
        <v>0</v>
      </c>
      <c r="Y26" s="1035">
        <f>SUM(F26:X26)</f>
        <v>29.419118523841057</v>
      </c>
      <c r="Z26" s="477">
        <f t="shared" si="0"/>
        <v>29.430890206847998</v>
      </c>
      <c r="AA26" s="393">
        <f>ABS(Z26-Y26)/Z26</f>
        <v>3.9997713029428381E-4</v>
      </c>
      <c r="AD26" s="54">
        <f>AJ10+AJ21+AO6+AO7+AO8+AO10+AO11+AO12+AR6+AR15+AR16+AR17+AR18+AR19</f>
        <v>31.036472775515985</v>
      </c>
      <c r="AE26" s="393">
        <f t="shared" si="3"/>
        <v>5.2111406581962658E-2</v>
      </c>
      <c r="AI26" s="920" t="s">
        <v>852</v>
      </c>
      <c r="AJ26" s="919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8" t="s">
        <v>217</v>
      </c>
      <c r="F27" s="929">
        <f>'SHWLP-Apt'!$AC$24</f>
        <v>3.9264417733931474E-2</v>
      </c>
      <c r="G27" s="930">
        <f>'SHWLP-Att'!$AC$24</f>
        <v>4.6931650161764517E-2</v>
      </c>
      <c r="H27" s="931">
        <f>'SHWLP-Det'!$AC$24</f>
        <v>0.15384118082811329</v>
      </c>
      <c r="I27" s="929">
        <f>'SHWLP-Apt'!$AC$50</f>
        <v>1.0409092726077061E-2</v>
      </c>
      <c r="J27" s="930">
        <f>'SHWLP-Att'!$AC$50</f>
        <v>2.4529123767550393E-3</v>
      </c>
      <c r="K27" s="931">
        <f>'SHWLP-Det'!$AC$50</f>
        <v>1.039234414749181E-3</v>
      </c>
      <c r="L27" s="929"/>
      <c r="M27" s="930"/>
      <c r="N27" s="931"/>
      <c r="O27" s="929"/>
      <c r="P27" s="930"/>
      <c r="Q27" s="931"/>
      <c r="R27" s="936"/>
      <c r="S27" s="929"/>
      <c r="T27" s="930"/>
      <c r="U27" s="930"/>
      <c r="V27" s="930"/>
      <c r="W27" s="930"/>
      <c r="X27" s="931"/>
      <c r="Y27" s="1042">
        <f>SUM(F27:X27)</f>
        <v>0.25393848824139054</v>
      </c>
      <c r="Z27" s="1043">
        <f t="shared" si="0"/>
        <v>0</v>
      </c>
      <c r="AA27" s="900">
        <f>ABS(Z22+Z27-Y22-Y27)/(Z22+Z27)</f>
        <v>7.9607688426569477E-3</v>
      </c>
      <c r="AI27" s="920" t="s">
        <v>410</v>
      </c>
      <c r="AJ27" s="919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7.9885577249766582E-2</v>
      </c>
      <c r="G28" s="562">
        <f>SUM('SHWLP-Att'!AC20:AC22)</f>
        <v>2.5661544667428986</v>
      </c>
      <c r="H28" s="562">
        <f>SUM('SHWLP-Det'!AC20:AC22)</f>
        <v>6.6941079630758544</v>
      </c>
      <c r="I28" s="562">
        <f>SUM('SHWLP-Apt'!AC46:AC48)</f>
        <v>8.6855207922834441E-3</v>
      </c>
      <c r="J28" s="562">
        <f>SUM('SHWLP-Att'!AC46:AC48)</f>
        <v>0.48505892055832367</v>
      </c>
      <c r="K28" s="562">
        <f>SUM('SHWLP-Det'!AC46:AC48)</f>
        <v>0.51849275452322741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10.352385202942354</v>
      </c>
      <c r="Z28" s="563"/>
      <c r="AA28" s="393"/>
      <c r="AD28" s="54"/>
      <c r="AI28" s="920" t="s">
        <v>853</v>
      </c>
      <c r="AJ28" s="919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2.716343403455594</v>
      </c>
      <c r="G29" s="450">
        <f t="shared" ref="G29:K29" si="4">SUM(G9:G27)</f>
        <v>28.691693962403516</v>
      </c>
      <c r="H29" s="450">
        <f t="shared" si="4"/>
        <v>47.317713931203151</v>
      </c>
      <c r="I29" s="450">
        <f t="shared" si="4"/>
        <v>1.7568172616259801</v>
      </c>
      <c r="J29" s="450">
        <f t="shared" si="4"/>
        <v>9.2225488793828454</v>
      </c>
      <c r="K29" s="450">
        <f t="shared" si="4"/>
        <v>11.754360135304958</v>
      </c>
      <c r="L29" s="452">
        <f t="shared" ref="L29:X29" si="5">SUM(L9:L27)</f>
        <v>0.34353539472387451</v>
      </c>
      <c r="M29" s="452">
        <f t="shared" si="5"/>
        <v>1.8080718525599928</v>
      </c>
      <c r="N29" s="452">
        <f t="shared" si="5"/>
        <v>2.7736752304587728</v>
      </c>
      <c r="O29" s="452">
        <f t="shared" si="5"/>
        <v>7.078848738741389E-2</v>
      </c>
      <c r="P29" s="452">
        <f t="shared" si="5"/>
        <v>0.50068510037742064</v>
      </c>
      <c r="Q29" s="452">
        <f t="shared" si="5"/>
        <v>0.57732324799614743</v>
      </c>
      <c r="R29" s="565">
        <f t="shared" si="5"/>
        <v>2.7611554513679644</v>
      </c>
      <c r="S29" s="452">
        <f t="shared" si="5"/>
        <v>1.4430682741859997</v>
      </c>
      <c r="T29" s="452">
        <f t="shared" si="5"/>
        <v>1.1268114283822497</v>
      </c>
      <c r="U29" s="452">
        <f t="shared" si="5"/>
        <v>1.7528219421827038</v>
      </c>
      <c r="V29" s="452">
        <f t="shared" si="5"/>
        <v>1.2125521732445999</v>
      </c>
      <c r="W29" s="564">
        <f t="shared" si="5"/>
        <v>10.843443600154002</v>
      </c>
      <c r="X29" s="452">
        <f t="shared" si="5"/>
        <v>0</v>
      </c>
      <c r="Y29" s="880">
        <f>SUM(Y9:Y27)</f>
        <v>126.67340975639719</v>
      </c>
      <c r="Z29" s="879">
        <f>SUM(Z9:Z27)</f>
        <v>126.68456757434075</v>
      </c>
      <c r="AA29" s="393">
        <f>ABS(Z29-Y29)/Z29</f>
        <v>8.8075589293919407E-5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20" t="s">
        <v>854</v>
      </c>
      <c r="AJ29" s="919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78.72575129706226</v>
      </c>
      <c r="G30" s="451">
        <f>F30/$Y$29</f>
        <v>0.62148600443027469</v>
      </c>
      <c r="H30" s="337"/>
      <c r="I30" s="452">
        <f>SUM(I29:K29)</f>
        <v>22.733726276313782</v>
      </c>
      <c r="J30" s="451">
        <f>I30/$Y$29</f>
        <v>0.17946723246838073</v>
      </c>
      <c r="K30" s="337"/>
      <c r="L30" s="452">
        <f>SUM(L29:N29)</f>
        <v>4.9252824777426403</v>
      </c>
      <c r="M30" s="451">
        <f>L30/$Y$29</f>
        <v>3.8881739168578011E-2</v>
      </c>
      <c r="N30" s="337"/>
      <c r="O30" s="452">
        <f>SUM(O29:Q29)</f>
        <v>1.1487968357609819</v>
      </c>
      <c r="P30" s="451">
        <f>O30/$Y$29</f>
        <v>9.0689659177108084E-3</v>
      </c>
      <c r="Q30" s="337"/>
      <c r="R30" s="451">
        <f>R29/$Y$29</f>
        <v>2.1797435283994335E-2</v>
      </c>
      <c r="S30" s="452">
        <f>SUM(S29:X29)</f>
        <v>16.378697418149557</v>
      </c>
      <c r="T30" s="451">
        <f>S30/$Y$29</f>
        <v>0.12929862273106144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5"/>
      <c r="Z31" s="915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6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78.72575129706226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22.733726276313782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50"/>
      <c r="S35" s="951" t="s">
        <v>503</v>
      </c>
      <c r="T35" s="951" t="s">
        <v>502</v>
      </c>
      <c r="U35" s="952" t="s">
        <v>504</v>
      </c>
      <c r="V35" s="54"/>
      <c r="W35" s="54"/>
      <c r="X35" s="54"/>
      <c r="Y35" s="54" t="str">
        <f>O7</f>
        <v>Pumps &amp; Fans</v>
      </c>
      <c r="Z35" s="61">
        <f>O30</f>
        <v>1.1487968357609819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2" t="s">
        <v>225</v>
      </c>
      <c r="S36" s="1223"/>
      <c r="T36" s="59">
        <v>185</v>
      </c>
      <c r="U36" s="953">
        <v>0.97499999999999998</v>
      </c>
      <c r="V36" s="54"/>
      <c r="W36" s="54"/>
      <c r="X36" s="54"/>
      <c r="Y36" s="54" t="str">
        <f>L7</f>
        <v>Lighting</v>
      </c>
      <c r="Z36" s="61">
        <f>L30</f>
        <v>4.9252824777426403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2" t="s">
        <v>226</v>
      </c>
      <c r="S37" s="1223"/>
      <c r="T37" s="54">
        <v>433</v>
      </c>
      <c r="U37" s="953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2" t="s">
        <v>224</v>
      </c>
      <c r="S38" s="1223"/>
      <c r="T38" s="54">
        <v>231</v>
      </c>
      <c r="U38" s="953">
        <v>1</v>
      </c>
      <c r="V38" s="54"/>
      <c r="W38" s="54"/>
      <c r="X38" s="54"/>
      <c r="Y38" s="54" t="str">
        <f>S7</f>
        <v>Appliances</v>
      </c>
      <c r="Z38" s="61">
        <f>S30</f>
        <v>16.378697418149557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4" t="s">
        <v>227</v>
      </c>
      <c r="S39" s="1225"/>
      <c r="T39" s="954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29" t="s">
        <v>556</v>
      </c>
      <c r="C4" s="1230"/>
      <c r="D4" s="1230"/>
      <c r="E4" s="1230"/>
      <c r="F4" s="1230"/>
      <c r="G4" s="1230"/>
      <c r="H4" s="1230"/>
      <c r="I4" s="1230"/>
      <c r="J4" s="1230"/>
      <c r="K4" s="1230"/>
      <c r="L4" s="1230"/>
      <c r="M4" s="460"/>
      <c r="O4" s="1229" t="s">
        <v>558</v>
      </c>
      <c r="P4" s="1230"/>
      <c r="Q4" s="1230"/>
      <c r="R4" s="1230"/>
      <c r="S4" s="1230"/>
      <c r="T4" s="1230"/>
      <c r="U4" s="1230"/>
      <c r="V4" s="1230"/>
      <c r="W4" s="1230"/>
      <c r="X4" s="1230"/>
      <c r="Y4" s="1230"/>
      <c r="Z4" s="955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33" t="s">
        <v>565</v>
      </c>
      <c r="AZ18" s="1233"/>
      <c r="BA18" s="1233"/>
      <c r="BB18" s="1233"/>
      <c r="BC18" s="1233"/>
      <c r="BD18" s="1233"/>
      <c r="BE18" s="1233"/>
      <c r="BF18" s="1233"/>
      <c r="BG18" s="1233"/>
      <c r="BH18" s="1233"/>
      <c r="BI18" s="1233"/>
      <c r="BJ18" s="1233"/>
      <c r="BL18" s="1233" t="s">
        <v>867</v>
      </c>
      <c r="BM18" s="1233"/>
      <c r="BN18" s="1233"/>
      <c r="BO18" s="1233"/>
      <c r="BP18" s="1233"/>
      <c r="BQ18" s="1233"/>
      <c r="BR18" s="1233"/>
      <c r="BS18" s="1233"/>
      <c r="BT18" s="1233"/>
      <c r="BU18" s="1233"/>
      <c r="BV18" s="1233"/>
      <c r="BW18" s="1233"/>
      <c r="BX18" s="1233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29" t="s">
        <v>557</v>
      </c>
      <c r="C19" s="1230"/>
      <c r="D19" s="1230"/>
      <c r="E19" s="1230"/>
      <c r="F19" s="1230"/>
      <c r="G19" s="1230"/>
      <c r="H19" s="1230"/>
      <c r="I19" s="1230"/>
      <c r="J19" s="1230"/>
      <c r="K19" s="1230"/>
      <c r="L19" s="1230"/>
      <c r="M19" s="1230"/>
      <c r="O19" s="1229" t="s">
        <v>558</v>
      </c>
      <c r="P19" s="1230"/>
      <c r="Q19" s="1230"/>
      <c r="R19" s="1230"/>
      <c r="S19" s="1230"/>
      <c r="T19" s="1230"/>
      <c r="U19" s="1230"/>
      <c r="V19" s="1230"/>
      <c r="W19" s="1230"/>
      <c r="X19" s="1230"/>
      <c r="Y19" s="1230"/>
      <c r="Z19" s="1230"/>
      <c r="AB19" s="1229" t="s">
        <v>559</v>
      </c>
      <c r="AC19" s="1230"/>
      <c r="AD19" s="1230"/>
      <c r="AE19" s="1230"/>
      <c r="AF19" s="1230"/>
      <c r="AG19" s="1230"/>
      <c r="AH19" s="1230"/>
      <c r="AI19" s="1230"/>
      <c r="AJ19" s="1230"/>
      <c r="AK19" s="1230"/>
      <c r="AL19" s="1230"/>
      <c r="AN19" s="1231" t="s">
        <v>560</v>
      </c>
      <c r="AO19" s="1232"/>
      <c r="AP19" s="1232"/>
      <c r="AQ19" s="1232"/>
      <c r="AR19" s="1232"/>
      <c r="AS19" s="1232"/>
      <c r="AT19" s="1232"/>
      <c r="AU19" s="1232"/>
      <c r="AV19" s="1232"/>
      <c r="AW19" s="1232"/>
      <c r="AY19" s="1228" t="s">
        <v>561</v>
      </c>
      <c r="AZ19" s="1228"/>
      <c r="BA19" s="1228"/>
      <c r="BB19" s="1228"/>
      <c r="BC19" s="1228"/>
      <c r="BD19" s="1228"/>
      <c r="BE19" s="1228"/>
      <c r="BF19" s="1228"/>
      <c r="BG19" s="1228"/>
      <c r="BH19" s="1228"/>
      <c r="BI19" s="1228"/>
      <c r="BJ19" s="1228"/>
      <c r="BL19" s="1228" t="s">
        <v>566</v>
      </c>
      <c r="BM19" s="1228"/>
      <c r="BN19" s="1228"/>
      <c r="BO19" s="1228"/>
      <c r="BP19" s="1228"/>
      <c r="BQ19" s="1228"/>
      <c r="BR19" s="1228"/>
      <c r="BS19" s="1228"/>
      <c r="BT19" s="1228"/>
      <c r="BU19" s="1228"/>
      <c r="BV19" s="1228"/>
      <c r="BW19" s="1228"/>
      <c r="BX19" s="1228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820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820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820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821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61" t="s">
        <v>252</v>
      </c>
      <c r="E6" s="961" t="s">
        <v>252</v>
      </c>
      <c r="F6" s="961" t="s">
        <v>252</v>
      </c>
      <c r="G6" s="961" t="s">
        <v>252</v>
      </c>
      <c r="H6" s="961" t="s">
        <v>252</v>
      </c>
      <c r="I6" s="961" t="s">
        <v>252</v>
      </c>
      <c r="J6" s="961" t="s">
        <v>252</v>
      </c>
      <c r="K6" s="961" t="s">
        <v>252</v>
      </c>
      <c r="M6"/>
      <c r="N6"/>
      <c r="O6"/>
    </row>
    <row r="7" spans="2:40">
      <c r="B7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6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62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7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3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8" t="str">
        <f>COMM!E28</f>
        <v>RSDN2O</v>
      </c>
      <c r="D9" s="964">
        <v>0</v>
      </c>
      <c r="E9" s="965"/>
      <c r="F9" s="966"/>
      <c r="G9" s="966"/>
      <c r="H9" s="965"/>
      <c r="I9" s="965"/>
      <c r="J9" s="965"/>
      <c r="K9" s="967"/>
      <c r="M9" s="460"/>
      <c r="N9" s="460"/>
      <c r="O9" s="460"/>
      <c r="P9" s="80"/>
      <c r="Q9" s="80"/>
      <c r="R9" s="80"/>
      <c r="S9" s="80"/>
      <c r="T9" s="80"/>
    </row>
    <row r="10" spans="2:40">
      <c r="B10" s="95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9" t="str">
        <f>COMM!E29</f>
        <v>RSDSO2N</v>
      </c>
      <c r="D10" s="968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9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8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70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6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60" t="str">
        <f>COMM!E31</f>
        <v>RSDPM25</v>
      </c>
      <c r="D12" s="971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72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30"/>
  <sheetViews>
    <sheetView workbookViewId="0"/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829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855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817</v>
      </c>
      <c r="E17" s="472" t="str">
        <f>COMM!E25</f>
        <v>RSDHET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855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3" t="s">
        <v>887</v>
      </c>
      <c r="E18" s="460" t="s">
        <v>886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 t="shared" ref="K18" si="3"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</row>
    <row r="20" spans="1:15">
      <c r="A20" s="474"/>
      <c r="B20" s="474"/>
      <c r="C20" s="472"/>
    </row>
    <row r="21" spans="1:15">
      <c r="A21" s="474"/>
      <c r="B21" s="474"/>
      <c r="C21" s="472"/>
    </row>
    <row r="22" spans="1:15">
      <c r="A22" s="474"/>
      <c r="B22" s="474"/>
      <c r="C22" s="472"/>
    </row>
    <row r="23" spans="1:15">
      <c r="A23" s="474"/>
      <c r="B23" s="474"/>
      <c r="C23" s="472"/>
    </row>
    <row r="24" spans="1:15">
      <c r="A24" s="474"/>
      <c r="B24" s="474"/>
      <c r="C24" s="472"/>
      <c r="D24" s="1119"/>
      <c r="E24" s="1119"/>
      <c r="F24" s="1119"/>
      <c r="G24" s="1119"/>
      <c r="H24" s="1119"/>
    </row>
    <row r="25" spans="1:15">
      <c r="A25" s="474"/>
      <c r="B25" s="474"/>
      <c r="C25" s="472"/>
      <c r="D25" s="1119"/>
      <c r="E25" s="1119"/>
      <c r="F25" s="1119"/>
      <c r="G25" s="1119"/>
      <c r="H25" s="1119"/>
    </row>
    <row r="26" spans="1:15">
      <c r="A26" s="474"/>
      <c r="B26" s="474"/>
      <c r="C26" s="472"/>
      <c r="D26" s="1119"/>
      <c r="E26" s="1119"/>
      <c r="F26" s="1119"/>
      <c r="G26" s="1119"/>
      <c r="H26" s="1119"/>
    </row>
    <row r="27" spans="1:15">
      <c r="B27" s="474"/>
      <c r="C27" s="472"/>
      <c r="D27" s="1119"/>
      <c r="E27" s="1119"/>
      <c r="F27" s="1119"/>
      <c r="G27" s="1119"/>
      <c r="H27" s="1119"/>
    </row>
    <row r="28" spans="1:15">
      <c r="B28" s="474"/>
      <c r="C28" s="472"/>
      <c r="D28" s="1119"/>
      <c r="E28" s="1119"/>
      <c r="F28" s="1119"/>
      <c r="G28" s="1119"/>
      <c r="H28" s="1119"/>
    </row>
    <row r="29" spans="1:15">
      <c r="B29" s="474"/>
      <c r="C29" s="472"/>
      <c r="D29" s="1119"/>
      <c r="E29" s="1119"/>
      <c r="F29" s="1119"/>
      <c r="G29" s="1119"/>
      <c r="H29" s="1119"/>
    </row>
    <row r="30" spans="1:15">
      <c r="B30" s="474"/>
      <c r="C30" s="472"/>
      <c r="D30" s="1119"/>
      <c r="E30" s="1119"/>
      <c r="F30" s="1119"/>
      <c r="G30" s="1119"/>
      <c r="H30" s="1119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workbookViewId="0"/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60" width="1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B3" s="69" t="s">
        <v>655</v>
      </c>
      <c r="C3" s="69"/>
      <c r="D3" s="69"/>
      <c r="E3" s="69"/>
      <c r="F3" s="1015" t="s">
        <v>1125</v>
      </c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C3" s="1015"/>
      <c r="BD3" s="1015"/>
      <c r="BE3" s="1015"/>
      <c r="BF3" s="1015"/>
      <c r="BG3" s="1015"/>
      <c r="BH3" s="1015"/>
      <c r="BI3" s="1015"/>
      <c r="BJ3" s="1015"/>
      <c r="BK3" s="1015"/>
      <c r="BL3" s="1015"/>
      <c r="BN3" s="1243" t="s">
        <v>942</v>
      </c>
      <c r="BO3" s="1244"/>
      <c r="BP3" s="1243" t="s">
        <v>943</v>
      </c>
      <c r="BQ3" s="1244"/>
      <c r="BR3" s="1243" t="s">
        <v>944</v>
      </c>
      <c r="BS3" s="1244"/>
      <c r="BT3" s="1243" t="s">
        <v>945</v>
      </c>
      <c r="BU3" s="1248"/>
      <c r="BW3" s="66" t="s">
        <v>763</v>
      </c>
      <c r="BX3" s="66"/>
      <c r="BY3" s="66"/>
      <c r="BZ3" s="66"/>
      <c r="CA3" s="66"/>
      <c r="CB3" s="66"/>
      <c r="CC3" s="66"/>
      <c r="CD3" s="66"/>
      <c r="CE3" s="1016"/>
      <c r="CF3" s="1016"/>
      <c r="CG3" s="1016"/>
      <c r="CH3" s="1016"/>
      <c r="CI3" s="1016"/>
      <c r="CJ3" s="1016"/>
      <c r="CK3" s="1016"/>
      <c r="CL3" s="1016"/>
      <c r="CM3" s="1016"/>
      <c r="CN3" s="1016"/>
      <c r="CO3" s="1016"/>
      <c r="CP3" s="1016"/>
      <c r="CQ3" s="1016"/>
      <c r="CR3" s="1016"/>
      <c r="CS3" s="1016"/>
      <c r="CT3" s="1016"/>
      <c r="CU3" s="1016"/>
      <c r="CV3" s="1016"/>
      <c r="CW3" s="1016"/>
      <c r="CX3" s="1016"/>
      <c r="CY3" s="1016"/>
      <c r="CZ3" s="1016"/>
      <c r="DA3" s="1016"/>
      <c r="DB3" s="1016"/>
      <c r="DC3" s="1016"/>
      <c r="DD3" s="1016"/>
      <c r="DE3" s="1016"/>
      <c r="DF3" s="1016"/>
      <c r="DG3" s="1016"/>
      <c r="DH3" s="1016"/>
      <c r="DI3" s="1016"/>
      <c r="DJ3" s="1016"/>
      <c r="DK3" s="1016"/>
      <c r="DL3" s="1016"/>
      <c r="DM3" s="1016"/>
      <c r="DN3" s="1016"/>
      <c r="DO3" s="1016"/>
      <c r="DP3" s="1016"/>
      <c r="DQ3" s="1016"/>
      <c r="DR3" s="1016"/>
      <c r="DS3" s="1016"/>
      <c r="DT3" s="1016"/>
      <c r="DU3" s="1016"/>
      <c r="DV3" s="1016"/>
      <c r="DW3" s="1016"/>
      <c r="DX3" s="1016"/>
      <c r="DY3" s="1016"/>
      <c r="DZ3" s="1016"/>
      <c r="EA3" s="1016"/>
      <c r="EB3" s="1016"/>
      <c r="EC3" s="1016"/>
      <c r="ED3" s="1016"/>
      <c r="EE3" s="1016"/>
      <c r="EF3" s="1016"/>
      <c r="EG3" s="1016"/>
      <c r="EH3" s="1016"/>
      <c r="EI3" s="1016"/>
      <c r="EJ3" s="1016"/>
    </row>
    <row r="4" spans="2:140" ht="16.5" customHeight="1" thickBot="1">
      <c r="B4" s="36" t="s">
        <v>760</v>
      </c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194</v>
      </c>
      <c r="H4" s="43" t="s">
        <v>1048</v>
      </c>
      <c r="I4" s="1116" t="s">
        <v>661</v>
      </c>
      <c r="J4" s="1116" t="s">
        <v>1049</v>
      </c>
      <c r="K4" s="1116" t="s">
        <v>666</v>
      </c>
      <c r="L4" s="1116" t="s">
        <v>1051</v>
      </c>
      <c r="M4" s="1116" t="s">
        <v>669</v>
      </c>
      <c r="N4" s="1116" t="s">
        <v>1052</v>
      </c>
      <c r="O4" s="1116" t="s">
        <v>670</v>
      </c>
      <c r="P4" s="1116" t="s">
        <v>1053</v>
      </c>
      <c r="Q4" s="1116" t="s">
        <v>671</v>
      </c>
      <c r="R4" s="1116" t="s">
        <v>1054</v>
      </c>
      <c r="S4" s="1116" t="s">
        <v>674</v>
      </c>
      <c r="T4" s="1116" t="s">
        <v>1055</v>
      </c>
      <c r="U4" s="1116" t="s">
        <v>675</v>
      </c>
      <c r="V4" s="1116" t="s">
        <v>1056</v>
      </c>
      <c r="W4" s="1116" t="s">
        <v>677</v>
      </c>
      <c r="X4" s="1116" t="s">
        <v>1057</v>
      </c>
      <c r="Y4" s="1116" t="s">
        <v>679</v>
      </c>
      <c r="Z4" s="1116" t="s">
        <v>1058</v>
      </c>
      <c r="AA4" s="1116" t="s">
        <v>684</v>
      </c>
      <c r="AB4" s="1116" t="s">
        <v>1059</v>
      </c>
      <c r="AC4" s="1116" t="s">
        <v>685</v>
      </c>
      <c r="AD4" s="1116" t="s">
        <v>1060</v>
      </c>
      <c r="AE4" s="1116" t="s">
        <v>686</v>
      </c>
      <c r="AF4" s="1116" t="s">
        <v>1061</v>
      </c>
      <c r="AG4" s="1116" t="s">
        <v>663</v>
      </c>
      <c r="AH4" s="1116" t="s">
        <v>1062</v>
      </c>
      <c r="AI4" s="1116" t="s">
        <v>664</v>
      </c>
      <c r="AJ4" s="1116" t="s">
        <v>1063</v>
      </c>
      <c r="AK4" s="1116" t="s">
        <v>668</v>
      </c>
      <c r="AL4" s="1116" t="s">
        <v>1064</v>
      </c>
      <c r="AM4" s="1116" t="s">
        <v>673</v>
      </c>
      <c r="AN4" s="1116" t="s">
        <v>1065</v>
      </c>
      <c r="AO4" s="1116" t="s">
        <v>682</v>
      </c>
      <c r="AP4" s="1116" t="s">
        <v>1066</v>
      </c>
      <c r="AQ4" s="1116" t="s">
        <v>683</v>
      </c>
      <c r="AR4" s="1116" t="s">
        <v>1067</v>
      </c>
      <c r="AS4" s="1116" t="s">
        <v>667</v>
      </c>
      <c r="AT4" s="1116" t="s">
        <v>1068</v>
      </c>
      <c r="AU4" s="1116" t="s">
        <v>672</v>
      </c>
      <c r="AV4" s="1116" t="s">
        <v>1069</v>
      </c>
      <c r="AW4" s="1116" t="s">
        <v>676</v>
      </c>
      <c r="AX4" s="1116" t="s">
        <v>1070</v>
      </c>
      <c r="AY4" s="1116" t="s">
        <v>680</v>
      </c>
      <c r="AZ4" s="1116" t="s">
        <v>1071</v>
      </c>
      <c r="BA4" s="1116" t="s">
        <v>681</v>
      </c>
      <c r="BB4" s="1116" t="s">
        <v>1072</v>
      </c>
      <c r="BC4" s="1116" t="s">
        <v>662</v>
      </c>
      <c r="BD4" s="1116" t="s">
        <v>1050</v>
      </c>
      <c r="BE4" s="1116" t="s">
        <v>665</v>
      </c>
      <c r="BF4" s="1116" t="s">
        <v>1073</v>
      </c>
      <c r="BG4" s="1116" t="s">
        <v>678</v>
      </c>
      <c r="BH4" s="1116" t="s">
        <v>1074</v>
      </c>
      <c r="BI4" s="43" t="s">
        <v>818</v>
      </c>
      <c r="BJ4" s="43" t="s">
        <v>269</v>
      </c>
      <c r="BK4" s="43" t="s">
        <v>270</v>
      </c>
      <c r="BL4" s="43" t="s">
        <v>708</v>
      </c>
      <c r="BN4" s="1092"/>
      <c r="BO4" s="1093"/>
      <c r="BP4" s="1094"/>
      <c r="BQ4" s="1094"/>
      <c r="BR4" s="1094"/>
      <c r="BS4" s="1094"/>
      <c r="BT4" s="1094"/>
      <c r="BU4" s="1095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902" t="s">
        <v>767</v>
      </c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6" t="s">
        <v>936</v>
      </c>
      <c r="BO5" s="1097" t="s">
        <v>218</v>
      </c>
      <c r="BP5" s="1096" t="s">
        <v>936</v>
      </c>
      <c r="BQ5" s="1098" t="s">
        <v>218</v>
      </c>
      <c r="BR5" s="1097" t="s">
        <v>936</v>
      </c>
      <c r="BS5" s="1098" t="s">
        <v>218</v>
      </c>
      <c r="BT5" s="1097" t="s">
        <v>936</v>
      </c>
      <c r="BU5" s="1098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948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7">
        <f>BN6</f>
        <v>1.7750489991421993E-3</v>
      </c>
      <c r="BN6" s="1099">
        <f>CR55*DwellingStocks!X18*(1+BO53)</f>
        <v>1.7750489991421993E-3</v>
      </c>
      <c r="BO6" s="1100">
        <f>BN6*G6</f>
        <v>0.12874189505778003</v>
      </c>
      <c r="BP6" s="1101"/>
      <c r="BQ6" s="1102"/>
      <c r="BR6" s="1101"/>
      <c r="BS6" s="1102"/>
      <c r="BT6" s="1100"/>
      <c r="BU6" s="1102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963</v>
      </c>
      <c r="BZ6" s="417" t="s">
        <v>964</v>
      </c>
      <c r="CA6" s="417" t="s">
        <v>275</v>
      </c>
      <c r="CB6" s="1018" t="s">
        <v>275</v>
      </c>
      <c r="CC6" s="417"/>
      <c r="CD6" s="417"/>
      <c r="CE6" s="80"/>
      <c r="CF6" s="1245" t="s">
        <v>1108</v>
      </c>
      <c r="CG6" s="1246"/>
      <c r="CH6" s="1246"/>
      <c r="CI6" s="1246"/>
      <c r="CJ6" s="1247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909"/>
      <c r="C7" s="490"/>
      <c r="D7" s="489"/>
      <c r="E7" s="489" t="s">
        <v>949</v>
      </c>
      <c r="F7" s="489"/>
      <c r="G7" s="1019"/>
      <c r="H7" s="1019"/>
      <c r="I7" s="1019"/>
      <c r="J7" s="1019"/>
      <c r="K7" s="1019"/>
      <c r="L7" s="1019"/>
      <c r="M7" s="1019"/>
      <c r="N7" s="1019"/>
      <c r="O7" s="1019"/>
      <c r="P7" s="1019"/>
      <c r="Q7" s="1019"/>
      <c r="R7" s="1019"/>
      <c r="S7" s="1019"/>
      <c r="T7" s="1019"/>
      <c r="U7" s="1019"/>
      <c r="V7" s="1019"/>
      <c r="W7" s="1019"/>
      <c r="X7" s="1019"/>
      <c r="Y7" s="1019"/>
      <c r="Z7" s="1019"/>
      <c r="AA7" s="1019"/>
      <c r="AB7" s="1019"/>
      <c r="AC7" s="1019"/>
      <c r="AD7" s="1019"/>
      <c r="AE7" s="1019"/>
      <c r="AF7" s="1019"/>
      <c r="AG7" s="1019"/>
      <c r="AH7" s="1019"/>
      <c r="AI7" s="1019"/>
      <c r="AJ7" s="1019"/>
      <c r="AK7" s="1019"/>
      <c r="AL7" s="1019"/>
      <c r="AM7" s="1019"/>
      <c r="AN7" s="1019"/>
      <c r="AO7" s="1019"/>
      <c r="AP7" s="1019"/>
      <c r="AQ7" s="1019"/>
      <c r="AR7" s="1019"/>
      <c r="AS7" s="1019"/>
      <c r="AT7" s="1019"/>
      <c r="AU7" s="1019"/>
      <c r="AV7" s="1019"/>
      <c r="AW7" s="1019"/>
      <c r="AX7" s="1019"/>
      <c r="AY7" s="1019"/>
      <c r="AZ7" s="1019"/>
      <c r="BA7" s="1019"/>
      <c r="BB7" s="1019"/>
      <c r="BC7" s="1019"/>
      <c r="BD7" s="1019"/>
      <c r="BE7" s="1019"/>
      <c r="BF7" s="1019"/>
      <c r="BG7" s="1019"/>
      <c r="BH7" s="1019"/>
      <c r="BI7" s="1019"/>
      <c r="BJ7" s="489"/>
      <c r="BK7" s="489"/>
      <c r="BL7" s="1020">
        <v>0</v>
      </c>
      <c r="BN7" s="1081"/>
      <c r="BO7" s="1078"/>
      <c r="BP7" s="1085"/>
      <c r="BQ7" s="1082"/>
      <c r="BR7" s="1085"/>
      <c r="BS7" s="1082"/>
      <c r="BT7" s="1078"/>
      <c r="BU7" s="1082"/>
      <c r="BW7" s="1021" t="s">
        <v>276</v>
      </c>
      <c r="BX7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21" t="s">
        <v>965</v>
      </c>
      <c r="BZ7" s="1021" t="s">
        <v>966</v>
      </c>
      <c r="CA7" s="1022" t="s">
        <v>275</v>
      </c>
      <c r="CB7" s="1021" t="s">
        <v>275</v>
      </c>
      <c r="CC7" s="1022"/>
      <c r="CD7" s="1021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910"/>
      <c r="C8" s="328"/>
      <c r="D8" s="328"/>
      <c r="E8" s="328" t="s">
        <v>950</v>
      </c>
      <c r="F8" s="328"/>
      <c r="G8" s="1023"/>
      <c r="H8" s="1023"/>
      <c r="I8" s="1023"/>
      <c r="J8" s="1023"/>
      <c r="K8" s="1023"/>
      <c r="L8" s="1023"/>
      <c r="M8" s="1023"/>
      <c r="N8" s="1023"/>
      <c r="O8" s="1023"/>
      <c r="P8" s="1023"/>
      <c r="Q8" s="1023"/>
      <c r="R8" s="1023"/>
      <c r="S8" s="1023"/>
      <c r="T8" s="1023"/>
      <c r="U8" s="1023"/>
      <c r="V8" s="1023"/>
      <c r="W8" s="1023"/>
      <c r="X8" s="1023"/>
      <c r="Y8" s="1023"/>
      <c r="Z8" s="1023"/>
      <c r="AA8" s="1023"/>
      <c r="AB8" s="1023"/>
      <c r="AC8" s="1023"/>
      <c r="AD8" s="1023"/>
      <c r="AE8" s="1023"/>
      <c r="AF8" s="1023"/>
      <c r="AG8" s="1023"/>
      <c r="AH8" s="1023"/>
      <c r="AI8" s="1023"/>
      <c r="AJ8" s="1023"/>
      <c r="AK8" s="1023"/>
      <c r="AL8" s="1023"/>
      <c r="AM8" s="1023"/>
      <c r="AN8" s="1023"/>
      <c r="AO8" s="1023"/>
      <c r="AP8" s="1023"/>
      <c r="AQ8" s="1023"/>
      <c r="AR8" s="1023"/>
      <c r="AS8" s="1023"/>
      <c r="AT8" s="1023"/>
      <c r="AU8" s="1023"/>
      <c r="AV8" s="1023"/>
      <c r="AW8" s="1023"/>
      <c r="AX8" s="1023"/>
      <c r="AY8" s="1023"/>
      <c r="AZ8" s="1023"/>
      <c r="BA8" s="1023"/>
      <c r="BB8" s="1023"/>
      <c r="BC8" s="1023"/>
      <c r="BD8" s="1023"/>
      <c r="BE8" s="1023"/>
      <c r="BF8" s="1023"/>
      <c r="BG8" s="1023"/>
      <c r="BH8" s="1023"/>
      <c r="BI8" s="1023"/>
      <c r="BJ8" s="328"/>
      <c r="BK8" s="328"/>
      <c r="BL8" s="1024">
        <f>BP8</f>
        <v>6.0037383001946337E-3</v>
      </c>
      <c r="BN8" s="1081"/>
      <c r="BO8" s="1078"/>
      <c r="BP8" s="1085">
        <f>CS55*(1+BQ53)</f>
        <v>6.0037383001946337E-3</v>
      </c>
      <c r="BQ8" s="1082">
        <f>BP8*G6</f>
        <v>0.43544299147322435</v>
      </c>
      <c r="BR8" s="1085"/>
      <c r="BS8" s="1082"/>
      <c r="BT8" s="1078"/>
      <c r="BU8" s="1082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967</v>
      </c>
      <c r="BZ8" s="417" t="s">
        <v>968</v>
      </c>
      <c r="CA8" s="417" t="s">
        <v>275</v>
      </c>
      <c r="CB8" s="1018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6">
        <v>37364.451209178158</v>
      </c>
      <c r="CJ8" s="1130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909"/>
      <c r="C9" s="490"/>
      <c r="D9" s="489"/>
      <c r="E9" s="489" t="s">
        <v>951</v>
      </c>
      <c r="F9" s="489"/>
      <c r="G9" s="1019"/>
      <c r="H9" s="1019"/>
      <c r="I9" s="1019"/>
      <c r="J9" s="1019"/>
      <c r="K9" s="1019"/>
      <c r="L9" s="1019"/>
      <c r="M9" s="1019"/>
      <c r="N9" s="1019"/>
      <c r="O9" s="1019"/>
      <c r="P9" s="1019"/>
      <c r="Q9" s="1019"/>
      <c r="R9" s="1019"/>
      <c r="S9" s="1019"/>
      <c r="T9" s="1019"/>
      <c r="U9" s="1019"/>
      <c r="V9" s="1019"/>
      <c r="W9" s="1019"/>
      <c r="X9" s="1019"/>
      <c r="Y9" s="1019"/>
      <c r="Z9" s="1019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489"/>
      <c r="BK9" s="489"/>
      <c r="BL9" s="1020">
        <f>BR9</f>
        <v>1.8964873025072654E-3</v>
      </c>
      <c r="BN9" s="1081"/>
      <c r="BO9" s="1078"/>
      <c r="BP9" s="1085"/>
      <c r="BQ9" s="1082"/>
      <c r="BR9" s="1085">
        <f>CT55*(1+BS53)</f>
        <v>1.8964873025072654E-3</v>
      </c>
      <c r="BS9" s="1082">
        <f>BR9*G6</f>
        <v>0.13754965040164685</v>
      </c>
      <c r="BT9" s="1106"/>
      <c r="BU9" s="1082"/>
      <c r="BW9" s="1021" t="s">
        <v>276</v>
      </c>
      <c r="BX9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21" t="s">
        <v>969</v>
      </c>
      <c r="BZ9" s="1021" t="s">
        <v>970</v>
      </c>
      <c r="CA9" s="1022" t="s">
        <v>275</v>
      </c>
      <c r="CB9" s="1021" t="s">
        <v>275</v>
      </c>
      <c r="CC9" s="1022"/>
      <c r="CD9" s="1021"/>
      <c r="CE9" s="80"/>
      <c r="CF9" s="244" t="s">
        <v>50</v>
      </c>
      <c r="CG9" s="347">
        <v>5197.6132443555907</v>
      </c>
      <c r="CH9" s="347">
        <v>6727.4572369101443</v>
      </c>
      <c r="CI9" s="1067">
        <v>8186.7925913057998</v>
      </c>
      <c r="CJ9" s="1131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911"/>
      <c r="C10" s="912"/>
      <c r="D10" s="912"/>
      <c r="E10" s="912" t="s">
        <v>952</v>
      </c>
      <c r="F10" s="912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912"/>
      <c r="BK10" s="912"/>
      <c r="BL10" s="1025">
        <f>BT10</f>
        <v>1.1246594952300363E-3</v>
      </c>
      <c r="BN10" s="1103"/>
      <c r="BO10" s="1083"/>
      <c r="BP10" s="1104"/>
      <c r="BQ10" s="1084"/>
      <c r="BR10" s="1104"/>
      <c r="BS10" s="1084"/>
      <c r="BT10" s="1105">
        <f>CU55*(1+$BU$53)</f>
        <v>1.1246594952300363E-3</v>
      </c>
      <c r="BU10" s="1084">
        <f>BT10*G6</f>
        <v>8.1570026957347094E-2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971</v>
      </c>
      <c r="BZ10" s="417" t="s">
        <v>972</v>
      </c>
      <c r="CA10" s="417" t="s">
        <v>275</v>
      </c>
      <c r="CB10" s="1018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8">
        <v>18974.694526816245</v>
      </c>
      <c r="CJ10" s="1132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948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7">
        <f>BN11</f>
        <v>1.390288240196569E-2</v>
      </c>
      <c r="BN11" s="1081">
        <f>CR56*DwellingStocks!X19*(1+BO53)</f>
        <v>1.390288240196569E-2</v>
      </c>
      <c r="BO11" s="1078">
        <f>BN11*G11</f>
        <v>9.3531046829014766E-2</v>
      </c>
      <c r="BP11" s="1085"/>
      <c r="BQ11" s="1082"/>
      <c r="BR11" s="1078"/>
      <c r="BS11" s="1082"/>
      <c r="BT11" s="1106"/>
      <c r="BU11" s="1082"/>
      <c r="BW11" s="1021" t="s">
        <v>276</v>
      </c>
      <c r="BX11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21" t="s">
        <v>973</v>
      </c>
      <c r="BZ11" s="1021" t="s">
        <v>974</v>
      </c>
      <c r="CA11" s="1022" t="s">
        <v>275</v>
      </c>
      <c r="CB11" s="1021" t="s">
        <v>275</v>
      </c>
      <c r="CC11" s="1022"/>
      <c r="CD11" s="1021"/>
      <c r="CE11" s="80"/>
      <c r="CF11" s="244" t="s">
        <v>54</v>
      </c>
      <c r="CG11" s="347">
        <v>21709.86153487581</v>
      </c>
      <c r="CH11" s="347">
        <v>49420.927051735707</v>
      </c>
      <c r="CI11" s="1067">
        <v>54549.088898874157</v>
      </c>
      <c r="CJ11" s="1131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909"/>
      <c r="C12" s="490"/>
      <c r="D12" s="489"/>
      <c r="E12" s="489" t="s">
        <v>949</v>
      </c>
      <c r="F12" s="48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489"/>
      <c r="BK12" s="489"/>
      <c r="BL12" s="1020">
        <v>0</v>
      </c>
      <c r="BN12" s="1081"/>
      <c r="BO12" s="1078"/>
      <c r="BP12" s="1085"/>
      <c r="BQ12" s="1082"/>
      <c r="BR12" s="1078"/>
      <c r="BS12" s="1082"/>
      <c r="BT12" s="1106"/>
      <c r="BU12" s="1082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975</v>
      </c>
      <c r="BZ12" s="417" t="s">
        <v>976</v>
      </c>
      <c r="CA12" s="417" t="s">
        <v>275</v>
      </c>
      <c r="CB12" s="1018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8">
        <v>264765.40185365622</v>
      </c>
      <c r="CJ12" s="1132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910"/>
      <c r="C13" s="328"/>
      <c r="D13" s="328"/>
      <c r="E13" s="328" t="s">
        <v>950</v>
      </c>
      <c r="F13" s="328"/>
      <c r="G13" s="1023"/>
      <c r="H13" s="1023"/>
      <c r="I13" s="1023"/>
      <c r="J13" s="1023"/>
      <c r="K13" s="1023"/>
      <c r="L13" s="1023"/>
      <c r="M13" s="1023"/>
      <c r="N13" s="1023"/>
      <c r="O13" s="1023"/>
      <c r="P13" s="1023"/>
      <c r="Q13" s="1023"/>
      <c r="R13" s="1023"/>
      <c r="S13" s="1023"/>
      <c r="T13" s="1023"/>
      <c r="U13" s="1023"/>
      <c r="V13" s="1023"/>
      <c r="W13" s="1023"/>
      <c r="X13" s="1023"/>
      <c r="Y13" s="1023"/>
      <c r="Z13" s="1023"/>
      <c r="AA13" s="1023"/>
      <c r="AB13" s="1023"/>
      <c r="AC13" s="1023"/>
      <c r="AD13" s="1023"/>
      <c r="AE13" s="1023"/>
      <c r="AF13" s="1023"/>
      <c r="AG13" s="1023"/>
      <c r="AH13" s="1023"/>
      <c r="AI13" s="1023"/>
      <c r="AJ13" s="1023"/>
      <c r="AK13" s="1023"/>
      <c r="AL13" s="1023"/>
      <c r="AM13" s="1023"/>
      <c r="AN13" s="1023"/>
      <c r="AO13" s="1023"/>
      <c r="AP13" s="1023"/>
      <c r="AQ13" s="1023"/>
      <c r="AR13" s="1023"/>
      <c r="AS13" s="1023"/>
      <c r="AT13" s="1023"/>
      <c r="AU13" s="1023"/>
      <c r="AV13" s="1023"/>
      <c r="AW13" s="1023"/>
      <c r="AX13" s="1023"/>
      <c r="AY13" s="1023"/>
      <c r="AZ13" s="1023"/>
      <c r="BA13" s="1023"/>
      <c r="BB13" s="1023"/>
      <c r="BC13" s="1023"/>
      <c r="BD13" s="1023"/>
      <c r="BE13" s="1023"/>
      <c r="BF13" s="1023"/>
      <c r="BG13" s="1023"/>
      <c r="BH13" s="1023"/>
      <c r="BI13" s="1023"/>
      <c r="BJ13" s="328"/>
      <c r="BK13" s="328"/>
      <c r="BL13" s="1024">
        <f>BP13</f>
        <v>5.6050174742430028E-3</v>
      </c>
      <c r="BN13" s="1081"/>
      <c r="BO13" s="1078"/>
      <c r="BP13" s="1085">
        <f>CS56*(1+BQ53)</f>
        <v>5.6050174742430028E-3</v>
      </c>
      <c r="BQ13" s="1082">
        <f>BP13*G11</f>
        <v>3.770751537010391E-2</v>
      </c>
      <c r="BR13" s="1078"/>
      <c r="BS13" s="1082"/>
      <c r="BT13" s="1106"/>
      <c r="BU13" s="1082"/>
      <c r="BW13" s="1021" t="s">
        <v>276</v>
      </c>
      <c r="BX13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21" t="s">
        <v>977</v>
      </c>
      <c r="BZ13" s="1021" t="s">
        <v>978</v>
      </c>
      <c r="CA13" s="1022" t="s">
        <v>275</v>
      </c>
      <c r="CB13" s="1021" t="s">
        <v>275</v>
      </c>
      <c r="CC13" s="1022"/>
      <c r="CD13" s="1021"/>
      <c r="CF13" s="244" t="s">
        <v>58</v>
      </c>
      <c r="CG13" s="347">
        <v>47490.854787158918</v>
      </c>
      <c r="CH13" s="347">
        <v>175920.34461876052</v>
      </c>
      <c r="CI13" s="1067">
        <v>166984.19754801539</v>
      </c>
      <c r="CJ13" s="1131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909"/>
      <c r="C14" s="490"/>
      <c r="D14" s="489"/>
      <c r="E14" s="489" t="s">
        <v>951</v>
      </c>
      <c r="F14" s="489"/>
      <c r="G14" s="1019"/>
      <c r="H14" s="1019"/>
      <c r="I14" s="1019"/>
      <c r="J14" s="1019"/>
      <c r="K14" s="1019"/>
      <c r="L14" s="1019"/>
      <c r="M14" s="1019"/>
      <c r="N14" s="1019"/>
      <c r="O14" s="1019"/>
      <c r="P14" s="1019"/>
      <c r="Q14" s="1019"/>
      <c r="R14" s="1019"/>
      <c r="S14" s="1019"/>
      <c r="T14" s="1019"/>
      <c r="U14" s="1019"/>
      <c r="V14" s="1019"/>
      <c r="W14" s="1019"/>
      <c r="X14" s="1019"/>
      <c r="Y14" s="1019"/>
      <c r="Z14" s="1019"/>
      <c r="AA14" s="1019"/>
      <c r="AB14" s="1019"/>
      <c r="AC14" s="1019"/>
      <c r="AD14" s="1019"/>
      <c r="AE14" s="1019"/>
      <c r="AF14" s="1019"/>
      <c r="AG14" s="1019"/>
      <c r="AH14" s="1019"/>
      <c r="AI14" s="1019"/>
      <c r="AJ14" s="1019"/>
      <c r="AK14" s="1019"/>
      <c r="AL14" s="1019"/>
      <c r="AM14" s="1019"/>
      <c r="AN14" s="1019"/>
      <c r="AO14" s="1019"/>
      <c r="AP14" s="1019"/>
      <c r="AQ14" s="1019"/>
      <c r="AR14" s="1019"/>
      <c r="AS14" s="1019"/>
      <c r="AT14" s="1019"/>
      <c r="AU14" s="1019"/>
      <c r="AV14" s="1019"/>
      <c r="AW14" s="1019"/>
      <c r="AX14" s="1019"/>
      <c r="AY14" s="1019"/>
      <c r="AZ14" s="1019"/>
      <c r="BA14" s="1019"/>
      <c r="BB14" s="1019"/>
      <c r="BC14" s="1019"/>
      <c r="BD14" s="1019"/>
      <c r="BE14" s="1019"/>
      <c r="BF14" s="1019"/>
      <c r="BG14" s="1019"/>
      <c r="BH14" s="1019"/>
      <c r="BI14" s="1019"/>
      <c r="BJ14" s="489"/>
      <c r="BK14" s="489"/>
      <c r="BL14" s="1020">
        <f>BR14</f>
        <v>1.9909738745617356E-3</v>
      </c>
      <c r="BN14" s="1081"/>
      <c r="BO14" s="1078"/>
      <c r="BP14" s="1085"/>
      <c r="BQ14" s="1082"/>
      <c r="BR14" s="1078">
        <f>CT56*(1+BS53)</f>
        <v>1.9909738745617356E-3</v>
      </c>
      <c r="BS14" s="1082">
        <f>BR14*G11</f>
        <v>1.3394191600919378E-2</v>
      </c>
      <c r="BT14" s="1106"/>
      <c r="BU14" s="1082"/>
      <c r="BW14" s="1026" t="s">
        <v>276</v>
      </c>
      <c r="BX14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6" t="s">
        <v>979</v>
      </c>
      <c r="BZ14" s="1026" t="s">
        <v>980</v>
      </c>
      <c r="CA14" s="1026" t="s">
        <v>275</v>
      </c>
      <c r="CB14" s="1027" t="s">
        <v>275</v>
      </c>
      <c r="CC14" s="1026"/>
      <c r="CD14" s="1026"/>
      <c r="CE14" s="80"/>
      <c r="CF14" s="248" t="s">
        <v>60</v>
      </c>
      <c r="CG14" s="349">
        <v>23790.684938210514</v>
      </c>
      <c r="CH14" s="349">
        <v>85755.437936808186</v>
      </c>
      <c r="CI14" s="1068">
        <v>74836.881491341002</v>
      </c>
      <c r="CJ14" s="1132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911"/>
      <c r="C15" s="912"/>
      <c r="D15" s="912"/>
      <c r="E15" s="912" t="s">
        <v>952</v>
      </c>
      <c r="F15" s="912"/>
      <c r="G15" s="914"/>
      <c r="H15" s="914"/>
      <c r="I15" s="914"/>
      <c r="J15" s="914"/>
      <c r="K15" s="914"/>
      <c r="L15" s="914"/>
      <c r="M15" s="914"/>
      <c r="N15" s="914"/>
      <c r="O15" s="914"/>
      <c r="P15" s="914"/>
      <c r="Q15" s="914"/>
      <c r="R15" s="914"/>
      <c r="S15" s="914"/>
      <c r="T15" s="914"/>
      <c r="U15" s="914"/>
      <c r="V15" s="914"/>
      <c r="W15" s="914"/>
      <c r="X15" s="914"/>
      <c r="Y15" s="914"/>
      <c r="Z15" s="914"/>
      <c r="AA15" s="914"/>
      <c r="AB15" s="914"/>
      <c r="AC15" s="914"/>
      <c r="AD15" s="914"/>
      <c r="AE15" s="914"/>
      <c r="AF15" s="914"/>
      <c r="AG15" s="914"/>
      <c r="AH15" s="914"/>
      <c r="AI15" s="914"/>
      <c r="AJ15" s="914"/>
      <c r="AK15" s="914"/>
      <c r="AL15" s="914"/>
      <c r="AM15" s="914"/>
      <c r="AN15" s="914"/>
      <c r="AO15" s="914"/>
      <c r="AP15" s="914"/>
      <c r="AQ15" s="914"/>
      <c r="AR15" s="914"/>
      <c r="AS15" s="914"/>
      <c r="AT15" s="914"/>
      <c r="AU15" s="914"/>
      <c r="AV15" s="914"/>
      <c r="AW15" s="914"/>
      <c r="AX15" s="914"/>
      <c r="AY15" s="914"/>
      <c r="AZ15" s="914"/>
      <c r="BA15" s="914"/>
      <c r="BB15" s="914"/>
      <c r="BC15" s="914"/>
      <c r="BD15" s="914"/>
      <c r="BE15" s="914"/>
      <c r="BF15" s="914"/>
      <c r="BG15" s="914"/>
      <c r="BH15" s="914"/>
      <c r="BI15" s="914"/>
      <c r="BJ15" s="912"/>
      <c r="BK15" s="912"/>
      <c r="BL15" s="1025">
        <f>BT15</f>
        <v>6.8732754417621857E-4</v>
      </c>
      <c r="BN15" s="1081"/>
      <c r="BO15" s="1078"/>
      <c r="BP15" s="1085"/>
      <c r="BQ15" s="1082"/>
      <c r="BR15" s="1078"/>
      <c r="BS15" s="1082"/>
      <c r="BT15" s="1106">
        <f>CU56*(1+$BU$53)</f>
        <v>6.8732754417621857E-4</v>
      </c>
      <c r="BU15" s="1082">
        <f>BT15*G11</f>
        <v>4.6239666611959784E-3</v>
      </c>
      <c r="BW15" s="1021" t="s">
        <v>276</v>
      </c>
      <c r="BX15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21" t="s">
        <v>981</v>
      </c>
      <c r="BZ15" s="1021" t="s">
        <v>982</v>
      </c>
      <c r="CA15" s="1022" t="s">
        <v>275</v>
      </c>
      <c r="CB15" s="1021" t="s">
        <v>275</v>
      </c>
      <c r="CC15" s="1022"/>
      <c r="CD15" s="1021"/>
      <c r="CE15" s="80"/>
      <c r="CF15" s="244" t="s">
        <v>62</v>
      </c>
      <c r="CG15" s="347">
        <v>8010.7993972868508</v>
      </c>
      <c r="CH15" s="347">
        <v>38588.997221862926</v>
      </c>
      <c r="CI15" s="1067">
        <v>37368.747662299225</v>
      </c>
      <c r="CJ15" s="1131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948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7">
        <f>BN16</f>
        <v>2.2020740768316175E-2</v>
      </c>
      <c r="BN16" s="1099">
        <f>CR57*DwellingStocks!X20*(1+BO53)</f>
        <v>2.2020740768316175E-2</v>
      </c>
      <c r="BO16" s="1100">
        <f>BN16*G16</f>
        <v>0.32116106552102436</v>
      </c>
      <c r="BP16" s="1101"/>
      <c r="BQ16" s="1102"/>
      <c r="BR16" s="1100"/>
      <c r="BS16" s="1102"/>
      <c r="BT16" s="1107"/>
      <c r="BU16" s="1102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983</v>
      </c>
      <c r="BZ16" s="417" t="s">
        <v>984</v>
      </c>
      <c r="CA16" s="417" t="s">
        <v>275</v>
      </c>
      <c r="CB16" s="1018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9">
        <v>66469.176419880765</v>
      </c>
      <c r="CJ16" s="1132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909"/>
      <c r="C17" s="490"/>
      <c r="D17" s="489"/>
      <c r="E17" s="489" t="s">
        <v>949</v>
      </c>
      <c r="F17" s="489"/>
      <c r="G17" s="1019"/>
      <c r="H17" s="1019"/>
      <c r="I17" s="1019"/>
      <c r="J17" s="1019"/>
      <c r="K17" s="1019"/>
      <c r="L17" s="1019"/>
      <c r="M17" s="1019"/>
      <c r="N17" s="1019"/>
      <c r="O17" s="1019"/>
      <c r="P17" s="1019"/>
      <c r="Q17" s="1019"/>
      <c r="R17" s="1019"/>
      <c r="S17" s="1019"/>
      <c r="T17" s="1019"/>
      <c r="U17" s="1019"/>
      <c r="V17" s="1019"/>
      <c r="W17" s="1019"/>
      <c r="X17" s="1019"/>
      <c r="Y17" s="1019"/>
      <c r="Z17" s="1019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489"/>
      <c r="BK17" s="489"/>
      <c r="BL17" s="1020">
        <v>0</v>
      </c>
      <c r="BN17" s="1081"/>
      <c r="BO17" s="1078"/>
      <c r="BP17" s="1085"/>
      <c r="BQ17" s="1082"/>
      <c r="BR17" s="1078"/>
      <c r="BS17" s="1082"/>
      <c r="BT17" s="1106"/>
      <c r="BU17" s="1082"/>
      <c r="BW17" s="1021" t="s">
        <v>276</v>
      </c>
      <c r="BX17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21" t="s">
        <v>985</v>
      </c>
      <c r="BZ17" s="1021" t="s">
        <v>986</v>
      </c>
      <c r="CA17" s="1022" t="s">
        <v>275</v>
      </c>
      <c r="CB17" s="1021" t="s">
        <v>275</v>
      </c>
      <c r="CC17" s="1022"/>
      <c r="CD17" s="1021"/>
      <c r="CE17" s="80"/>
      <c r="CF17" s="261" t="s">
        <v>218</v>
      </c>
      <c r="CG17" s="352">
        <v>211739.48952455298</v>
      </c>
      <c r="CH17" s="352">
        <v>776104.35365928081</v>
      </c>
      <c r="CI17" s="1122">
        <v>729499.43220136687</v>
      </c>
      <c r="CJ17" s="1133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910"/>
      <c r="C18" s="328"/>
      <c r="D18" s="328"/>
      <c r="E18" s="328" t="s">
        <v>950</v>
      </c>
      <c r="F18" s="328"/>
      <c r="G18" s="1023"/>
      <c r="H18" s="1023"/>
      <c r="I18" s="1023"/>
      <c r="J18" s="1023"/>
      <c r="K18" s="1023"/>
      <c r="L18" s="1023"/>
      <c r="M18" s="1023"/>
      <c r="N18" s="1023"/>
      <c r="O18" s="1023"/>
      <c r="P18" s="1023"/>
      <c r="Q18" s="1023"/>
      <c r="R18" s="1023"/>
      <c r="S18" s="1023"/>
      <c r="T18" s="1023"/>
      <c r="U18" s="1023"/>
      <c r="V18" s="1023"/>
      <c r="W18" s="1023"/>
      <c r="X18" s="1023"/>
      <c r="Y18" s="1023"/>
      <c r="Z18" s="1023"/>
      <c r="AA18" s="1023"/>
      <c r="AB18" s="1023"/>
      <c r="AC18" s="1023"/>
      <c r="AD18" s="1023"/>
      <c r="AE18" s="1023"/>
      <c r="AF18" s="1023"/>
      <c r="AG18" s="1023"/>
      <c r="AH18" s="1023"/>
      <c r="AI18" s="1023"/>
      <c r="AJ18" s="1023"/>
      <c r="AK18" s="1023"/>
      <c r="AL18" s="1023"/>
      <c r="AM18" s="1023"/>
      <c r="AN18" s="1023"/>
      <c r="AO18" s="1023"/>
      <c r="AP18" s="1023"/>
      <c r="AQ18" s="1023"/>
      <c r="AR18" s="1023"/>
      <c r="AS18" s="1023"/>
      <c r="AT18" s="1023"/>
      <c r="AU18" s="1023"/>
      <c r="AV18" s="1023"/>
      <c r="AW18" s="1023"/>
      <c r="AX18" s="1023"/>
      <c r="AY18" s="1023"/>
      <c r="AZ18" s="1023"/>
      <c r="BA18" s="1023"/>
      <c r="BB18" s="1023"/>
      <c r="BC18" s="1023"/>
      <c r="BD18" s="1023"/>
      <c r="BE18" s="1023"/>
      <c r="BF18" s="1023"/>
      <c r="BG18" s="1023"/>
      <c r="BH18" s="1023"/>
      <c r="BI18" s="1023"/>
      <c r="BJ18" s="328"/>
      <c r="BK18" s="328"/>
      <c r="BL18" s="1024">
        <f>BP18</f>
        <v>8.3034190923224459E-3</v>
      </c>
      <c r="BN18" s="1081"/>
      <c r="BO18" s="1078"/>
      <c r="BP18" s="1085">
        <f>CS57*(1+BQ53)</f>
        <v>8.3034190923224459E-3</v>
      </c>
      <c r="BQ18" s="1082">
        <f>BP18*G16</f>
        <v>0.12110105428400657</v>
      </c>
      <c r="BR18" s="1078"/>
      <c r="BS18" s="1082"/>
      <c r="BT18" s="1106"/>
      <c r="BU18" s="1082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987</v>
      </c>
      <c r="BZ18" s="417" t="s">
        <v>988</v>
      </c>
      <c r="CA18" s="417" t="s">
        <v>275</v>
      </c>
      <c r="CB18" s="1018" t="s">
        <v>275</v>
      </c>
      <c r="CC18" s="417"/>
      <c r="CD18" s="417"/>
      <c r="CE18" s="80"/>
      <c r="CF18" s="1028" t="s">
        <v>888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909"/>
      <c r="C19" s="490"/>
      <c r="D19" s="489"/>
      <c r="E19" s="489" t="s">
        <v>951</v>
      </c>
      <c r="F19" s="489"/>
      <c r="G19" s="1019"/>
      <c r="H19" s="1019"/>
      <c r="I19" s="1019"/>
      <c r="J19" s="1019"/>
      <c r="K19" s="1019"/>
      <c r="L19" s="1019"/>
      <c r="M19" s="1019"/>
      <c r="N19" s="1019"/>
      <c r="O19" s="1019"/>
      <c r="P19" s="1019"/>
      <c r="Q19" s="1019"/>
      <c r="R19" s="1019"/>
      <c r="S19" s="1019"/>
      <c r="T19" s="1019"/>
      <c r="U19" s="1019"/>
      <c r="V19" s="1019"/>
      <c r="W19" s="1019"/>
      <c r="X19" s="1019"/>
      <c r="Y19" s="1019"/>
      <c r="Z19" s="1019"/>
      <c r="AA19" s="1019"/>
      <c r="AB19" s="1019"/>
      <c r="AC19" s="1019"/>
      <c r="AD19" s="1019"/>
      <c r="AE19" s="1019"/>
      <c r="AF19" s="1019"/>
      <c r="AG19" s="1019"/>
      <c r="AH19" s="1019"/>
      <c r="AI19" s="1019"/>
      <c r="AJ19" s="1019"/>
      <c r="AK19" s="1019"/>
      <c r="AL19" s="1019"/>
      <c r="AM19" s="1019"/>
      <c r="AN19" s="1019"/>
      <c r="AO19" s="1019"/>
      <c r="AP19" s="1019"/>
      <c r="AQ19" s="1019"/>
      <c r="AR19" s="1019"/>
      <c r="AS19" s="1019"/>
      <c r="AT19" s="1019"/>
      <c r="AU19" s="1019"/>
      <c r="AV19" s="1019"/>
      <c r="AW19" s="1019"/>
      <c r="AX19" s="1019"/>
      <c r="AY19" s="1019"/>
      <c r="AZ19" s="1019"/>
      <c r="BA19" s="1019"/>
      <c r="BB19" s="1019"/>
      <c r="BC19" s="1019"/>
      <c r="BD19" s="1019"/>
      <c r="BE19" s="1019"/>
      <c r="BF19" s="1019"/>
      <c r="BG19" s="1019"/>
      <c r="BH19" s="1019"/>
      <c r="BI19" s="1019"/>
      <c r="BJ19" s="489"/>
      <c r="BK19" s="489"/>
      <c r="BL19" s="1020">
        <f>BR19</f>
        <v>2.3881334764618376E-3</v>
      </c>
      <c r="BN19" s="1081"/>
      <c r="BO19" s="1078"/>
      <c r="BP19" s="1085"/>
      <c r="BQ19" s="1082"/>
      <c r="BR19" s="1078">
        <f>CT57*(1+BS53)</f>
        <v>2.3881334764618376E-3</v>
      </c>
      <c r="BS19" s="1082">
        <f>BR19*G16</f>
        <v>3.482968624790541E-2</v>
      </c>
      <c r="BT19" s="1106"/>
      <c r="BU19" s="1082"/>
      <c r="BW19" s="1021" t="s">
        <v>276</v>
      </c>
      <c r="BX19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21" t="s">
        <v>989</v>
      </c>
      <c r="BZ19" s="1021" t="s">
        <v>990</v>
      </c>
      <c r="CA19" s="1022" t="s">
        <v>275</v>
      </c>
      <c r="CB19" s="1021" t="s">
        <v>275</v>
      </c>
      <c r="CC19" s="1022"/>
      <c r="CD19" s="1021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911"/>
      <c r="C20" s="912"/>
      <c r="D20" s="912"/>
      <c r="E20" s="912" t="s">
        <v>952</v>
      </c>
      <c r="F20" s="912"/>
      <c r="G20" s="914"/>
      <c r="H20" s="914"/>
      <c r="I20" s="914"/>
      <c r="J20" s="914"/>
      <c r="K20" s="914"/>
      <c r="L20" s="914"/>
      <c r="M20" s="914"/>
      <c r="N20" s="914"/>
      <c r="O20" s="914"/>
      <c r="P20" s="914"/>
      <c r="Q20" s="914"/>
      <c r="R20" s="914"/>
      <c r="S20" s="914"/>
      <c r="T20" s="914"/>
      <c r="U20" s="914"/>
      <c r="V20" s="914"/>
      <c r="W20" s="914"/>
      <c r="X20" s="914"/>
      <c r="Y20" s="914"/>
      <c r="Z20" s="914"/>
      <c r="AA20" s="914"/>
      <c r="AB20" s="914"/>
      <c r="AC20" s="914"/>
      <c r="AD20" s="914"/>
      <c r="AE20" s="914"/>
      <c r="AF20" s="914"/>
      <c r="AG20" s="914"/>
      <c r="AH20" s="914"/>
      <c r="AI20" s="914"/>
      <c r="AJ20" s="914"/>
      <c r="AK20" s="914"/>
      <c r="AL20" s="914"/>
      <c r="AM20" s="914"/>
      <c r="AN20" s="914"/>
      <c r="AO20" s="914"/>
      <c r="AP20" s="914"/>
      <c r="AQ20" s="914"/>
      <c r="AR20" s="914"/>
      <c r="AS20" s="914"/>
      <c r="AT20" s="914"/>
      <c r="AU20" s="914"/>
      <c r="AV20" s="914"/>
      <c r="AW20" s="914"/>
      <c r="AX20" s="914"/>
      <c r="AY20" s="914"/>
      <c r="AZ20" s="914"/>
      <c r="BA20" s="914"/>
      <c r="BB20" s="914"/>
      <c r="BC20" s="914"/>
      <c r="BD20" s="914"/>
      <c r="BE20" s="914"/>
      <c r="BF20" s="914"/>
      <c r="BG20" s="914"/>
      <c r="BH20" s="914"/>
      <c r="BI20" s="914"/>
      <c r="BJ20" s="912"/>
      <c r="BK20" s="912"/>
      <c r="BL20" s="1025">
        <f>BT20</f>
        <v>6.5594066846464739E-4</v>
      </c>
      <c r="BN20" s="1103"/>
      <c r="BO20" s="1083"/>
      <c r="BP20" s="1104"/>
      <c r="BQ20" s="1084"/>
      <c r="BR20" s="1083"/>
      <c r="BS20" s="1084"/>
      <c r="BT20" s="1105">
        <f>CU57*(1+$BU$53)</f>
        <v>6.5594066846464739E-4</v>
      </c>
      <c r="BU20" s="1084">
        <f>BT20*G16</f>
        <v>9.5665539238254937E-3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991</v>
      </c>
      <c r="BZ20" s="417" t="s">
        <v>992</v>
      </c>
      <c r="CA20" s="417" t="s">
        <v>275</v>
      </c>
      <c r="CB20" s="1018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948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7">
        <f>BN21</f>
        <v>2.6341835741075181E-2</v>
      </c>
      <c r="BN21" s="1081">
        <f>CR58*DwellingStocks!X21*(1+BO53)</f>
        <v>2.6341835741075181E-2</v>
      </c>
      <c r="BO21" s="1078">
        <f>BN21*G21</f>
        <v>1.301837942568481</v>
      </c>
      <c r="BP21" s="1085"/>
      <c r="BQ21" s="1082"/>
      <c r="BR21" s="1078"/>
      <c r="BS21" s="1082"/>
      <c r="BT21" s="1106"/>
      <c r="BU21" s="1082"/>
      <c r="BW21" s="1021" t="s">
        <v>276</v>
      </c>
      <c r="BX21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21" t="s">
        <v>993</v>
      </c>
      <c r="BZ21" s="1021" t="s">
        <v>994</v>
      </c>
      <c r="CA21" s="1022" t="s">
        <v>275</v>
      </c>
      <c r="CB21" s="1021" t="s">
        <v>275</v>
      </c>
      <c r="CC21" s="1022"/>
      <c r="CD21" s="1021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909"/>
      <c r="C22" s="490"/>
      <c r="D22" s="489"/>
      <c r="E22" s="489" t="s">
        <v>949</v>
      </c>
      <c r="F22" s="489"/>
      <c r="G22" s="1019"/>
      <c r="H22" s="1019"/>
      <c r="I22" s="1019"/>
      <c r="J22" s="1019"/>
      <c r="K22" s="1019"/>
      <c r="L22" s="1019"/>
      <c r="M22" s="1019"/>
      <c r="N22" s="1019"/>
      <c r="O22" s="1019"/>
      <c r="P22" s="1019"/>
      <c r="Q22" s="1019"/>
      <c r="R22" s="1019"/>
      <c r="S22" s="1019"/>
      <c r="T22" s="1019"/>
      <c r="U22" s="1019"/>
      <c r="V22" s="1019"/>
      <c r="W22" s="1019"/>
      <c r="X22" s="1019"/>
      <c r="Y22" s="1019"/>
      <c r="Z22" s="1019"/>
      <c r="AA22" s="1019"/>
      <c r="AB22" s="1019"/>
      <c r="AC22" s="1019"/>
      <c r="AD22" s="1019"/>
      <c r="AE22" s="1019"/>
      <c r="AF22" s="1019"/>
      <c r="AG22" s="1019"/>
      <c r="AH22" s="1019"/>
      <c r="AI22" s="1019"/>
      <c r="AJ22" s="1019"/>
      <c r="AK22" s="1019"/>
      <c r="AL22" s="1019"/>
      <c r="AM22" s="1019"/>
      <c r="AN22" s="1019"/>
      <c r="AO22" s="1019"/>
      <c r="AP22" s="1019"/>
      <c r="AQ22" s="1019"/>
      <c r="AR22" s="1019"/>
      <c r="AS22" s="1019"/>
      <c r="AT22" s="1019"/>
      <c r="AU22" s="1019"/>
      <c r="AV22" s="1019"/>
      <c r="AW22" s="1019"/>
      <c r="AX22" s="1019"/>
      <c r="AY22" s="1019"/>
      <c r="AZ22" s="1019"/>
      <c r="BA22" s="1019"/>
      <c r="BB22" s="1019"/>
      <c r="BC22" s="1019"/>
      <c r="BD22" s="1019"/>
      <c r="BE22" s="1019"/>
      <c r="BF22" s="1019"/>
      <c r="BG22" s="1019"/>
      <c r="BH22" s="1019"/>
      <c r="BI22" s="1019"/>
      <c r="BJ22" s="489"/>
      <c r="BK22" s="489"/>
      <c r="BL22" s="1020">
        <v>0</v>
      </c>
      <c r="BN22" s="1081"/>
      <c r="BO22" s="1078"/>
      <c r="BP22" s="1085"/>
      <c r="BQ22" s="1082"/>
      <c r="BR22" s="1078"/>
      <c r="BS22" s="1082"/>
      <c r="BT22" s="1106"/>
      <c r="BU22" s="1082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995</v>
      </c>
      <c r="BZ22" s="417" t="s">
        <v>996</v>
      </c>
      <c r="CA22" s="417" t="s">
        <v>275</v>
      </c>
      <c r="CB22" s="1018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910"/>
      <c r="C23" s="328"/>
      <c r="D23" s="328"/>
      <c r="E23" s="328" t="s">
        <v>950</v>
      </c>
      <c r="F23" s="328"/>
      <c r="G23" s="1023"/>
      <c r="H23" s="1023"/>
      <c r="I23" s="1023"/>
      <c r="J23" s="1023"/>
      <c r="K23" s="1023"/>
      <c r="L23" s="1023"/>
      <c r="M23" s="1023"/>
      <c r="N23" s="1023"/>
      <c r="O23" s="1023"/>
      <c r="P23" s="1023"/>
      <c r="Q23" s="1023"/>
      <c r="R23" s="1023"/>
      <c r="S23" s="1023"/>
      <c r="T23" s="1023"/>
      <c r="U23" s="1023"/>
      <c r="V23" s="1023"/>
      <c r="W23" s="1023"/>
      <c r="X23" s="1023"/>
      <c r="Y23" s="1023"/>
      <c r="Z23" s="1023"/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328"/>
      <c r="BK23" s="328"/>
      <c r="BL23" s="1024">
        <f>BP23</f>
        <v>9.2480595950961333E-3</v>
      </c>
      <c r="BN23" s="1081"/>
      <c r="BO23" s="1078"/>
      <c r="BP23" s="1085">
        <f>CS58*(1+BQ53)</f>
        <v>9.2480595950961333E-3</v>
      </c>
      <c r="BQ23" s="1082">
        <f>BP23*G21</f>
        <v>0.45704767861935047</v>
      </c>
      <c r="BR23" s="1078"/>
      <c r="BS23" s="1082"/>
      <c r="BT23" s="1106"/>
      <c r="BU23" s="1082"/>
      <c r="BW23" s="1029" t="s">
        <v>276</v>
      </c>
      <c r="BX23" s="1029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9" t="s">
        <v>997</v>
      </c>
      <c r="BZ23" s="1029" t="s">
        <v>998</v>
      </c>
      <c r="CA23" s="1030" t="s">
        <v>275</v>
      </c>
      <c r="CB23" s="1029" t="s">
        <v>275</v>
      </c>
      <c r="CC23" s="1030"/>
      <c r="CD23" s="1029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909"/>
      <c r="C24" s="490"/>
      <c r="D24" s="489"/>
      <c r="E24" s="489" t="s">
        <v>951</v>
      </c>
      <c r="F24" s="489"/>
      <c r="G24" s="1019"/>
      <c r="H24" s="1019"/>
      <c r="I24" s="1019"/>
      <c r="J24" s="1019"/>
      <c r="K24" s="1019"/>
      <c r="L24" s="1019"/>
      <c r="M24" s="1019"/>
      <c r="N24" s="1019"/>
      <c r="O24" s="1019"/>
      <c r="P24" s="1019"/>
      <c r="Q24" s="1019"/>
      <c r="R24" s="1019"/>
      <c r="S24" s="1019"/>
      <c r="T24" s="1019"/>
      <c r="U24" s="1019"/>
      <c r="V24" s="1019"/>
      <c r="W24" s="1019"/>
      <c r="X24" s="1019"/>
      <c r="Y24" s="1019"/>
      <c r="Z24" s="1019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489"/>
      <c r="BK24" s="489"/>
      <c r="BL24" s="1020">
        <f>BR24</f>
        <v>2.4507102977072682E-3</v>
      </c>
      <c r="BN24" s="1081"/>
      <c r="BO24" s="1078"/>
      <c r="BP24" s="1085"/>
      <c r="BQ24" s="1082"/>
      <c r="BR24" s="1078">
        <f>CT58*(1+BS53)</f>
        <v>2.4507102977072682E-3</v>
      </c>
      <c r="BS24" s="1082">
        <f>BR24*G21</f>
        <v>0.12111637484792841</v>
      </c>
      <c r="BT24" s="1106"/>
      <c r="BU24" s="1082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999</v>
      </c>
      <c r="BZ24" s="417" t="s">
        <v>1000</v>
      </c>
      <c r="CA24" s="417" t="s">
        <v>275</v>
      </c>
      <c r="CB24" s="1018" t="s">
        <v>275</v>
      </c>
      <c r="CC24" s="417"/>
      <c r="CD24" s="417"/>
      <c r="CE24" s="80"/>
      <c r="CF24" s="1245" t="s">
        <v>1116</v>
      </c>
      <c r="CG24" s="1246"/>
      <c r="CH24" s="1246"/>
      <c r="CI24" s="1246"/>
      <c r="CJ24" s="1246"/>
      <c r="CK24" s="1255" t="s">
        <v>1117</v>
      </c>
      <c r="CL24" s="1234" t="s">
        <v>1121</v>
      </c>
      <c r="CM24" s="1235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911"/>
      <c r="C25" s="912"/>
      <c r="D25" s="912"/>
      <c r="E25" s="912" t="s">
        <v>952</v>
      </c>
      <c r="F25" s="912"/>
      <c r="G25" s="914"/>
      <c r="H25" s="914"/>
      <c r="I25" s="914"/>
      <c r="J25" s="914"/>
      <c r="K25" s="914"/>
      <c r="L25" s="914"/>
      <c r="M25" s="914"/>
      <c r="N25" s="914"/>
      <c r="O25" s="914"/>
      <c r="P25" s="914"/>
      <c r="Q25" s="914"/>
      <c r="R25" s="914"/>
      <c r="S25" s="914"/>
      <c r="T25" s="914"/>
      <c r="U25" s="914"/>
      <c r="V25" s="914"/>
      <c r="W25" s="914"/>
      <c r="X25" s="914"/>
      <c r="Y25" s="914"/>
      <c r="Z25" s="914"/>
      <c r="AA25" s="914"/>
      <c r="AB25" s="914"/>
      <c r="AC25" s="914"/>
      <c r="AD25" s="914"/>
      <c r="AE25" s="914"/>
      <c r="AF25" s="914"/>
      <c r="AG25" s="914"/>
      <c r="AH25" s="914"/>
      <c r="AI25" s="914"/>
      <c r="AJ25" s="914"/>
      <c r="AK25" s="914"/>
      <c r="AL25" s="914"/>
      <c r="AM25" s="914"/>
      <c r="AN25" s="914"/>
      <c r="AO25" s="914"/>
      <c r="AP25" s="914"/>
      <c r="AQ25" s="914"/>
      <c r="AR25" s="914"/>
      <c r="AS25" s="914"/>
      <c r="AT25" s="914"/>
      <c r="AU25" s="914"/>
      <c r="AV25" s="914"/>
      <c r="AW25" s="914"/>
      <c r="AX25" s="914"/>
      <c r="AY25" s="914"/>
      <c r="AZ25" s="914"/>
      <c r="BA25" s="914"/>
      <c r="BB25" s="914"/>
      <c r="BC25" s="914"/>
      <c r="BD25" s="914"/>
      <c r="BE25" s="914"/>
      <c r="BF25" s="914"/>
      <c r="BG25" s="914"/>
      <c r="BH25" s="914"/>
      <c r="BI25" s="914"/>
      <c r="BJ25" s="912"/>
      <c r="BK25" s="912"/>
      <c r="BL25" s="1025">
        <f>BT25</f>
        <v>6.4102886625561225E-4</v>
      </c>
      <c r="BN25" s="1081"/>
      <c r="BO25" s="1078"/>
      <c r="BP25" s="1085"/>
      <c r="BQ25" s="1082"/>
      <c r="BR25" s="1078"/>
      <c r="BS25" s="1082"/>
      <c r="BT25" s="1106">
        <f>CU58*(1+$BU$53)</f>
        <v>6.4102886625561225E-4</v>
      </c>
      <c r="BU25" s="1082">
        <f>BT25*G21</f>
        <v>3.1680240837275463E-2</v>
      </c>
      <c r="BW25" s="1021" t="s">
        <v>276</v>
      </c>
      <c r="BX25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21" t="s">
        <v>1001</v>
      </c>
      <c r="BZ25" s="1021" t="s">
        <v>1002</v>
      </c>
      <c r="CA25" s="1022" t="s">
        <v>275</v>
      </c>
      <c r="CB25" s="1021" t="s">
        <v>275</v>
      </c>
      <c r="CC25" s="1022"/>
      <c r="CD25" s="1021"/>
      <c r="CE25" s="80"/>
      <c r="CF25" s="257" t="s">
        <v>889</v>
      </c>
      <c r="CG25" s="257" t="s">
        <v>889</v>
      </c>
      <c r="CH25" s="1250" t="s">
        <v>890</v>
      </c>
      <c r="CI25" s="1251"/>
      <c r="CJ25" s="1251"/>
      <c r="CK25" s="1256"/>
      <c r="CL25" s="1236"/>
      <c r="CM25" s="1237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948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7">
        <f>BN26</f>
        <v>2.2419471808582819E-2</v>
      </c>
      <c r="BN26" s="1099">
        <f>CR59*DwellingStocks!X22*(1+BO53)</f>
        <v>2.2419471808582819E-2</v>
      </c>
      <c r="BO26" s="1100">
        <f>BN26*G26</f>
        <v>6.58399261926452</v>
      </c>
      <c r="BP26" s="1101"/>
      <c r="BQ26" s="1102"/>
      <c r="BR26" s="1100"/>
      <c r="BS26" s="1102"/>
      <c r="BT26" s="1107"/>
      <c r="BU26" s="1102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1003</v>
      </c>
      <c r="BZ26" s="417" t="s">
        <v>1004</v>
      </c>
      <c r="CA26" s="417" t="s">
        <v>275</v>
      </c>
      <c r="CB26" s="1018" t="s">
        <v>275</v>
      </c>
      <c r="CC26" s="417"/>
      <c r="CD26" s="417"/>
      <c r="CF26" s="1047" t="s">
        <v>48</v>
      </c>
      <c r="CG26" s="1173">
        <f>IFERROR(($CG$35*CK26)/(CJ8/$CJ$17),0)</f>
        <v>0</v>
      </c>
      <c r="CH26" s="1238">
        <f>$CL$26*(1-CG26)^($CL$28-$CL$27)/100</f>
        <v>1</v>
      </c>
      <c r="CI26" s="1239"/>
      <c r="CJ26" s="1240"/>
      <c r="CK26" s="1166">
        <v>0</v>
      </c>
      <c r="CL26" s="1170">
        <v>100</v>
      </c>
      <c r="CM26" s="377" t="s">
        <v>1118</v>
      </c>
      <c r="CN26" s="80"/>
      <c r="CO26" s="80"/>
    </row>
    <row r="27" spans="2:140" ht="15">
      <c r="B27" s="909"/>
      <c r="C27" s="490"/>
      <c r="D27" s="489"/>
      <c r="E27" s="489" t="s">
        <v>949</v>
      </c>
      <c r="F27" s="489"/>
      <c r="G27" s="1019"/>
      <c r="H27" s="1019"/>
      <c r="I27" s="1019"/>
      <c r="J27" s="1019"/>
      <c r="K27" s="1019"/>
      <c r="L27" s="1019"/>
      <c r="M27" s="1019"/>
      <c r="N27" s="1019"/>
      <c r="O27" s="1019"/>
      <c r="P27" s="1019"/>
      <c r="Q27" s="1019"/>
      <c r="R27" s="1019"/>
      <c r="S27" s="1019"/>
      <c r="T27" s="1019"/>
      <c r="U27" s="1019"/>
      <c r="V27" s="1019"/>
      <c r="W27" s="1019"/>
      <c r="X27" s="1019"/>
      <c r="Y27" s="1019"/>
      <c r="Z27" s="1019"/>
      <c r="AA27" s="1019"/>
      <c r="AB27" s="1019"/>
      <c r="AC27" s="1019"/>
      <c r="AD27" s="1019"/>
      <c r="AE27" s="1019"/>
      <c r="AF27" s="1019"/>
      <c r="AG27" s="1019"/>
      <c r="AH27" s="1019"/>
      <c r="AI27" s="1019"/>
      <c r="AJ27" s="1019"/>
      <c r="AK27" s="1019"/>
      <c r="AL27" s="1019"/>
      <c r="AM27" s="1019"/>
      <c r="AN27" s="1019"/>
      <c r="AO27" s="1019"/>
      <c r="AP27" s="1019"/>
      <c r="AQ27" s="1019"/>
      <c r="AR27" s="1019"/>
      <c r="AS27" s="1019"/>
      <c r="AT27" s="1019"/>
      <c r="AU27" s="1019"/>
      <c r="AV27" s="1019"/>
      <c r="AW27" s="1019"/>
      <c r="AX27" s="1019"/>
      <c r="AY27" s="1019"/>
      <c r="AZ27" s="1019"/>
      <c r="BA27" s="1019"/>
      <c r="BB27" s="1019"/>
      <c r="BC27" s="1019"/>
      <c r="BD27" s="1019"/>
      <c r="BE27" s="1019"/>
      <c r="BF27" s="1019"/>
      <c r="BG27" s="1019"/>
      <c r="BH27" s="1019"/>
      <c r="BI27" s="1019"/>
      <c r="BJ27" s="489"/>
      <c r="BK27" s="489"/>
      <c r="BL27" s="1020">
        <v>0</v>
      </c>
      <c r="BN27" s="1081"/>
      <c r="BO27" s="1078"/>
      <c r="BP27" s="1085"/>
      <c r="BQ27" s="1082"/>
      <c r="BR27" s="1078"/>
      <c r="BS27" s="1082"/>
      <c r="BT27" s="1106"/>
      <c r="BU27" s="1082"/>
      <c r="BW27" s="1021" t="s">
        <v>276</v>
      </c>
      <c r="BX27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21" t="s">
        <v>1005</v>
      </c>
      <c r="BZ27" s="1021" t="s">
        <v>1006</v>
      </c>
      <c r="CA27" s="1022" t="s">
        <v>275</v>
      </c>
      <c r="CB27" s="1021" t="s">
        <v>275</v>
      </c>
      <c r="CC27" s="1022"/>
      <c r="CD27" s="1021"/>
      <c r="CF27" s="1048" t="s">
        <v>50</v>
      </c>
      <c r="CG27" s="1173">
        <f t="shared" ref="CG27:CG31" si="0">IFERROR(($CG$35*CK27)/(CJ9/$CJ$17),0)</f>
        <v>0</v>
      </c>
      <c r="CH27" s="1238">
        <f t="shared" ref="CH27:CH32" si="1">$CL$26*(1-CG27)^($CL$28-$CL$27)/100</f>
        <v>1</v>
      </c>
      <c r="CI27" s="1239"/>
      <c r="CJ27" s="1240"/>
      <c r="CK27" s="1166">
        <v>0</v>
      </c>
      <c r="CL27" s="1170">
        <v>2018</v>
      </c>
      <c r="CM27" s="377" t="s">
        <v>1119</v>
      </c>
      <c r="CN27" s="80"/>
      <c r="CO27" s="80"/>
    </row>
    <row r="28" spans="2:140" ht="15.75" thickBot="1">
      <c r="B28" s="910"/>
      <c r="C28" s="328"/>
      <c r="D28" s="328"/>
      <c r="E28" s="328" t="s">
        <v>950</v>
      </c>
      <c r="F28" s="328"/>
      <c r="G28" s="1023"/>
      <c r="H28" s="1023"/>
      <c r="I28" s="1023"/>
      <c r="J28" s="1023"/>
      <c r="K28" s="1023"/>
      <c r="L28" s="1023"/>
      <c r="M28" s="1023"/>
      <c r="N28" s="1023"/>
      <c r="O28" s="1023"/>
      <c r="P28" s="1023"/>
      <c r="Q28" s="1023"/>
      <c r="R28" s="1023"/>
      <c r="S28" s="1023"/>
      <c r="T28" s="1023"/>
      <c r="U28" s="1023"/>
      <c r="V28" s="1023"/>
      <c r="W28" s="1023"/>
      <c r="X28" s="1023"/>
      <c r="Y28" s="1023"/>
      <c r="Z28" s="1023"/>
      <c r="AA28" s="1023"/>
      <c r="AB28" s="1023"/>
      <c r="AC28" s="1023"/>
      <c r="AD28" s="1023"/>
      <c r="AE28" s="1023"/>
      <c r="AF28" s="1023"/>
      <c r="AG28" s="1023"/>
      <c r="AH28" s="1023"/>
      <c r="AI28" s="1023"/>
      <c r="AJ28" s="1023"/>
      <c r="AK28" s="1023"/>
      <c r="AL28" s="1023"/>
      <c r="AM28" s="1023"/>
      <c r="AN28" s="1023"/>
      <c r="AO28" s="1023"/>
      <c r="AP28" s="1023"/>
      <c r="AQ28" s="1023"/>
      <c r="AR28" s="1023"/>
      <c r="AS28" s="1023"/>
      <c r="AT28" s="1023"/>
      <c r="AU28" s="1023"/>
      <c r="AV28" s="1023"/>
      <c r="AW28" s="1023"/>
      <c r="AX28" s="1023"/>
      <c r="AY28" s="1023"/>
      <c r="AZ28" s="1023"/>
      <c r="BA28" s="1023"/>
      <c r="BB28" s="1023"/>
      <c r="BC28" s="1023"/>
      <c r="BD28" s="1023"/>
      <c r="BE28" s="1023"/>
      <c r="BF28" s="1023"/>
      <c r="BG28" s="1023"/>
      <c r="BH28" s="1023"/>
      <c r="BI28" s="1023"/>
      <c r="BJ28" s="328"/>
      <c r="BK28" s="328"/>
      <c r="BL28" s="1024">
        <f>BP28</f>
        <v>1.0386627294257844E-2</v>
      </c>
      <c r="BN28" s="1081"/>
      <c r="BO28" s="1078"/>
      <c r="BP28" s="1085">
        <f>CS59*(1+BQ53)</f>
        <v>1.0386627294257844E-2</v>
      </c>
      <c r="BQ28" s="1082">
        <f>BP28*G26</f>
        <v>3.0502715687648418</v>
      </c>
      <c r="BR28" s="1078"/>
      <c r="BS28" s="1082"/>
      <c r="BT28" s="1106"/>
      <c r="BU28" s="1082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1007</v>
      </c>
      <c r="BZ28" s="417" t="s">
        <v>1008</v>
      </c>
      <c r="CA28" s="417" t="s">
        <v>275</v>
      </c>
      <c r="CB28" s="1018" t="s">
        <v>275</v>
      </c>
      <c r="CC28" s="417"/>
      <c r="CD28" s="417"/>
      <c r="CF28" s="1049" t="s">
        <v>52</v>
      </c>
      <c r="CG28" s="1173">
        <f t="shared" si="0"/>
        <v>0</v>
      </c>
      <c r="CH28" s="1238">
        <f t="shared" si="1"/>
        <v>1</v>
      </c>
      <c r="CI28" s="1239"/>
      <c r="CJ28" s="1240"/>
      <c r="CK28" s="1166">
        <v>0</v>
      </c>
      <c r="CL28" s="1171">
        <v>2070</v>
      </c>
      <c r="CM28" s="1169" t="s">
        <v>1120</v>
      </c>
      <c r="CN28" s="80"/>
      <c r="CO28" s="80"/>
    </row>
    <row r="29" spans="2:140" ht="15">
      <c r="B29" s="909"/>
      <c r="C29" s="490"/>
      <c r="D29" s="489"/>
      <c r="E29" s="489" t="s">
        <v>951</v>
      </c>
      <c r="F29" s="489"/>
      <c r="G29" s="1019"/>
      <c r="H29" s="1019"/>
      <c r="I29" s="1019"/>
      <c r="J29" s="1019"/>
      <c r="K29" s="1019"/>
      <c r="L29" s="1019"/>
      <c r="M29" s="1019"/>
      <c r="N29" s="1019"/>
      <c r="O29" s="1019"/>
      <c r="P29" s="1019"/>
      <c r="Q29" s="1019"/>
      <c r="R29" s="1019"/>
      <c r="S29" s="1019"/>
      <c r="T29" s="1019"/>
      <c r="U29" s="1019"/>
      <c r="V29" s="1019"/>
      <c r="W29" s="1019"/>
      <c r="X29" s="1019"/>
      <c r="Y29" s="1019"/>
      <c r="Z29" s="1019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489"/>
      <c r="BK29" s="489"/>
      <c r="BL29" s="1020">
        <f>BR29</f>
        <v>2.4263218012973123E-3</v>
      </c>
      <c r="BN29" s="1081"/>
      <c r="BO29" s="1078"/>
      <c r="BP29" s="1085"/>
      <c r="BQ29" s="1082"/>
      <c r="BR29" s="1078">
        <f>CT59*(1+BS53)</f>
        <v>2.4263218012973123E-3</v>
      </c>
      <c r="BS29" s="1082">
        <f>BR29*G26</f>
        <v>0.71254510222611278</v>
      </c>
      <c r="BT29" s="1106"/>
      <c r="BU29" s="1082"/>
      <c r="BW29" s="1021" t="s">
        <v>276</v>
      </c>
      <c r="BX29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21" t="s">
        <v>1009</v>
      </c>
      <c r="BZ29" s="1021" t="s">
        <v>1010</v>
      </c>
      <c r="CA29" s="1022" t="s">
        <v>275</v>
      </c>
      <c r="CB29" s="1021" t="s">
        <v>275</v>
      </c>
      <c r="CC29" s="1022"/>
      <c r="CD29" s="1021"/>
      <c r="CF29" s="1048" t="s">
        <v>54</v>
      </c>
      <c r="CG29" s="1173">
        <f t="shared" si="0"/>
        <v>4.7825487930972541E-4</v>
      </c>
      <c r="CH29" s="1238">
        <f t="shared" si="1"/>
        <v>0.97543163582150982</v>
      </c>
      <c r="CI29" s="1239"/>
      <c r="CJ29" s="1240"/>
      <c r="CK29" s="1166">
        <v>0.01</v>
      </c>
      <c r="CN29" s="80"/>
      <c r="CO29" s="80"/>
    </row>
    <row r="30" spans="2:140" ht="15.75" thickBot="1">
      <c r="B30" s="911"/>
      <c r="C30" s="912"/>
      <c r="D30" s="912"/>
      <c r="E30" s="912" t="s">
        <v>952</v>
      </c>
      <c r="F30" s="912"/>
      <c r="G30" s="914"/>
      <c r="H30" s="914"/>
      <c r="I30" s="914"/>
      <c r="J30" s="914"/>
      <c r="K30" s="914"/>
      <c r="L30" s="914"/>
      <c r="M30" s="914"/>
      <c r="N30" s="914"/>
      <c r="O30" s="914"/>
      <c r="P30" s="914"/>
      <c r="Q30" s="914"/>
      <c r="R30" s="914"/>
      <c r="S30" s="914"/>
      <c r="T30" s="914"/>
      <c r="U30" s="914"/>
      <c r="V30" s="914"/>
      <c r="W30" s="914"/>
      <c r="X30" s="914"/>
      <c r="Y30" s="914"/>
      <c r="Z30" s="914"/>
      <c r="AA30" s="914"/>
      <c r="AB30" s="914"/>
      <c r="AC30" s="914"/>
      <c r="AD30" s="914"/>
      <c r="AE30" s="914"/>
      <c r="AF30" s="914"/>
      <c r="AG30" s="914"/>
      <c r="AH30" s="914"/>
      <c r="AI30" s="914"/>
      <c r="AJ30" s="914"/>
      <c r="AK30" s="914"/>
      <c r="AL30" s="914"/>
      <c r="AM30" s="914"/>
      <c r="AN30" s="914"/>
      <c r="AO30" s="914"/>
      <c r="AP30" s="914"/>
      <c r="AQ30" s="914"/>
      <c r="AR30" s="914"/>
      <c r="AS30" s="914"/>
      <c r="AT30" s="914"/>
      <c r="AU30" s="914"/>
      <c r="AV30" s="914"/>
      <c r="AW30" s="914"/>
      <c r="AX30" s="914"/>
      <c r="AY30" s="914"/>
      <c r="AZ30" s="914"/>
      <c r="BA30" s="914"/>
      <c r="BB30" s="914"/>
      <c r="BC30" s="914"/>
      <c r="BD30" s="914"/>
      <c r="BE30" s="914"/>
      <c r="BF30" s="914"/>
      <c r="BG30" s="914"/>
      <c r="BH30" s="914"/>
      <c r="BI30" s="914"/>
      <c r="BJ30" s="912"/>
      <c r="BK30" s="912"/>
      <c r="BL30" s="1025">
        <f>BT30</f>
        <v>6.36860796032292E-4</v>
      </c>
      <c r="BN30" s="1103"/>
      <c r="BO30" s="1083"/>
      <c r="BP30" s="1104"/>
      <c r="BQ30" s="1084"/>
      <c r="BR30" s="1083"/>
      <c r="BS30" s="1084"/>
      <c r="BT30" s="1105">
        <f>CU59*(1+$BU$53)</f>
        <v>6.36860796032292E-4</v>
      </c>
      <c r="BU30" s="1084">
        <f>BT30*G26</f>
        <v>0.18702879427205341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1011</v>
      </c>
      <c r="BZ30" s="417" t="s">
        <v>1012</v>
      </c>
      <c r="CA30" s="417" t="s">
        <v>275</v>
      </c>
      <c r="CB30" s="1018" t="s">
        <v>275</v>
      </c>
      <c r="CC30" s="417"/>
      <c r="CD30" s="417"/>
      <c r="CF30" s="1049" t="s">
        <v>56</v>
      </c>
      <c r="CG30" s="1173">
        <f t="shared" si="0"/>
        <v>3.8187099184060013E-4</v>
      </c>
      <c r="CH30" s="1238">
        <f t="shared" si="1"/>
        <v>0.98033484804088578</v>
      </c>
      <c r="CI30" s="1239"/>
      <c r="CJ30" s="1240"/>
      <c r="CK30" s="1166">
        <v>0.04</v>
      </c>
      <c r="CN30" s="80"/>
      <c r="CO30" s="80"/>
    </row>
    <row r="31" spans="2:140" ht="15">
      <c r="B3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948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7">
        <f>BN31</f>
        <v>3.19791387227054E-2</v>
      </c>
      <c r="BN31" s="1081">
        <f>CR60*DwellingStocks!X23*(1+BO53)</f>
        <v>3.19791387227054E-2</v>
      </c>
      <c r="BO31" s="1078">
        <f>BN31*G31</f>
        <v>5.6257811047094828</v>
      </c>
      <c r="BP31" s="1085"/>
      <c r="BQ31" s="1082"/>
      <c r="BR31" s="1078"/>
      <c r="BS31" s="1082"/>
      <c r="BT31" s="1106"/>
      <c r="BU31" s="1082"/>
      <c r="BW31" s="1021" t="s">
        <v>276</v>
      </c>
      <c r="BX31" s="1021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21" t="s">
        <v>1013</v>
      </c>
      <c r="BZ31" s="1021" t="s">
        <v>1014</v>
      </c>
      <c r="CA31" s="1022" t="s">
        <v>275</v>
      </c>
      <c r="CB31" s="1021" t="s">
        <v>275</v>
      </c>
      <c r="CC31" s="1022"/>
      <c r="CD31" s="1021"/>
      <c r="CE31" s="80"/>
      <c r="CF31" s="1048" t="s">
        <v>58</v>
      </c>
      <c r="CG31" s="1173">
        <f t="shared" si="0"/>
        <v>6.1585782114715281E-4</v>
      </c>
      <c r="CH31" s="1238">
        <f t="shared" si="1"/>
        <v>0.96847319624484829</v>
      </c>
      <c r="CI31" s="1239"/>
      <c r="CJ31" s="1240"/>
      <c r="CK31" s="1166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909"/>
      <c r="C32" s="490"/>
      <c r="D32" s="489"/>
      <c r="E32" s="489" t="s">
        <v>949</v>
      </c>
      <c r="F32" s="489"/>
      <c r="G32" s="1019"/>
      <c r="H32" s="1019"/>
      <c r="I32" s="1019"/>
      <c r="J32" s="1019"/>
      <c r="K32" s="1019"/>
      <c r="L32" s="1019"/>
      <c r="M32" s="1019"/>
      <c r="N32" s="1019"/>
      <c r="O32" s="1019"/>
      <c r="P32" s="1019"/>
      <c r="Q32" s="1019"/>
      <c r="R32" s="1019"/>
      <c r="S32" s="1019"/>
      <c r="T32" s="1019"/>
      <c r="U32" s="1019"/>
      <c r="V32" s="1019"/>
      <c r="W32" s="1019"/>
      <c r="X32" s="1019"/>
      <c r="Y32" s="1019"/>
      <c r="Z32" s="1019"/>
      <c r="AA32" s="1019"/>
      <c r="AB32" s="1019"/>
      <c r="AC32" s="1019"/>
      <c r="AD32" s="1019"/>
      <c r="AE32" s="1019"/>
      <c r="AF32" s="1019"/>
      <c r="AG32" s="1019"/>
      <c r="AH32" s="1019"/>
      <c r="AI32" s="1019"/>
      <c r="AJ32" s="1019"/>
      <c r="AK32" s="1019"/>
      <c r="AL32" s="1019"/>
      <c r="AM32" s="1019"/>
      <c r="AN32" s="1019"/>
      <c r="AO32" s="1019"/>
      <c r="AP32" s="1019"/>
      <c r="AQ32" s="1019"/>
      <c r="AR32" s="1019"/>
      <c r="AS32" s="1019"/>
      <c r="AT32" s="1019"/>
      <c r="AU32" s="1019"/>
      <c r="AV32" s="1019"/>
      <c r="AW32" s="1019"/>
      <c r="AX32" s="1019"/>
      <c r="AY32" s="1019"/>
      <c r="AZ32" s="1019"/>
      <c r="BA32" s="1019"/>
      <c r="BB32" s="1019"/>
      <c r="BC32" s="1019"/>
      <c r="BD32" s="1019"/>
      <c r="BE32" s="1019"/>
      <c r="BF32" s="1019"/>
      <c r="BG32" s="1019"/>
      <c r="BH32" s="1019"/>
      <c r="BI32" s="1019"/>
      <c r="BJ32" s="489"/>
      <c r="BK32" s="489"/>
      <c r="BL32" s="1020">
        <v>0</v>
      </c>
      <c r="BN32" s="1081"/>
      <c r="BO32" s="1078"/>
      <c r="BP32" s="1085"/>
      <c r="BQ32" s="1082"/>
      <c r="BR32" s="1078"/>
      <c r="BS32" s="1082"/>
      <c r="BT32" s="1106"/>
      <c r="BU32" s="1082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1015</v>
      </c>
      <c r="BZ32" s="417" t="s">
        <v>1016</v>
      </c>
      <c r="CA32" s="417" t="s">
        <v>275</v>
      </c>
      <c r="CB32" s="1018" t="s">
        <v>275</v>
      </c>
      <c r="CC32" s="417"/>
      <c r="CD32" s="417"/>
      <c r="CE32" s="80"/>
      <c r="CF32" s="1049" t="s">
        <v>60</v>
      </c>
      <c r="CG32" s="1173">
        <f>IFERROR(($CG$35*CK32)/(CJ14/$CJ$17),0)</f>
        <v>3.9118799378527807E-3</v>
      </c>
      <c r="CH32" s="1238">
        <f t="shared" si="1"/>
        <v>0.81561188331174039</v>
      </c>
      <c r="CI32" s="1239"/>
      <c r="CJ32" s="1240"/>
      <c r="CK32" s="1166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910"/>
      <c r="C33" s="328"/>
      <c r="D33" s="328"/>
      <c r="E33" s="328" t="s">
        <v>950</v>
      </c>
      <c r="F33" s="328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328"/>
      <c r="BK33" s="328"/>
      <c r="BL33" s="1024">
        <f>BP33</f>
        <v>1.1023092034737307E-2</v>
      </c>
      <c r="BN33" s="1081"/>
      <c r="BO33" s="1078"/>
      <c r="BP33" s="1085">
        <f>CS60*(1+BQ53)</f>
        <v>1.1023092034737307E-2</v>
      </c>
      <c r="BQ33" s="1082">
        <f>BP33*G31</f>
        <v>1.9391861495153011</v>
      </c>
      <c r="BR33" s="1078"/>
      <c r="BS33" s="1082"/>
      <c r="BT33" s="1106"/>
      <c r="BU33" s="1082"/>
      <c r="BW33" s="80"/>
      <c r="BX33" s="80"/>
      <c r="BY33" s="80"/>
      <c r="BZ33" s="80"/>
      <c r="CA33" s="80"/>
      <c r="CB33" s="80"/>
      <c r="CC33" s="80"/>
      <c r="CD33" s="80"/>
      <c r="CE33" s="80"/>
      <c r="CF33" s="1048" t="s">
        <v>62</v>
      </c>
      <c r="CG33" s="1173">
        <f t="shared" ref="CG33" si="2">IFERROR(($CG$35*CK33)/(CJ15/$CJ$17),0)</f>
        <v>1.7179866147117095E-2</v>
      </c>
      <c r="CH33" s="1238">
        <f>$CL$26*(1-CG33)^($CL$28-$CL$27)/100</f>
        <v>0.40611621312446222</v>
      </c>
      <c r="CI33" s="1239"/>
      <c r="CJ33" s="1240"/>
      <c r="CK33" s="1167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909"/>
      <c r="C34" s="490"/>
      <c r="D34" s="489"/>
      <c r="E34" s="489" t="s">
        <v>951</v>
      </c>
      <c r="F34" s="489"/>
      <c r="G34" s="1019"/>
      <c r="H34" s="1019"/>
      <c r="I34" s="1019"/>
      <c r="J34" s="1019"/>
      <c r="K34" s="1019"/>
      <c r="L34" s="1019"/>
      <c r="M34" s="1019"/>
      <c r="N34" s="1019"/>
      <c r="O34" s="1019"/>
      <c r="P34" s="1019"/>
      <c r="Q34" s="1019"/>
      <c r="R34" s="1019"/>
      <c r="S34" s="1019"/>
      <c r="T34" s="1019"/>
      <c r="U34" s="1019"/>
      <c r="V34" s="1019"/>
      <c r="W34" s="1019"/>
      <c r="X34" s="1019"/>
      <c r="Y34" s="1019"/>
      <c r="Z34" s="1019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489"/>
      <c r="BK34" s="489"/>
      <c r="BL34" s="1020">
        <f>BR34</f>
        <v>2.3682748947116503E-3</v>
      </c>
      <c r="BN34" s="1081"/>
      <c r="BO34" s="1078"/>
      <c r="BP34" s="1085"/>
      <c r="BQ34" s="1082"/>
      <c r="BR34" s="1078">
        <f>CT60*(1+BS53)</f>
        <v>2.3682748947116503E-3</v>
      </c>
      <c r="BS34" s="1082">
        <f>BR34*G31</f>
        <v>0.41662773562963229</v>
      </c>
      <c r="BT34" s="1106"/>
      <c r="BU34" s="1082"/>
      <c r="CD34" s="80"/>
      <c r="CE34" s="80"/>
      <c r="CF34" s="1172" t="s">
        <v>64</v>
      </c>
      <c r="CG34" s="1173">
        <f>IFERROR(($CG$35*CK34)/(CJ16/$CJ$17),0)</f>
        <v>2.899075624512347E-2</v>
      </c>
      <c r="CH34" s="1238">
        <f>$CL$26*(1-CG34)^($CL$28-$CL$27)/100</f>
        <v>0.21657830151277452</v>
      </c>
      <c r="CI34" s="1239"/>
      <c r="CJ34" s="1240"/>
      <c r="CK34" s="1168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911"/>
      <c r="C35" s="912"/>
      <c r="D35" s="912"/>
      <c r="E35" s="912" t="s">
        <v>952</v>
      </c>
      <c r="F35" s="912"/>
      <c r="G35" s="914"/>
      <c r="H35" s="914"/>
      <c r="I35" s="914"/>
      <c r="J35" s="914"/>
      <c r="K35" s="914"/>
      <c r="L35" s="914"/>
      <c r="M35" s="914"/>
      <c r="N35" s="914"/>
      <c r="O35" s="914"/>
      <c r="P35" s="914"/>
      <c r="Q35" s="914"/>
      <c r="R35" s="914"/>
      <c r="S35" s="914"/>
      <c r="T35" s="914"/>
      <c r="U35" s="914"/>
      <c r="V35" s="914"/>
      <c r="W35" s="914"/>
      <c r="X35" s="914"/>
      <c r="Y35" s="914"/>
      <c r="Z35" s="914"/>
      <c r="AA35" s="914"/>
      <c r="AB35" s="914"/>
      <c r="AC35" s="914"/>
      <c r="AD35" s="914"/>
      <c r="AE35" s="914"/>
      <c r="AF35" s="914"/>
      <c r="AG35" s="914"/>
      <c r="AH35" s="914"/>
      <c r="AI35" s="914"/>
      <c r="AJ35" s="914"/>
      <c r="AK35" s="914"/>
      <c r="AL35" s="914"/>
      <c r="AM35" s="914"/>
      <c r="AN35" s="914"/>
      <c r="AO35" s="914"/>
      <c r="AP35" s="914"/>
      <c r="AQ35" s="914"/>
      <c r="AR35" s="914"/>
      <c r="AS35" s="914"/>
      <c r="AT35" s="914"/>
      <c r="AU35" s="914"/>
      <c r="AV35" s="914"/>
      <c r="AW35" s="914"/>
      <c r="AX35" s="914"/>
      <c r="AY35" s="914"/>
      <c r="AZ35" s="914"/>
      <c r="BA35" s="914"/>
      <c r="BB35" s="914"/>
      <c r="BC35" s="914"/>
      <c r="BD35" s="914"/>
      <c r="BE35" s="914"/>
      <c r="BF35" s="914"/>
      <c r="BG35" s="914"/>
      <c r="BH35" s="914"/>
      <c r="BI35" s="914"/>
      <c r="BJ35" s="912"/>
      <c r="BK35" s="912"/>
      <c r="BL35" s="1025">
        <f>BT35</f>
        <v>5.939934277693807E-4</v>
      </c>
      <c r="BN35" s="1081"/>
      <c r="BO35" s="1078"/>
      <c r="BP35" s="1085"/>
      <c r="BQ35" s="1082"/>
      <c r="BR35" s="1078"/>
      <c r="BS35" s="1082"/>
      <c r="BT35" s="1106">
        <f>CU60*(1+$BU$53)</f>
        <v>5.939934277693807E-4</v>
      </c>
      <c r="BU35" s="1082">
        <f>BT35*G31</f>
        <v>0.10449552851446828</v>
      </c>
      <c r="CD35" s="80"/>
      <c r="CE35" s="80"/>
      <c r="CF35" s="1164" t="s">
        <v>657</v>
      </c>
      <c r="CG35" s="1165">
        <v>3.5000000000000001E-3</v>
      </c>
      <c r="CH35" s="1252">
        <f>CL26*(1-CG35)^(CL28-CL27)/100</f>
        <v>0.833335259728061</v>
      </c>
      <c r="CI35" s="1253"/>
      <c r="CJ35" s="1254"/>
      <c r="CK35" s="1031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 ht="15">
      <c r="B3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948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7">
        <f>BN36</f>
        <v>4.3604385678145181E-2</v>
      </c>
      <c r="BN36" s="1099">
        <f>CR61*DwellingStocks!X24*(1+BO53)</f>
        <v>4.3604385678145181E-2</v>
      </c>
      <c r="BO36" s="1100">
        <f>BN36*G36</f>
        <v>3.7393131897948271</v>
      </c>
      <c r="BP36" s="1101"/>
      <c r="BQ36" s="1102"/>
      <c r="BR36" s="1100"/>
      <c r="BS36" s="1102"/>
      <c r="BT36" s="1107"/>
      <c r="BU36" s="1102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909"/>
      <c r="C37" s="490"/>
      <c r="D37" s="489"/>
      <c r="E37" s="489" t="s">
        <v>949</v>
      </c>
      <c r="F37" s="489"/>
      <c r="G37" s="1019"/>
      <c r="H37" s="1019"/>
      <c r="I37" s="1019"/>
      <c r="J37" s="1019"/>
      <c r="K37" s="1019"/>
      <c r="L37" s="1019"/>
      <c r="M37" s="1019"/>
      <c r="N37" s="1019"/>
      <c r="O37" s="1019"/>
      <c r="P37" s="1019"/>
      <c r="Q37" s="1019"/>
      <c r="R37" s="1019"/>
      <c r="S37" s="1019"/>
      <c r="T37" s="1019"/>
      <c r="U37" s="1019"/>
      <c r="V37" s="1019"/>
      <c r="W37" s="1019"/>
      <c r="X37" s="1019"/>
      <c r="Y37" s="1019"/>
      <c r="Z37" s="1019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489"/>
      <c r="BK37" s="489"/>
      <c r="BL37" s="1020">
        <v>0</v>
      </c>
      <c r="BN37" s="1081"/>
      <c r="BO37" s="1078"/>
      <c r="BP37" s="1085"/>
      <c r="BQ37" s="1082"/>
      <c r="BR37" s="1078"/>
      <c r="BS37" s="1082"/>
      <c r="BT37" s="1106"/>
      <c r="BU37" s="1082"/>
      <c r="CC37" s="80"/>
      <c r="CD37" s="80"/>
      <c r="CE37" s="80"/>
      <c r="CF37" s="473" t="s">
        <v>1114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910"/>
      <c r="C38" s="328"/>
      <c r="D38" s="328"/>
      <c r="E38" s="328" t="s">
        <v>950</v>
      </c>
      <c r="F38" s="328"/>
      <c r="G38" s="1023"/>
      <c r="H38" s="1023"/>
      <c r="I38" s="1023"/>
      <c r="J38" s="1023"/>
      <c r="K38" s="1023"/>
      <c r="L38" s="1023"/>
      <c r="M38" s="1023"/>
      <c r="N38" s="1023"/>
      <c r="O38" s="1023"/>
      <c r="P38" s="1023"/>
      <c r="Q38" s="1023"/>
      <c r="R38" s="1023"/>
      <c r="S38" s="1023"/>
      <c r="T38" s="1023"/>
      <c r="U38" s="1023"/>
      <c r="V38" s="1023"/>
      <c r="W38" s="1023"/>
      <c r="X38" s="1023"/>
      <c r="Y38" s="1023"/>
      <c r="Z38" s="1023"/>
      <c r="AA38" s="1023"/>
      <c r="AB38" s="1023"/>
      <c r="AC38" s="1023"/>
      <c r="AD38" s="1023"/>
      <c r="AE38" s="1023"/>
      <c r="AF38" s="1023"/>
      <c r="AG38" s="1023"/>
      <c r="AH38" s="1023"/>
      <c r="AI38" s="1023"/>
      <c r="AJ38" s="1023"/>
      <c r="AK38" s="1023"/>
      <c r="AL38" s="1023"/>
      <c r="AM38" s="1023"/>
      <c r="AN38" s="1023"/>
      <c r="AO38" s="1023"/>
      <c r="AP38" s="1023"/>
      <c r="AQ38" s="1023"/>
      <c r="AR38" s="1023"/>
      <c r="AS38" s="1023"/>
      <c r="AT38" s="1023"/>
      <c r="AU38" s="1023"/>
      <c r="AV38" s="1023"/>
      <c r="AW38" s="1023"/>
      <c r="AX38" s="1023"/>
      <c r="AY38" s="1023"/>
      <c r="AZ38" s="1023"/>
      <c r="BA38" s="1023"/>
      <c r="BB38" s="1023"/>
      <c r="BC38" s="1023"/>
      <c r="BD38" s="1023"/>
      <c r="BE38" s="1023"/>
      <c r="BF38" s="1023"/>
      <c r="BG38" s="1023"/>
      <c r="BH38" s="1023"/>
      <c r="BI38" s="1023"/>
      <c r="BJ38" s="328"/>
      <c r="BK38" s="328"/>
      <c r="BL38" s="1024">
        <f>BP38</f>
        <v>1.1496235636776254E-2</v>
      </c>
      <c r="BN38" s="1081"/>
      <c r="BO38" s="1078"/>
      <c r="BP38" s="1085">
        <f>CS61*(1+BQ53)</f>
        <v>1.1496235636776254E-2</v>
      </c>
      <c r="BQ38" s="1082">
        <f>BP38*G36</f>
        <v>0.98586472165648864</v>
      </c>
      <c r="BR38" s="1078"/>
      <c r="BS38" s="1082"/>
      <c r="BT38" s="1106"/>
      <c r="BU38" s="1082"/>
      <c r="CC38" s="80"/>
      <c r="CD38" s="80"/>
      <c r="CE38" s="80"/>
      <c r="CF38" s="1241" t="s">
        <v>295</v>
      </c>
      <c r="CG38" s="1242"/>
      <c r="CH38" s="1242"/>
      <c r="CI38" s="1242"/>
      <c r="CJ38" s="1242"/>
      <c r="CK38" s="1242"/>
      <c r="CL38" s="1242"/>
      <c r="CM38" s="1242"/>
      <c r="CN38" s="1242"/>
      <c r="CO38" s="1242"/>
      <c r="CP38" s="1242"/>
      <c r="CQ38" s="1242"/>
      <c r="CR38" s="1243" t="s">
        <v>898</v>
      </c>
      <c r="CS38" s="1244"/>
      <c r="CT38" s="1244"/>
      <c r="CU38" s="1244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909"/>
      <c r="C39" s="490"/>
      <c r="D39" s="489"/>
      <c r="E39" s="489" t="s">
        <v>951</v>
      </c>
      <c r="F39" s="489"/>
      <c r="G39" s="1019"/>
      <c r="H39" s="1019"/>
      <c r="I39" s="1019"/>
      <c r="J39" s="1019"/>
      <c r="K39" s="1019"/>
      <c r="L39" s="1019"/>
      <c r="M39" s="1019"/>
      <c r="N39" s="1019"/>
      <c r="O39" s="1019"/>
      <c r="P39" s="1019"/>
      <c r="Q39" s="1019"/>
      <c r="R39" s="1019"/>
      <c r="S39" s="1019"/>
      <c r="T39" s="1019"/>
      <c r="U39" s="1019"/>
      <c r="V39" s="1019"/>
      <c r="W39" s="1019"/>
      <c r="X39" s="1019"/>
      <c r="Y39" s="1019"/>
      <c r="Z39" s="1019"/>
      <c r="AA39" s="1019"/>
      <c r="AB39" s="1019"/>
      <c r="AC39" s="1019"/>
      <c r="AD39" s="1019"/>
      <c r="AE39" s="1019"/>
      <c r="AF39" s="1019"/>
      <c r="AG39" s="1019"/>
      <c r="AH39" s="1019"/>
      <c r="AI39" s="1019"/>
      <c r="AJ39" s="1019"/>
      <c r="AK39" s="1019"/>
      <c r="AL39" s="1019"/>
      <c r="AM39" s="1019"/>
      <c r="AN39" s="1019"/>
      <c r="AO39" s="1019"/>
      <c r="AP39" s="1019"/>
      <c r="AQ39" s="1019"/>
      <c r="AR39" s="1019"/>
      <c r="AS39" s="1019"/>
      <c r="AT39" s="1019"/>
      <c r="AU39" s="1019"/>
      <c r="AV39" s="1019"/>
      <c r="AW39" s="1019"/>
      <c r="AX39" s="1019"/>
      <c r="AY39" s="1019"/>
      <c r="AZ39" s="1019"/>
      <c r="BA39" s="1019"/>
      <c r="BB39" s="1019"/>
      <c r="BC39" s="1019"/>
      <c r="BD39" s="1019"/>
      <c r="BE39" s="1019"/>
      <c r="BF39" s="1019"/>
      <c r="BG39" s="1019"/>
      <c r="BH39" s="1019"/>
      <c r="BI39" s="1019"/>
      <c r="BJ39" s="489"/>
      <c r="BK39" s="489"/>
      <c r="BL39" s="1020">
        <f>BR39</f>
        <v>2.295742737408916E-3</v>
      </c>
      <c r="BN39" s="1081"/>
      <c r="BO39" s="1078"/>
      <c r="BP39" s="1085"/>
      <c r="BQ39" s="1082"/>
      <c r="BR39" s="1078">
        <f>CT61*(1+BS53)</f>
        <v>2.295742737408916E-3</v>
      </c>
      <c r="BS39" s="1082">
        <f>BR39*G36</f>
        <v>0.19687242383674844</v>
      </c>
      <c r="BT39" s="1106"/>
      <c r="BU39" s="1082"/>
      <c r="BW39" s="1241" t="s">
        <v>604</v>
      </c>
      <c r="BX39" s="1242"/>
      <c r="BY39" s="1242"/>
      <c r="BZ39" s="1242"/>
      <c r="CA39" s="1249"/>
      <c r="CB39" s="80"/>
      <c r="CE39" s="80"/>
      <c r="CF39" s="1157"/>
      <c r="CG39" s="1158" t="s">
        <v>287</v>
      </c>
      <c r="CH39" s="1158" t="s">
        <v>396</v>
      </c>
      <c r="CI39" s="1159" t="s">
        <v>397</v>
      </c>
      <c r="CJ39" s="1157" t="s">
        <v>893</v>
      </c>
      <c r="CK39" s="1157" t="s">
        <v>894</v>
      </c>
      <c r="CL39" s="1158" t="s">
        <v>895</v>
      </c>
      <c r="CM39" s="1158" t="s">
        <v>415</v>
      </c>
      <c r="CN39" s="1159" t="s">
        <v>892</v>
      </c>
      <c r="CO39" s="1157" t="s">
        <v>896</v>
      </c>
      <c r="CP39" s="1158" t="s">
        <v>897</v>
      </c>
      <c r="CQ39" s="1160" t="s">
        <v>218</v>
      </c>
      <c r="CR39" s="1163" t="s">
        <v>219</v>
      </c>
      <c r="CS39" s="1163" t="s">
        <v>891</v>
      </c>
      <c r="CT39" s="1163" t="s">
        <v>221</v>
      </c>
      <c r="CU39" s="1163" t="s">
        <v>892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911"/>
      <c r="C40" s="912"/>
      <c r="D40" s="912"/>
      <c r="E40" s="912" t="s">
        <v>952</v>
      </c>
      <c r="F40" s="912"/>
      <c r="G40" s="914"/>
      <c r="H40" s="914"/>
      <c r="I40" s="914"/>
      <c r="J40" s="914"/>
      <c r="K40" s="914"/>
      <c r="L40" s="914"/>
      <c r="M40" s="914"/>
      <c r="N40" s="914"/>
      <c r="O40" s="914"/>
      <c r="P40" s="914"/>
      <c r="Q40" s="914"/>
      <c r="R40" s="914"/>
      <c r="S40" s="914"/>
      <c r="T40" s="914"/>
      <c r="U40" s="914"/>
      <c r="V40" s="914"/>
      <c r="W40" s="914"/>
      <c r="X40" s="914"/>
      <c r="Y40" s="914"/>
      <c r="Z40" s="914"/>
      <c r="AA40" s="914"/>
      <c r="AB40" s="914"/>
      <c r="AC40" s="914"/>
      <c r="AD40" s="914"/>
      <c r="AE40" s="914"/>
      <c r="AF40" s="914"/>
      <c r="AG40" s="914"/>
      <c r="AH40" s="914"/>
      <c r="AI40" s="914"/>
      <c r="AJ40" s="914"/>
      <c r="AK40" s="914"/>
      <c r="AL40" s="914"/>
      <c r="AM40" s="914"/>
      <c r="AN40" s="914"/>
      <c r="AO40" s="914"/>
      <c r="AP40" s="914"/>
      <c r="AQ40" s="914"/>
      <c r="AR40" s="914"/>
      <c r="AS40" s="914"/>
      <c r="AT40" s="914"/>
      <c r="AU40" s="914"/>
      <c r="AV40" s="914"/>
      <c r="AW40" s="914"/>
      <c r="AX40" s="914"/>
      <c r="AY40" s="914"/>
      <c r="AZ40" s="914"/>
      <c r="BA40" s="914"/>
      <c r="BB40" s="914"/>
      <c r="BC40" s="914"/>
      <c r="BD40" s="914"/>
      <c r="BE40" s="914"/>
      <c r="BF40" s="914"/>
      <c r="BG40" s="914"/>
      <c r="BH40" s="914"/>
      <c r="BI40" s="914"/>
      <c r="BJ40" s="912"/>
      <c r="BK40" s="912"/>
      <c r="BL40" s="1025">
        <f>BT40</f>
        <v>5.4061275343101451E-4</v>
      </c>
      <c r="BN40" s="1103"/>
      <c r="BO40" s="1083"/>
      <c r="BP40" s="1104"/>
      <c r="BQ40" s="1084"/>
      <c r="BR40" s="1083"/>
      <c r="BS40" s="1084"/>
      <c r="BT40" s="1105">
        <f>CU61*(1+$BU$53)</f>
        <v>5.4061275343101451E-4</v>
      </c>
      <c r="BU40" s="1084">
        <f>BT40*G36</f>
        <v>4.6360483424700352E-2</v>
      </c>
      <c r="BW40" s="884"/>
      <c r="BX40" s="885" t="s">
        <v>833</v>
      </c>
      <c r="BY40" s="885" t="s">
        <v>832</v>
      </c>
      <c r="BZ40" s="886" t="s">
        <v>834</v>
      </c>
      <c r="CA40" s="884" t="s">
        <v>835</v>
      </c>
      <c r="CB40" s="80"/>
      <c r="CC40" s="80"/>
      <c r="CD40" s="80"/>
      <c r="CE40" s="80"/>
      <c r="CF40" s="1153" t="s">
        <v>48</v>
      </c>
      <c r="CG40" s="1154">
        <v>6419</v>
      </c>
      <c r="CH40" s="1154">
        <v>535137</v>
      </c>
      <c r="CI40" s="1154">
        <v>52</v>
      </c>
      <c r="CJ40" s="1155">
        <v>-505747</v>
      </c>
      <c r="CK40" s="1153">
        <v>11249</v>
      </c>
      <c r="CL40" s="1154">
        <v>2509515</v>
      </c>
      <c r="CM40" s="1154">
        <v>1893006</v>
      </c>
      <c r="CN40" s="1154">
        <v>5793778</v>
      </c>
      <c r="CO40" s="1154">
        <v>31852</v>
      </c>
      <c r="CP40" s="1154">
        <v>9733652</v>
      </c>
      <c r="CQ40" s="1154">
        <v>9418.8988568067343</v>
      </c>
      <c r="CR40" s="1156">
        <f>((CQ40/CG40)*$CG$18*(CJ40+CK40)*0.0000000036)/(CQ40/1000)</f>
        <v>-2.0601927769047266E-4</v>
      </c>
      <c r="CS40" s="1156">
        <f>((CQ40/CG40)*(CN40+CO40)*0.0000000036)/(CQ40/1000)</f>
        <v>3.2672173235706492E-3</v>
      </c>
      <c r="CT40" s="1156">
        <f>((CQ40/CG40)*(CL40)*0.0000000036)/(CQ40/1000)</f>
        <v>1.4074238978033962E-3</v>
      </c>
      <c r="CU40" s="1156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 ht="15">
      <c r="B4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948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7">
        <f>BN41</f>
        <v>5.5698508613813459E-2</v>
      </c>
      <c r="BN41" s="1081">
        <f>CR62*DwellingStocks!X25*(1+BO53)</f>
        <v>5.5698508613813459E-2</v>
      </c>
      <c r="BO41" s="1078">
        <f>BN41*G41</f>
        <v>2.149349594160356</v>
      </c>
      <c r="BP41" s="1085"/>
      <c r="BQ41" s="1082"/>
      <c r="BR41" s="1078"/>
      <c r="BS41" s="1082"/>
      <c r="BT41" s="1106"/>
      <c r="BU41" s="1082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9" t="s">
        <v>50</v>
      </c>
      <c r="CG41" s="1150">
        <v>3209</v>
      </c>
      <c r="CH41" s="1150">
        <v>264012</v>
      </c>
      <c r="CI41" s="1150">
        <v>91</v>
      </c>
      <c r="CJ41" s="1151">
        <v>5149071</v>
      </c>
      <c r="CK41" s="1149">
        <v>157450</v>
      </c>
      <c r="CL41" s="1150">
        <v>1694468</v>
      </c>
      <c r="CM41" s="1150">
        <v>638663</v>
      </c>
      <c r="CN41" s="1150">
        <v>6968385</v>
      </c>
      <c r="CO41" s="1150">
        <v>83330</v>
      </c>
      <c r="CP41" s="1150">
        <v>14691367</v>
      </c>
      <c r="CQ41" s="1150">
        <v>7459.2913438514906</v>
      </c>
      <c r="CR41" s="1152">
        <f>((CQ41/CG41)*$CG$18*(CJ41+CK41)*0.0000000036)/(CQ41/1000)</f>
        <v>4.4223271439528837E-3</v>
      </c>
      <c r="CS41" s="1152">
        <f t="shared" ref="CS41:CS42" si="3">((CQ41/CG41)*(CN41+CO41)*0.0000000036)/(CQ41/1000)</f>
        <v>7.9109298846992832E-3</v>
      </c>
      <c r="CT41" s="1152">
        <f t="shared" ref="CT41:CT42" si="4">((CQ41/CG41)*(CL41)*0.0000000036)/(CQ41/1000)</f>
        <v>1.90093013399813E-3</v>
      </c>
      <c r="CU41" s="1152">
        <f t="shared" ref="CU41:CU42" si="5">((CQ41/CG41)*(CM41)*0.0000000036)/(CQ41/1000)</f>
        <v>7.1648077282642571E-4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909"/>
      <c r="C42" s="490"/>
      <c r="D42" s="489"/>
      <c r="E42" s="489" t="s">
        <v>949</v>
      </c>
      <c r="F42" s="489"/>
      <c r="G42" s="1019"/>
      <c r="H42" s="1019"/>
      <c r="I42" s="1019"/>
      <c r="J42" s="1019"/>
      <c r="K42" s="1019"/>
      <c r="L42" s="1019"/>
      <c r="M42" s="1019"/>
      <c r="N42" s="1019"/>
      <c r="O42" s="1019"/>
      <c r="P42" s="1019"/>
      <c r="Q42" s="1019"/>
      <c r="R42" s="1019"/>
      <c r="S42" s="1019"/>
      <c r="T42" s="1019"/>
      <c r="U42" s="1019"/>
      <c r="V42" s="1019"/>
      <c r="W42" s="1019"/>
      <c r="X42" s="1019"/>
      <c r="Y42" s="1019"/>
      <c r="Z42" s="1019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9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489"/>
      <c r="BK42" s="489"/>
      <c r="BL42" s="1020">
        <v>0</v>
      </c>
      <c r="BN42" s="1081"/>
      <c r="BO42" s="1078"/>
      <c r="BP42" s="1085"/>
      <c r="BQ42" s="1082"/>
      <c r="BR42" s="1078"/>
      <c r="BS42" s="1082"/>
      <c r="BT42" s="1106"/>
      <c r="BU42" s="1082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53" t="s">
        <v>52</v>
      </c>
      <c r="CG42" s="1154">
        <v>8665</v>
      </c>
      <c r="CH42" s="1154">
        <v>712223</v>
      </c>
      <c r="CI42" s="1154">
        <v>114</v>
      </c>
      <c r="CJ42" s="1155">
        <v>24443713</v>
      </c>
      <c r="CK42" s="1153">
        <v>1103093</v>
      </c>
      <c r="CL42" s="1154">
        <v>5068146</v>
      </c>
      <c r="CM42" s="1154">
        <v>1589124</v>
      </c>
      <c r="CN42" s="1154">
        <v>23824149</v>
      </c>
      <c r="CO42" s="1154">
        <v>271620</v>
      </c>
      <c r="CP42" s="1154">
        <v>56299844</v>
      </c>
      <c r="CQ42" s="1154">
        <v>14041.847426430093</v>
      </c>
      <c r="CR42" s="1156">
        <f t="shared" ref="CR42:CR48" si="8">((CQ42/CG42)*$CG$18*(CJ42+CK42)*0.0000000036)/(CQ42/1000)</f>
        <v>7.8845831836233844E-3</v>
      </c>
      <c r="CS42" s="1156">
        <f t="shared" si="3"/>
        <v>1.00109369186382E-2</v>
      </c>
      <c r="CT42" s="1156">
        <f t="shared" si="4"/>
        <v>2.1056348066935951E-3</v>
      </c>
      <c r="CU42" s="1156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910"/>
      <c r="C43" s="328"/>
      <c r="D43" s="328"/>
      <c r="E43" s="328" t="s">
        <v>950</v>
      </c>
      <c r="F43" s="328"/>
      <c r="G43" s="1023"/>
      <c r="H43" s="1023"/>
      <c r="I43" s="1023"/>
      <c r="J43" s="1023"/>
      <c r="K43" s="1023"/>
      <c r="L43" s="1023"/>
      <c r="M43" s="1023"/>
      <c r="N43" s="1023"/>
      <c r="O43" s="1023"/>
      <c r="P43" s="1023"/>
      <c r="Q43" s="1023"/>
      <c r="R43" s="1023"/>
      <c r="S43" s="1023"/>
      <c r="T43" s="1023"/>
      <c r="U43" s="1023"/>
      <c r="V43" s="1023"/>
      <c r="W43" s="1023"/>
      <c r="X43" s="1023"/>
      <c r="Y43" s="1023"/>
      <c r="Z43" s="1023"/>
      <c r="AA43" s="1023"/>
      <c r="AB43" s="1023"/>
      <c r="AC43" s="1023"/>
      <c r="AD43" s="1023"/>
      <c r="AE43" s="1023"/>
      <c r="AF43" s="1023"/>
      <c r="AG43" s="1023"/>
      <c r="AH43" s="1023"/>
      <c r="AI43" s="1023"/>
      <c r="AJ43" s="1023"/>
      <c r="AK43" s="1023"/>
      <c r="AL43" s="1023"/>
      <c r="AM43" s="1023"/>
      <c r="AN43" s="1023"/>
      <c r="AO43" s="1023"/>
      <c r="AP43" s="1023"/>
      <c r="AQ43" s="1023"/>
      <c r="AR43" s="1023"/>
      <c r="AS43" s="1023"/>
      <c r="AT43" s="1023"/>
      <c r="AU43" s="1023"/>
      <c r="AV43" s="1023"/>
      <c r="AW43" s="1023"/>
      <c r="AX43" s="1023"/>
      <c r="AY43" s="1023"/>
      <c r="AZ43" s="1023"/>
      <c r="BA43" s="1023"/>
      <c r="BB43" s="1023"/>
      <c r="BC43" s="1023"/>
      <c r="BD43" s="1023"/>
      <c r="BE43" s="1023"/>
      <c r="BF43" s="1023"/>
      <c r="BG43" s="1023"/>
      <c r="BH43" s="1023"/>
      <c r="BI43" s="1023"/>
      <c r="BJ43" s="328"/>
      <c r="BK43" s="328"/>
      <c r="BL43" s="1024">
        <f>BP43</f>
        <v>1.1934985762501285E-2</v>
      </c>
      <c r="BN43" s="1081"/>
      <c r="BO43" s="1078"/>
      <c r="BP43" s="1085">
        <f>CS62*(1+BQ53)</f>
        <v>1.1934985762501285E-2</v>
      </c>
      <c r="BQ43" s="1082">
        <f>BP43*G41</f>
        <v>0.46055913243213564</v>
      </c>
      <c r="BR43" s="1078"/>
      <c r="BS43" s="1082"/>
      <c r="BT43" s="1106"/>
      <c r="BU43" s="1082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9" t="s">
        <v>54</v>
      </c>
      <c r="CG43" s="1150">
        <v>13570</v>
      </c>
      <c r="CH43" s="1150">
        <v>1073828</v>
      </c>
      <c r="CI43" s="1150">
        <v>138</v>
      </c>
      <c r="CJ43" s="1151">
        <v>50858810</v>
      </c>
      <c r="CK43" s="1149">
        <v>3129098</v>
      </c>
      <c r="CL43" s="1150">
        <v>7944420</v>
      </c>
      <c r="CM43" s="1150">
        <v>2305495</v>
      </c>
      <c r="CN43" s="1150">
        <v>41205233</v>
      </c>
      <c r="CO43" s="1150">
        <v>896605</v>
      </c>
      <c r="CP43" s="1150">
        <v>106339660</v>
      </c>
      <c r="CQ43" s="1150">
        <v>19924.480375055824</v>
      </c>
      <c r="CR43" s="1152">
        <f t="shared" si="8"/>
        <v>1.0639650151914025E-2</v>
      </c>
      <c r="CS43" s="1152">
        <f t="shared" ref="CS43:CS48" si="9">((CQ43/CG43)*(CN43+CO43)*0.0000000036)/(CQ43/1000)</f>
        <v>1.1169242210759026E-2</v>
      </c>
      <c r="CT43" s="1152">
        <f t="shared" ref="CT43:CT48" si="10">((CQ43/CG43)*(CL43)*0.0000000036)/(CQ43/1000)</f>
        <v>2.1075837877671333E-3</v>
      </c>
      <c r="CU43" s="1152">
        <f t="shared" ref="CU43:CU48" si="11">((CQ43/CG43)*(CM43)*0.0000000036)/(CQ43/1000)</f>
        <v>6.1162726602800291E-4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909"/>
      <c r="C44" s="490"/>
      <c r="D44" s="489"/>
      <c r="E44" s="489" t="s">
        <v>951</v>
      </c>
      <c r="F44" s="489"/>
      <c r="G44" s="1019"/>
      <c r="H44" s="1019"/>
      <c r="I44" s="1019"/>
      <c r="J44" s="1019"/>
      <c r="K44" s="1019"/>
      <c r="L44" s="1019"/>
      <c r="M44" s="1019"/>
      <c r="N44" s="1019"/>
      <c r="O44" s="1019"/>
      <c r="P44" s="1019"/>
      <c r="Q44" s="1019"/>
      <c r="R44" s="1019"/>
      <c r="S44" s="1019"/>
      <c r="T44" s="1019"/>
      <c r="U44" s="1019"/>
      <c r="V44" s="1019"/>
      <c r="W44" s="1019"/>
      <c r="X44" s="1019"/>
      <c r="Y44" s="1019"/>
      <c r="Z44" s="1019"/>
      <c r="AA44" s="1019"/>
      <c r="AB44" s="1019"/>
      <c r="AC44" s="1019"/>
      <c r="AD44" s="1019"/>
      <c r="AE44" s="1019"/>
      <c r="AF44" s="1019"/>
      <c r="AG44" s="1019"/>
      <c r="AH44" s="1019"/>
      <c r="AI44" s="1019"/>
      <c r="AJ44" s="1019"/>
      <c r="AK44" s="1019"/>
      <c r="AL44" s="1019"/>
      <c r="AM44" s="1019"/>
      <c r="AN44" s="1019"/>
      <c r="AO44" s="1019"/>
      <c r="AP44" s="1019"/>
      <c r="AQ44" s="1019"/>
      <c r="AR44" s="1019"/>
      <c r="AS44" s="1019"/>
      <c r="AT44" s="1019"/>
      <c r="AU44" s="1019"/>
      <c r="AV44" s="1019"/>
      <c r="AW44" s="1019"/>
      <c r="AX44" s="1019"/>
      <c r="AY44" s="1019"/>
      <c r="AZ44" s="1019"/>
      <c r="BA44" s="1019"/>
      <c r="BB44" s="1019"/>
      <c r="BC44" s="1019"/>
      <c r="BD44" s="1019"/>
      <c r="BE44" s="1019"/>
      <c r="BF44" s="1019"/>
      <c r="BG44" s="1019"/>
      <c r="BH44" s="1019"/>
      <c r="BI44" s="1019"/>
      <c r="BJ44" s="489"/>
      <c r="BK44" s="489"/>
      <c r="BL44" s="1020">
        <f>BR44</f>
        <v>2.2969178072260251E-3</v>
      </c>
      <c r="BN44" s="1081"/>
      <c r="BO44" s="1078"/>
      <c r="BP44" s="1085"/>
      <c r="BQ44" s="1082"/>
      <c r="BR44" s="1078">
        <f>CT62*(1+BS53)</f>
        <v>2.2969178072260251E-3</v>
      </c>
      <c r="BS44" s="1082">
        <f>BR44*G41</f>
        <v>8.863575488189257E-2</v>
      </c>
      <c r="BT44" s="1106"/>
      <c r="BU44" s="1082"/>
      <c r="BW44" s="80"/>
      <c r="BX44" s="80"/>
      <c r="BY44" s="80"/>
      <c r="BZ44" s="80"/>
      <c r="CA44" s="80"/>
      <c r="CB44" s="80"/>
      <c r="CC44" s="80"/>
      <c r="CD44" s="80"/>
      <c r="CE44" s="80"/>
      <c r="CF44" s="1153" t="s">
        <v>56</v>
      </c>
      <c r="CG44" s="1154">
        <v>45566</v>
      </c>
      <c r="CH44" s="1154">
        <v>3308771</v>
      </c>
      <c r="CI44" s="1154">
        <v>187</v>
      </c>
      <c r="CJ44" s="1155">
        <v>191371995</v>
      </c>
      <c r="CK44" s="1153">
        <v>20181333</v>
      </c>
      <c r="CL44" s="1154">
        <v>24809831</v>
      </c>
      <c r="CM44" s="1154">
        <v>5185837</v>
      </c>
      <c r="CN44" s="1154">
        <v>135290780</v>
      </c>
      <c r="CO44" s="1154">
        <v>5131131</v>
      </c>
      <c r="CP44" s="1154">
        <v>381970906</v>
      </c>
      <c r="CQ44" s="1154">
        <v>58904.8034364337</v>
      </c>
      <c r="CR44" s="1156">
        <f t="shared" si="8"/>
        <v>1.2416227238810909E-2</v>
      </c>
      <c r="CS44" s="1156">
        <f t="shared" si="9"/>
        <v>1.1094212342536101E-2</v>
      </c>
      <c r="CT44" s="1156">
        <f t="shared" si="10"/>
        <v>1.9601323706272223E-3</v>
      </c>
      <c r="CU44" s="1156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911"/>
      <c r="C45" s="912"/>
      <c r="D45" s="912"/>
      <c r="E45" s="912" t="s">
        <v>952</v>
      </c>
      <c r="F45" s="912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14"/>
      <c r="X45" s="914"/>
      <c r="Y45" s="914"/>
      <c r="Z45" s="914"/>
      <c r="AA45" s="914"/>
      <c r="AB45" s="914"/>
      <c r="AC45" s="914"/>
      <c r="AD45" s="914"/>
      <c r="AE45" s="914"/>
      <c r="AF45" s="914"/>
      <c r="AG45" s="914"/>
      <c r="AH45" s="914"/>
      <c r="AI45" s="914"/>
      <c r="AJ45" s="914"/>
      <c r="AK45" s="914"/>
      <c r="AL45" s="914"/>
      <c r="AM45" s="914"/>
      <c r="AN45" s="914"/>
      <c r="AO45" s="914"/>
      <c r="AP45" s="914"/>
      <c r="AQ45" s="914"/>
      <c r="AR45" s="914"/>
      <c r="AS45" s="914"/>
      <c r="AT45" s="914"/>
      <c r="AU45" s="914"/>
      <c r="AV45" s="914"/>
      <c r="AW45" s="914"/>
      <c r="AX45" s="914"/>
      <c r="AY45" s="914"/>
      <c r="AZ45" s="914"/>
      <c r="BA45" s="914"/>
      <c r="BB45" s="914"/>
      <c r="BC45" s="914"/>
      <c r="BD45" s="914"/>
      <c r="BE45" s="914"/>
      <c r="BF45" s="914"/>
      <c r="BG45" s="914"/>
      <c r="BH45" s="914"/>
      <c r="BI45" s="914"/>
      <c r="BJ45" s="912"/>
      <c r="BK45" s="912"/>
      <c r="BL45" s="1025">
        <f>BT45</f>
        <v>5.3362770936329006E-4</v>
      </c>
      <c r="BN45" s="1081"/>
      <c r="BO45" s="1078"/>
      <c r="BP45" s="1085"/>
      <c r="BQ45" s="1082"/>
      <c r="BR45" s="1078"/>
      <c r="BS45" s="1082"/>
      <c r="BT45" s="1106">
        <f>CU62*(1+$BU$53)</f>
        <v>5.3362770936329006E-4</v>
      </c>
      <c r="BU45" s="1082">
        <f>BT45*G41</f>
        <v>2.0592158194129077E-2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9" t="s">
        <v>58</v>
      </c>
      <c r="CG45" s="1150">
        <v>30979</v>
      </c>
      <c r="CH45" s="1150">
        <v>2017902</v>
      </c>
      <c r="CI45" s="1150">
        <v>261</v>
      </c>
      <c r="CJ45" s="1151">
        <v>133224360</v>
      </c>
      <c r="CK45" s="1149">
        <v>19396995</v>
      </c>
      <c r="CL45" s="1150">
        <v>15123200</v>
      </c>
      <c r="CM45" s="1150">
        <v>1533922</v>
      </c>
      <c r="CN45" s="1150">
        <v>78676858</v>
      </c>
      <c r="CO45" s="1150">
        <v>2505229</v>
      </c>
      <c r="CP45" s="1150">
        <v>250460563</v>
      </c>
      <c r="CQ45" s="1150">
        <v>43739.341649106158</v>
      </c>
      <c r="CR45" s="1152">
        <f>((CQ45/CG45)*$CG$18*(CJ45+CK45)*0.0000000036)/(CQ45/1000)</f>
        <v>1.3175242175504588E-2</v>
      </c>
      <c r="CS45" s="1152">
        <f t="shared" si="9"/>
        <v>9.4339879660415103E-3</v>
      </c>
      <c r="CT45" s="1152">
        <f t="shared" si="10"/>
        <v>1.7574330998418282E-3</v>
      </c>
      <c r="CU45" s="1152">
        <f t="shared" si="11"/>
        <v>1.7825362987830464E-4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 ht="15">
      <c r="B4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948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7">
        <f>BN46</f>
        <v>5.7576644935841491E-2</v>
      </c>
      <c r="BN46" s="1099">
        <f>CR63*DwellingStocks!X26*(1+BO53)</f>
        <v>5.7576644935841491E-2</v>
      </c>
      <c r="BO46" s="1100">
        <f>BN46*G46</f>
        <v>2.2400255530598709</v>
      </c>
      <c r="BP46" s="1101"/>
      <c r="BQ46" s="1102"/>
      <c r="BR46" s="1100"/>
      <c r="BS46" s="1102"/>
      <c r="BT46" s="1107"/>
      <c r="BU46" s="1102"/>
      <c r="BW46" s="80"/>
      <c r="BX46" s="80"/>
      <c r="BY46" s="80"/>
      <c r="BZ46" s="80"/>
      <c r="CA46" s="80"/>
      <c r="CB46" s="80"/>
      <c r="CC46" s="80"/>
      <c r="CD46" s="80"/>
      <c r="CE46" s="80"/>
      <c r="CF46" s="1153" t="s">
        <v>60</v>
      </c>
      <c r="CG46" s="1154">
        <v>15595</v>
      </c>
      <c r="CH46" s="1154">
        <v>931541</v>
      </c>
      <c r="CI46" s="1154">
        <v>337</v>
      </c>
      <c r="CJ46" s="1155">
        <v>83766308</v>
      </c>
      <c r="CK46" s="1153">
        <v>16239436</v>
      </c>
      <c r="CL46" s="1154">
        <v>7086953</v>
      </c>
      <c r="CM46" s="1154">
        <v>575189</v>
      </c>
      <c r="CN46" s="1154">
        <v>37375430</v>
      </c>
      <c r="CO46" s="1154">
        <v>1099500</v>
      </c>
      <c r="CP46" s="1154">
        <v>146142817</v>
      </c>
      <c r="CQ46" s="1154">
        <v>25767.876472761334</v>
      </c>
      <c r="CR46" s="1156">
        <f>((CQ46/CG46)*$CG$18*(CJ46+CK46)*0.0000000036)/(CQ46/1000)</f>
        <v>1.7149452612704487E-2</v>
      </c>
      <c r="CS46" s="1156">
        <f t="shared" si="9"/>
        <v>8.8816766912471947E-3</v>
      </c>
      <c r="CT46" s="1156">
        <f t="shared" si="10"/>
        <v>1.6359750432831035E-3</v>
      </c>
      <c r="CU46" s="1156">
        <f t="shared" si="11"/>
        <v>1.3277848028214173E-4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909"/>
      <c r="C47" s="490"/>
      <c r="D47" s="489"/>
      <c r="E47" s="489" t="s">
        <v>949</v>
      </c>
      <c r="F47" s="489"/>
      <c r="G47" s="1019"/>
      <c r="H47" s="1019"/>
      <c r="I47" s="1019"/>
      <c r="J47" s="1019"/>
      <c r="K47" s="1019"/>
      <c r="L47" s="1019"/>
      <c r="M47" s="1019"/>
      <c r="N47" s="1019"/>
      <c r="O47" s="1019"/>
      <c r="P47" s="1019"/>
      <c r="Q47" s="1019"/>
      <c r="R47" s="1019"/>
      <c r="S47" s="1019"/>
      <c r="T47" s="1019"/>
      <c r="U47" s="1019"/>
      <c r="V47" s="1019"/>
      <c r="W47" s="1019"/>
      <c r="X47" s="1019"/>
      <c r="Y47" s="1019"/>
      <c r="Z47" s="1019"/>
      <c r="AA47" s="1019"/>
      <c r="AB47" s="1019"/>
      <c r="AC47" s="1019"/>
      <c r="AD47" s="1019"/>
      <c r="AE47" s="1019"/>
      <c r="AF47" s="1019"/>
      <c r="AG47" s="1019"/>
      <c r="AH47" s="1019"/>
      <c r="AI47" s="1019"/>
      <c r="AJ47" s="1019"/>
      <c r="AK47" s="1019"/>
      <c r="AL47" s="1019"/>
      <c r="AM47" s="1019"/>
      <c r="AN47" s="1019"/>
      <c r="AO47" s="1019"/>
      <c r="AP47" s="1019"/>
      <c r="AQ47" s="1019"/>
      <c r="AR47" s="1019"/>
      <c r="AS47" s="1019"/>
      <c r="AT47" s="1019"/>
      <c r="AU47" s="1019"/>
      <c r="AV47" s="1019"/>
      <c r="AW47" s="1019"/>
      <c r="AX47" s="1019"/>
      <c r="AY47" s="1019"/>
      <c r="AZ47" s="1019"/>
      <c r="BA47" s="1019"/>
      <c r="BB47" s="1019"/>
      <c r="BC47" s="1019"/>
      <c r="BD47" s="1019"/>
      <c r="BE47" s="1019"/>
      <c r="BF47" s="1019"/>
      <c r="BG47" s="1019"/>
      <c r="BH47" s="1019"/>
      <c r="BI47" s="1019"/>
      <c r="BJ47" s="489"/>
      <c r="BK47" s="489"/>
      <c r="BL47" s="1020">
        <v>0</v>
      </c>
      <c r="BN47" s="355"/>
      <c r="BO47" s="226"/>
      <c r="BP47" s="355"/>
      <c r="BQ47" s="375"/>
      <c r="BR47" s="1078"/>
      <c r="BS47" s="1082"/>
      <c r="BT47" s="1106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9" t="s">
        <v>62</v>
      </c>
      <c r="CG47" s="1150">
        <v>5191</v>
      </c>
      <c r="CH47" s="1150">
        <v>290189</v>
      </c>
      <c r="CI47" s="1150">
        <v>413</v>
      </c>
      <c r="CJ47" s="1151">
        <v>36993288</v>
      </c>
      <c r="CK47" s="1149">
        <v>7041768</v>
      </c>
      <c r="CL47" s="1150">
        <v>2218849</v>
      </c>
      <c r="CM47" s="1150">
        <v>235069</v>
      </c>
      <c r="CN47" s="1150">
        <v>12463794</v>
      </c>
      <c r="CO47" s="1150">
        <v>507628</v>
      </c>
      <c r="CP47" s="1150">
        <v>59460396</v>
      </c>
      <c r="CQ47" s="1150">
        <v>12331.173226884033</v>
      </c>
      <c r="CR47" s="1152">
        <f t="shared" si="8"/>
        <v>2.2686015294626209E-2</v>
      </c>
      <c r="CS47" s="1152">
        <f t="shared" si="9"/>
        <v>8.995784858408783E-3</v>
      </c>
      <c r="CT47" s="1152">
        <f t="shared" si="10"/>
        <v>1.5387895203236371E-3</v>
      </c>
      <c r="CU47" s="1152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910"/>
      <c r="C48" s="328"/>
      <c r="D48" s="328"/>
      <c r="E48" s="328" t="s">
        <v>950</v>
      </c>
      <c r="F48" s="328"/>
      <c r="G48" s="1023"/>
      <c r="H48" s="1023"/>
      <c r="I48" s="1023"/>
      <c r="J48" s="1023"/>
      <c r="K48" s="1023"/>
      <c r="L48" s="1023"/>
      <c r="M48" s="1023"/>
      <c r="N48" s="1023"/>
      <c r="O48" s="1023"/>
      <c r="P48" s="1023"/>
      <c r="Q48" s="1023"/>
      <c r="R48" s="1023"/>
      <c r="S48" s="1023"/>
      <c r="T48" s="1023"/>
      <c r="U48" s="1023"/>
      <c r="V48" s="1023"/>
      <c r="W48" s="1023"/>
      <c r="X48" s="1023"/>
      <c r="Y48" s="1023"/>
      <c r="Z48" s="1023"/>
      <c r="AA48" s="1023"/>
      <c r="AB48" s="1023"/>
      <c r="AC48" s="1023"/>
      <c r="AD48" s="1023"/>
      <c r="AE48" s="1023"/>
      <c r="AF48" s="1023"/>
      <c r="AG48" s="1023"/>
      <c r="AH48" s="1023"/>
      <c r="AI48" s="1023"/>
      <c r="AJ48" s="1023"/>
      <c r="AK48" s="1023"/>
      <c r="AL48" s="1023"/>
      <c r="AM48" s="1023"/>
      <c r="AN48" s="1023"/>
      <c r="AO48" s="1023"/>
      <c r="AP48" s="1023"/>
      <c r="AQ48" s="1023"/>
      <c r="AR48" s="1023"/>
      <c r="AS48" s="1023"/>
      <c r="AT48" s="1023"/>
      <c r="AU48" s="1023"/>
      <c r="AV48" s="1023"/>
      <c r="AW48" s="1023"/>
      <c r="AX48" s="1023"/>
      <c r="AY48" s="1023"/>
      <c r="AZ48" s="1023"/>
      <c r="BA48" s="1023"/>
      <c r="BB48" s="1023"/>
      <c r="BC48" s="1023"/>
      <c r="BD48" s="1023"/>
      <c r="BE48" s="1023"/>
      <c r="BF48" s="1023"/>
      <c r="BG48" s="1023"/>
      <c r="BH48" s="1023"/>
      <c r="BI48" s="1023"/>
      <c r="BJ48" s="328"/>
      <c r="BK48" s="328"/>
      <c r="BL48" s="1024">
        <f>BP48</f>
        <v>1.084252669602076E-2</v>
      </c>
      <c r="BN48" s="355"/>
      <c r="BO48" s="226"/>
      <c r="BP48" s="1085">
        <f>CS63*(1+BQ53)</f>
        <v>1.084252669602076E-2</v>
      </c>
      <c r="BQ48" s="1082">
        <f>BP48*G46</f>
        <v>0.42182966523812354</v>
      </c>
      <c r="BR48" s="1078"/>
      <c r="BS48" s="1082"/>
      <c r="BT48" s="1106"/>
      <c r="BU48" s="375"/>
      <c r="BW48" s="80" t="s">
        <v>836</v>
      </c>
      <c r="BY48" s="80"/>
      <c r="BZ48" s="80"/>
      <c r="CA48" s="80"/>
      <c r="CB48" s="80"/>
      <c r="CC48" s="80"/>
      <c r="CD48" s="80"/>
      <c r="CE48" s="80"/>
      <c r="CF48" s="1153" t="s">
        <v>64</v>
      </c>
      <c r="CG48" s="1154">
        <v>5603</v>
      </c>
      <c r="CH48" s="1154">
        <v>294590</v>
      </c>
      <c r="CI48" s="1154">
        <v>602</v>
      </c>
      <c r="CJ48" s="1155">
        <v>59600854</v>
      </c>
      <c r="CK48" s="1153">
        <v>9624009</v>
      </c>
      <c r="CL48" s="1154">
        <v>2310613</v>
      </c>
      <c r="CM48" s="1154">
        <v>213528</v>
      </c>
      <c r="CN48" s="1154">
        <v>12820227</v>
      </c>
      <c r="CO48" s="1154">
        <v>550098</v>
      </c>
      <c r="CP48" s="1154">
        <v>85119330</v>
      </c>
      <c r="CQ48" s="1154">
        <v>15211.172212670604</v>
      </c>
      <c r="CR48" s="1156">
        <f t="shared" si="8"/>
        <v>3.304092361183459E-2</v>
      </c>
      <c r="CS48" s="1156">
        <f t="shared" si="9"/>
        <v>8.5906068177761911E-3</v>
      </c>
      <c r="CT48" s="1156">
        <f t="shared" si="10"/>
        <v>1.4845987506692845E-3</v>
      </c>
      <c r="CU48" s="1156">
        <f t="shared" si="11"/>
        <v>1.3719450294485098E-4</v>
      </c>
    </row>
    <row r="49" spans="2:99" ht="13.5" thickBot="1">
      <c r="B49" s="909"/>
      <c r="C49" s="490"/>
      <c r="D49" s="489"/>
      <c r="E49" s="489" t="s">
        <v>951</v>
      </c>
      <c r="F49" s="489"/>
      <c r="G49" s="1019"/>
      <c r="H49" s="1019"/>
      <c r="I49" s="1019"/>
      <c r="J49" s="1019"/>
      <c r="K49" s="1019"/>
      <c r="L49" s="1019"/>
      <c r="M49" s="1019"/>
      <c r="N49" s="1019"/>
      <c r="O49" s="1019"/>
      <c r="P49" s="1019"/>
      <c r="Q49" s="1019"/>
      <c r="R49" s="1019"/>
      <c r="S49" s="1019"/>
      <c r="T49" s="1019"/>
      <c r="U49" s="1019"/>
      <c r="V49" s="1019"/>
      <c r="W49" s="1019"/>
      <c r="X49" s="1019"/>
      <c r="Y49" s="1019"/>
      <c r="Z49" s="1019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489"/>
      <c r="BK49" s="489"/>
      <c r="BL49" s="1020">
        <f>BR49</f>
        <v>2.223382448768262E-3</v>
      </c>
      <c r="BN49" s="355"/>
      <c r="BO49" s="226"/>
      <c r="BP49" s="1086"/>
      <c r="BQ49" s="1087"/>
      <c r="BR49" s="1078">
        <f>CT63*(1+BS53)</f>
        <v>2.223382448768262E-3</v>
      </c>
      <c r="BS49" s="1082">
        <f>BR49*G46</f>
        <v>8.650093288720638E-2</v>
      </c>
      <c r="BT49" s="1106"/>
      <c r="BU49" s="375"/>
      <c r="BW49" s="80"/>
      <c r="BX49" s="885" t="s">
        <v>832</v>
      </c>
      <c r="BY49" s="885" t="s">
        <v>835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1115</v>
      </c>
      <c r="CR49" s="1161">
        <f>AVERAGE(CR40:CR48)</f>
        <v>1.3467600237253401E-2</v>
      </c>
      <c r="CS49" s="1162">
        <f t="shared" ref="CS49:CU49" si="12">AVERAGE(CS40:CS48)</f>
        <v>8.8171772237418834E-3</v>
      </c>
      <c r="CT49" s="1162">
        <f>AVERAGE(CT40:CT48)</f>
        <v>1.7665001567785923E-3</v>
      </c>
      <c r="CU49" s="1162">
        <f t="shared" si="12"/>
        <v>4.5232880476158994E-4</v>
      </c>
    </row>
    <row r="50" spans="2:99" ht="13.5" thickBot="1">
      <c r="B50" s="911"/>
      <c r="C50" s="912"/>
      <c r="D50" s="912"/>
      <c r="E50" s="912" t="s">
        <v>952</v>
      </c>
      <c r="F50" s="912"/>
      <c r="G50" s="914"/>
      <c r="H50" s="914"/>
      <c r="I50" s="914"/>
      <c r="J50" s="914"/>
      <c r="K50" s="914"/>
      <c r="L50" s="914"/>
      <c r="M50" s="914"/>
      <c r="N50" s="914"/>
      <c r="O50" s="914"/>
      <c r="P50" s="914"/>
      <c r="Q50" s="914"/>
      <c r="R50" s="914"/>
      <c r="S50" s="914"/>
      <c r="T50" s="914"/>
      <c r="U50" s="914"/>
      <c r="V50" s="914"/>
      <c r="W50" s="914"/>
      <c r="X50" s="914"/>
      <c r="Y50" s="914"/>
      <c r="Z50" s="914"/>
      <c r="AA50" s="914"/>
      <c r="AB50" s="914"/>
      <c r="AC50" s="914"/>
      <c r="AD50" s="914"/>
      <c r="AE50" s="914"/>
      <c r="AF50" s="914"/>
      <c r="AG50" s="914"/>
      <c r="AH50" s="914"/>
      <c r="AI50" s="914"/>
      <c r="AJ50" s="914"/>
      <c r="AK50" s="914"/>
      <c r="AL50" s="914"/>
      <c r="AM50" s="914"/>
      <c r="AN50" s="914"/>
      <c r="AO50" s="914"/>
      <c r="AP50" s="914"/>
      <c r="AQ50" s="914"/>
      <c r="AR50" s="914"/>
      <c r="AS50" s="914"/>
      <c r="AT50" s="914"/>
      <c r="AU50" s="914"/>
      <c r="AV50" s="914"/>
      <c r="AW50" s="914"/>
      <c r="AX50" s="914"/>
      <c r="AY50" s="914"/>
      <c r="AZ50" s="914"/>
      <c r="BA50" s="914"/>
      <c r="BB50" s="914"/>
      <c r="BC50" s="914"/>
      <c r="BD50" s="914"/>
      <c r="BE50" s="914"/>
      <c r="BF50" s="914"/>
      <c r="BG50" s="914"/>
      <c r="BH50" s="914"/>
      <c r="BI50" s="914"/>
      <c r="BJ50" s="912"/>
      <c r="BK50" s="912"/>
      <c r="BL50" s="1025">
        <f>BT50</f>
        <v>3.7957349540579524E-4</v>
      </c>
      <c r="BN50" s="367"/>
      <c r="BO50" s="1074"/>
      <c r="BP50" s="1088"/>
      <c r="BQ50" s="1089"/>
      <c r="BR50" s="1083"/>
      <c r="BS50" s="1084"/>
      <c r="BT50" s="1105">
        <f>CU63*(1+$BU$53)</f>
        <v>3.7957349540579524E-4</v>
      </c>
      <c r="BU50" s="1084">
        <f>BT50*G46</f>
        <v>1.4767347592425468E-2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073" t="s">
        <v>254</v>
      </c>
      <c r="C51" s="1071"/>
      <c r="D51" s="1071"/>
      <c r="E51" s="1071"/>
      <c r="F51" s="1071"/>
      <c r="G51" s="1072"/>
      <c r="H51" s="1072"/>
      <c r="I51" s="1072"/>
      <c r="J51" s="1072"/>
      <c r="K51" s="1072"/>
      <c r="L51" s="1072"/>
      <c r="M51" s="1072"/>
      <c r="N51" s="1072"/>
      <c r="O51" s="1072"/>
      <c r="P51" s="1072"/>
      <c r="Q51" s="1072"/>
      <c r="R51" s="1072"/>
      <c r="S51" s="1072"/>
      <c r="T51" s="1072"/>
      <c r="U51" s="1072"/>
      <c r="V51" s="1072"/>
      <c r="W51" s="1072"/>
      <c r="X51" s="1072"/>
      <c r="Y51" s="1072"/>
      <c r="Z51" s="1072"/>
      <c r="AA51" s="1072"/>
      <c r="AB51" s="1072"/>
      <c r="AC51" s="1072"/>
      <c r="AD51" s="1072"/>
      <c r="AE51" s="1072"/>
      <c r="AF51" s="1072"/>
      <c r="AG51" s="1072"/>
      <c r="AH51" s="1072"/>
      <c r="AI51" s="1072"/>
      <c r="AJ51" s="1072"/>
      <c r="AK51" s="1072"/>
      <c r="AL51" s="1072"/>
      <c r="AM51" s="1072"/>
      <c r="AN51" s="1072"/>
      <c r="AO51" s="1072"/>
      <c r="AP51" s="1072"/>
      <c r="AQ51" s="1072"/>
      <c r="AR51" s="1072"/>
      <c r="AS51" s="1072"/>
      <c r="AT51" s="1072"/>
      <c r="AU51" s="1072"/>
      <c r="AV51" s="1072"/>
      <c r="AW51" s="1072"/>
      <c r="AX51" s="1072"/>
      <c r="AY51" s="1072"/>
      <c r="AZ51" s="1072"/>
      <c r="BA51" s="1072"/>
      <c r="BB51" s="1072"/>
      <c r="BC51" s="1072"/>
      <c r="BD51" s="1072"/>
      <c r="BE51" s="1072"/>
      <c r="BF51" s="1072"/>
      <c r="BG51" s="1072"/>
      <c r="BH51" s="1072"/>
      <c r="BI51" s="1072"/>
      <c r="BJ51" s="1071"/>
      <c r="BK51" s="1071"/>
      <c r="BL51" s="1024"/>
      <c r="BN51" s="365" t="s">
        <v>937</v>
      </c>
      <c r="BO51" s="354">
        <f>'SHWLP-Att'!AB27</f>
        <v>22.183734010965356</v>
      </c>
      <c r="BP51" s="358"/>
      <c r="BQ51" s="359">
        <f>'SHWLP-Att'!AB54</f>
        <v>7.9090104773535774</v>
      </c>
      <c r="BR51" s="358"/>
      <c r="BS51" s="359">
        <f>'SHWLP-Att'!AC59</f>
        <v>1.8080718525599928</v>
      </c>
      <c r="BT51" s="358"/>
      <c r="BU51" s="359">
        <f>'SHWLP-Att'!AC60</f>
        <v>0.50068510037742064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073" t="s">
        <v>254</v>
      </c>
      <c r="C52" s="1071"/>
      <c r="D52" s="1071"/>
      <c r="E52" s="1071"/>
      <c r="F52" s="1071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072"/>
      <c r="V52" s="1072"/>
      <c r="W52" s="1072"/>
      <c r="X52" s="1072"/>
      <c r="Y52" s="1072"/>
      <c r="Z52" s="1072"/>
      <c r="AA52" s="1072"/>
      <c r="AB52" s="1072"/>
      <c r="AC52" s="1072"/>
      <c r="AD52" s="1072"/>
      <c r="AE52" s="1072"/>
      <c r="AF52" s="1072"/>
      <c r="AG52" s="1072"/>
      <c r="AH52" s="1072"/>
      <c r="AI52" s="1072"/>
      <c r="AJ52" s="1072"/>
      <c r="AK52" s="1072"/>
      <c r="AL52" s="1072"/>
      <c r="AM52" s="1072"/>
      <c r="AN52" s="1072"/>
      <c r="AO52" s="1072"/>
      <c r="AP52" s="1072"/>
      <c r="AQ52" s="1072"/>
      <c r="AR52" s="1072"/>
      <c r="AS52" s="1072"/>
      <c r="AT52" s="1072"/>
      <c r="AU52" s="1072"/>
      <c r="AV52" s="1072"/>
      <c r="AW52" s="1072"/>
      <c r="AX52" s="1072"/>
      <c r="AY52" s="1072"/>
      <c r="AZ52" s="1072"/>
      <c r="BA52" s="1072"/>
      <c r="BB52" s="1072"/>
      <c r="BC52" s="1072"/>
      <c r="BD52" s="1072"/>
      <c r="BE52" s="1072"/>
      <c r="BF52" s="1072"/>
      <c r="BG52" s="1072"/>
      <c r="BH52" s="1072"/>
      <c r="BI52" s="1072"/>
      <c r="BJ52" s="1071"/>
      <c r="BK52" s="1071"/>
      <c r="BL52" s="1024"/>
      <c r="BN52" s="1075" t="s">
        <v>938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073" t="s">
        <v>254</v>
      </c>
      <c r="C53" s="1071"/>
      <c r="D53" s="1071"/>
      <c r="E53" s="1071"/>
      <c r="F53" s="1071"/>
      <c r="G53" s="1072"/>
      <c r="H53" s="1072"/>
      <c r="I53" s="1072"/>
      <c r="J53" s="1072"/>
      <c r="K53" s="1072"/>
      <c r="L53" s="1072"/>
      <c r="M53" s="1072"/>
      <c r="N53" s="1072"/>
      <c r="O53" s="1072"/>
      <c r="P53" s="1072"/>
      <c r="Q53" s="1072"/>
      <c r="R53" s="1072"/>
      <c r="S53" s="1072"/>
      <c r="T53" s="1072"/>
      <c r="U53" s="1072"/>
      <c r="V53" s="1072"/>
      <c r="W53" s="1072"/>
      <c r="X53" s="1072"/>
      <c r="Y53" s="1072"/>
      <c r="Z53" s="1072"/>
      <c r="AA53" s="1072"/>
      <c r="AB53" s="1072"/>
      <c r="AC53" s="1072"/>
      <c r="AD53" s="1072"/>
      <c r="AE53" s="1072"/>
      <c r="AF53" s="1072"/>
      <c r="AG53" s="1072"/>
      <c r="AH53" s="1072"/>
      <c r="AI53" s="1072"/>
      <c r="AJ53" s="1072"/>
      <c r="AK53" s="1072"/>
      <c r="AL53" s="1072"/>
      <c r="AM53" s="1072"/>
      <c r="AN53" s="1072"/>
      <c r="AO53" s="1072"/>
      <c r="AP53" s="1072"/>
      <c r="AQ53" s="1072"/>
      <c r="AR53" s="1072"/>
      <c r="AS53" s="1072"/>
      <c r="AT53" s="1072"/>
      <c r="AU53" s="1072"/>
      <c r="AV53" s="1072"/>
      <c r="AW53" s="1072"/>
      <c r="AX53" s="1072"/>
      <c r="AY53" s="1072"/>
      <c r="AZ53" s="1072"/>
      <c r="BA53" s="1072"/>
      <c r="BB53" s="1072"/>
      <c r="BC53" s="1072"/>
      <c r="BD53" s="1072"/>
      <c r="BE53" s="1072"/>
      <c r="BF53" s="1072"/>
      <c r="BG53" s="1072"/>
      <c r="BH53" s="1072"/>
      <c r="BI53" s="1072"/>
      <c r="BJ53" s="1071"/>
      <c r="BK53" s="1071"/>
      <c r="BL53" s="1024"/>
      <c r="BN53" s="1076" t="s">
        <v>939</v>
      </c>
      <c r="BO53" s="1090">
        <f>((BO51-BO52)/BO52)</f>
        <v>0.35742266079708168</v>
      </c>
      <c r="BP53" s="355"/>
      <c r="BQ53" s="1090">
        <f>((BQ51-BQ52)/BQ52)</f>
        <v>-0.33761635919675148</v>
      </c>
      <c r="BR53" s="355"/>
      <c r="BS53" s="1090">
        <f t="shared" ref="BS53:BU53" si="14">((BS51-BS52)/BS52)</f>
        <v>-8.1399572939983122E-2</v>
      </c>
      <c r="BT53" s="355"/>
      <c r="BU53" s="1090">
        <f t="shared" si="14"/>
        <v>-9.8849422434179213E-2</v>
      </c>
      <c r="BW53" s="80"/>
      <c r="CE53" s="80"/>
      <c r="CF53" s="1241" t="s">
        <v>44</v>
      </c>
      <c r="CG53" s="1242" t="s">
        <v>44</v>
      </c>
      <c r="CH53" s="1242" t="s">
        <v>44</v>
      </c>
      <c r="CI53" s="1242" t="s">
        <v>44</v>
      </c>
      <c r="CJ53" s="1242" t="s">
        <v>44</v>
      </c>
      <c r="CK53" s="1242" t="s">
        <v>44</v>
      </c>
      <c r="CL53" s="1242" t="s">
        <v>44</v>
      </c>
      <c r="CM53" s="1242" t="s">
        <v>44</v>
      </c>
      <c r="CN53" s="1242" t="s">
        <v>44</v>
      </c>
      <c r="CO53" s="1242" t="s">
        <v>44</v>
      </c>
      <c r="CP53" s="1242" t="s">
        <v>44</v>
      </c>
      <c r="CQ53" s="1242"/>
      <c r="CR53" s="1243" t="s">
        <v>898</v>
      </c>
      <c r="CS53" s="1244"/>
      <c r="CT53" s="1244"/>
      <c r="CU53" s="1244"/>
    </row>
    <row r="54" spans="2:99">
      <c r="B54" s="1073" t="s">
        <v>254</v>
      </c>
      <c r="C54" s="1071"/>
      <c r="D54" s="1071"/>
      <c r="E54" s="1071"/>
      <c r="F54" s="1071"/>
      <c r="G54" s="1072"/>
      <c r="H54" s="1072"/>
      <c r="I54" s="1072"/>
      <c r="J54" s="1072"/>
      <c r="K54" s="1072"/>
      <c r="L54" s="1072"/>
      <c r="M54" s="1072"/>
      <c r="N54" s="1072"/>
      <c r="O54" s="1072"/>
      <c r="P54" s="1072"/>
      <c r="Q54" s="1072"/>
      <c r="R54" s="1072"/>
      <c r="S54" s="1072"/>
      <c r="T54" s="1072"/>
      <c r="U54" s="1072"/>
      <c r="V54" s="1072"/>
      <c r="W54" s="1072"/>
      <c r="X54" s="1072"/>
      <c r="Y54" s="1072"/>
      <c r="Z54" s="1072"/>
      <c r="AA54" s="1072"/>
      <c r="AB54" s="1072"/>
      <c r="AC54" s="1072"/>
      <c r="AD54" s="1072"/>
      <c r="AE54" s="1072"/>
      <c r="AF54" s="1072"/>
      <c r="AG54" s="1072"/>
      <c r="AH54" s="1072"/>
      <c r="AI54" s="1072"/>
      <c r="AJ54" s="1072"/>
      <c r="AK54" s="1072"/>
      <c r="AL54" s="1072"/>
      <c r="AM54" s="1072"/>
      <c r="AN54" s="1072"/>
      <c r="AO54" s="1072"/>
      <c r="AP54" s="1072"/>
      <c r="AQ54" s="1072"/>
      <c r="AR54" s="1072"/>
      <c r="AS54" s="1072"/>
      <c r="AT54" s="1072"/>
      <c r="AU54" s="1072"/>
      <c r="AV54" s="1072"/>
      <c r="AW54" s="1072"/>
      <c r="AX54" s="1072"/>
      <c r="AY54" s="1072"/>
      <c r="AZ54" s="1072"/>
      <c r="BA54" s="1072"/>
      <c r="BB54" s="1072"/>
      <c r="BC54" s="1072"/>
      <c r="BD54" s="1072"/>
      <c r="BE54" s="1072"/>
      <c r="BF54" s="1072"/>
      <c r="BG54" s="1072"/>
      <c r="BH54" s="1072"/>
      <c r="BI54" s="1072"/>
      <c r="BJ54" s="1071"/>
      <c r="BK54" s="1071"/>
      <c r="BL54" s="1024"/>
      <c r="BN54" s="1075" t="s">
        <v>940</v>
      </c>
      <c r="BO54" s="1078">
        <f>SUM(BO6:BO46)</f>
        <v>22.18373401096536</v>
      </c>
      <c r="BP54" s="355"/>
      <c r="BQ54" s="1082">
        <f>SUM(BQ6:BQ50)</f>
        <v>7.9090104773535757</v>
      </c>
      <c r="BR54" s="355"/>
      <c r="BS54" s="1082">
        <f t="shared" ref="BS54" si="15">SUM(BS6:BS50)</f>
        <v>1.8080718525599928</v>
      </c>
      <c r="BT54" s="355"/>
      <c r="BU54" s="1082">
        <f>SUM(BU6:BU50)</f>
        <v>0.50068510037742064</v>
      </c>
      <c r="BW54" s="80"/>
      <c r="CE54" s="80"/>
      <c r="CF54" s="1157" t="s">
        <v>287</v>
      </c>
      <c r="CG54" s="1158" t="s">
        <v>396</v>
      </c>
      <c r="CH54" s="1158" t="s">
        <v>397</v>
      </c>
      <c r="CI54" s="1159" t="s">
        <v>893</v>
      </c>
      <c r="CJ54" s="1157" t="s">
        <v>894</v>
      </c>
      <c r="CK54" s="1157" t="s">
        <v>895</v>
      </c>
      <c r="CL54" s="1158" t="s">
        <v>415</v>
      </c>
      <c r="CM54" s="1158" t="s">
        <v>892</v>
      </c>
      <c r="CN54" s="1159" t="s">
        <v>896</v>
      </c>
      <c r="CO54" s="1157" t="s">
        <v>897</v>
      </c>
      <c r="CP54" s="1158" t="s">
        <v>218</v>
      </c>
      <c r="CQ54" s="1160"/>
      <c r="CR54" s="1163" t="s">
        <v>219</v>
      </c>
      <c r="CS54" s="1163" t="s">
        <v>891</v>
      </c>
      <c r="CT54" s="1163" t="s">
        <v>221</v>
      </c>
      <c r="CU54" s="1163" t="s">
        <v>892</v>
      </c>
    </row>
    <row r="55" spans="2:99" ht="13.5" thickBot="1">
      <c r="B55" s="1073" t="s">
        <v>254</v>
      </c>
      <c r="C55" s="1071"/>
      <c r="D55" s="1071"/>
      <c r="E55" s="1071"/>
      <c r="F55" s="1071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1072"/>
      <c r="BB55" s="1072"/>
      <c r="BC55" s="1072"/>
      <c r="BD55" s="1072"/>
      <c r="BE55" s="1072"/>
      <c r="BF55" s="1072"/>
      <c r="BG55" s="1072"/>
      <c r="BH55" s="1072"/>
      <c r="BI55" s="1072"/>
      <c r="BJ55" s="1071"/>
      <c r="BK55" s="1071"/>
      <c r="BL55" s="1024"/>
      <c r="BN55" s="1079" t="s">
        <v>941</v>
      </c>
      <c r="BO55" s="1080">
        <f>((BO51-BO54)/BO54)</f>
        <v>-1.6014948957846339E-16</v>
      </c>
      <c r="BP55" s="367"/>
      <c r="BQ55" s="1091">
        <f t="shared" ref="BQ55" si="16">((BQ51-BQ54)/BQ54)</f>
        <v>2.2459912583079991E-16</v>
      </c>
      <c r="BR55" s="367"/>
      <c r="BS55" s="1091">
        <f t="shared" ref="BS55" si="17">((BS51-BS54)/BS54)</f>
        <v>0</v>
      </c>
      <c r="BT55" s="367"/>
      <c r="BU55" s="1091">
        <f t="shared" ref="BU55" si="18">((BU51-BU54)/BU54)</f>
        <v>0</v>
      </c>
      <c r="BW55" s="80"/>
      <c r="BX55" s="80"/>
      <c r="CF55" s="1153" t="s">
        <v>48</v>
      </c>
      <c r="CG55" s="1154">
        <v>30917</v>
      </c>
      <c r="CH55" s="1154">
        <v>3791316</v>
      </c>
      <c r="CI55" s="1154">
        <v>54</v>
      </c>
      <c r="CJ55" s="1155">
        <v>10485360</v>
      </c>
      <c r="CK55" s="1153">
        <v>1188542</v>
      </c>
      <c r="CL55" s="1154">
        <v>17730384</v>
      </c>
      <c r="CM55" s="1154">
        <v>10718118</v>
      </c>
      <c r="CN55" s="1154">
        <v>77836062</v>
      </c>
      <c r="CO55" s="1154">
        <v>4686</v>
      </c>
      <c r="CP55" s="1154">
        <v>117963152</v>
      </c>
      <c r="CQ55" s="1154">
        <v>15472.073727176739</v>
      </c>
      <c r="CR55" s="1156">
        <f>((CQ55/CG55)*$CH$18*(CJ55+CK55)*0.0000000036)/(CQ55/1000)</f>
        <v>9.510263559994104E-4</v>
      </c>
      <c r="CS55" s="1156">
        <f>((CQ55/CG55)*(CN55+CO55)*0.0000000036)/(CQ55/1000)</f>
        <v>9.0638384319306538E-3</v>
      </c>
      <c r="CT55" s="1156">
        <f>((CQ55/CG55)*(CL55)*0.0000000036)/(CQ55/1000)</f>
        <v>2.0645399747711616E-3</v>
      </c>
      <c r="CU55" s="1156">
        <f>((CQ55/CG55)*(CM55)*0.0000000036)/(CQ55/1000)</f>
        <v>1.2480261603648479E-3</v>
      </c>
    </row>
    <row r="56" spans="2:99" ht="16.5" thickBot="1">
      <c r="B5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953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7">
        <f>BN56</f>
        <v>4.5074673768629451E-4</v>
      </c>
      <c r="BN56" s="1099">
        <f>ABS(CR40*DwellingStocks!W18*(1+BO103))</f>
        <v>4.5074673768629451E-4</v>
      </c>
      <c r="BO56" s="1100">
        <f>BN56*G56</f>
        <v>5.2895302865713012E-3</v>
      </c>
      <c r="BP56" s="1101"/>
      <c r="BQ56" s="1102"/>
      <c r="BR56" s="1101"/>
      <c r="BS56" s="1102"/>
      <c r="BT56" s="1100"/>
      <c r="BU56" s="1102"/>
      <c r="BW56" s="1241" t="s">
        <v>831</v>
      </c>
      <c r="BX56" s="1242"/>
      <c r="BY56" s="1242"/>
      <c r="BZ56" s="1242"/>
      <c r="CA56" s="1249"/>
      <c r="CF56" s="1149" t="s">
        <v>50</v>
      </c>
      <c r="CG56" s="1150">
        <v>3722</v>
      </c>
      <c r="CH56" s="1150">
        <v>417890</v>
      </c>
      <c r="CI56" s="1150">
        <v>90</v>
      </c>
      <c r="CJ56" s="1151">
        <v>13034192</v>
      </c>
      <c r="CK56" s="1149">
        <v>2101151</v>
      </c>
      <c r="CL56" s="1150">
        <v>2240850</v>
      </c>
      <c r="CM56" s="1150">
        <v>788570</v>
      </c>
      <c r="CN56" s="1150">
        <v>8717545</v>
      </c>
      <c r="CO56" s="1150">
        <v>31109</v>
      </c>
      <c r="CP56" s="1150">
        <v>26913417</v>
      </c>
      <c r="CQ56" s="1150">
        <v>9537.7783975583752</v>
      </c>
      <c r="CR56" s="1152">
        <f>((CQ56/CG56)*$CH$18*(CJ56+CK56)*0.0000000036)/(CQ56/1000)</f>
        <v>1.0242117509517548E-2</v>
      </c>
      <c r="CS56" s="1152">
        <f>((CQ56/CG56)*(CN56+CO56)*0.0000000036)/(CQ56/1000)</f>
        <v>8.461889951638905E-3</v>
      </c>
      <c r="CT56" s="1152">
        <f t="shared" ref="CT56:CT57" si="19">((CQ56/CG56)*(CL56)*0.0000000036)/(CQ56/1000)</f>
        <v>2.1673992477162815E-3</v>
      </c>
      <c r="CU56" s="1152">
        <f t="shared" ref="CU56:CU57" si="20">((CQ56/CG56)*(CM56)*0.0000000036)/(CQ56/1000)</f>
        <v>7.6272219236969371E-4</v>
      </c>
    </row>
    <row r="57" spans="2:99" ht="15.75" thickBot="1">
      <c r="B57" s="909"/>
      <c r="C57" s="490"/>
      <c r="D57" s="489"/>
      <c r="E57" s="433" t="s">
        <v>954</v>
      </c>
      <c r="F57" s="489"/>
      <c r="G57" s="1019"/>
      <c r="H57" s="1019"/>
      <c r="I57" s="1019"/>
      <c r="J57" s="1019"/>
      <c r="K57" s="1019"/>
      <c r="L57" s="1019"/>
      <c r="M57" s="1019"/>
      <c r="N57" s="1019"/>
      <c r="O57" s="1019"/>
      <c r="P57" s="1019"/>
      <c r="Q57" s="1019"/>
      <c r="R57" s="1019"/>
      <c r="S57" s="1019"/>
      <c r="T57" s="1019"/>
      <c r="U57" s="1019"/>
      <c r="V57" s="1019"/>
      <c r="W57" s="1019"/>
      <c r="X57" s="1019"/>
      <c r="Y57" s="1019"/>
      <c r="Z57" s="1019"/>
      <c r="AA57" s="1019"/>
      <c r="AB57" s="1019"/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  <c r="BC57" s="1019"/>
      <c r="BD57" s="1019"/>
      <c r="BE57" s="1019"/>
      <c r="BF57" s="1019"/>
      <c r="BG57" s="1019"/>
      <c r="BH57" s="1019"/>
      <c r="BI57" s="1019"/>
      <c r="BJ57" s="489"/>
      <c r="BK57" s="489"/>
      <c r="BL57" s="1020">
        <v>0</v>
      </c>
      <c r="BN57" s="1081"/>
      <c r="BO57" s="1078"/>
      <c r="BP57" s="1085"/>
      <c r="BQ57" s="1082"/>
      <c r="BR57" s="1085"/>
      <c r="BS57" s="1082"/>
      <c r="BT57" s="1078"/>
      <c r="BU57" s="1082"/>
      <c r="BW57" s="884"/>
      <c r="BX57" s="885" t="s">
        <v>833</v>
      </c>
      <c r="BY57" s="885" t="s">
        <v>832</v>
      </c>
      <c r="BZ57" s="886" t="s">
        <v>834</v>
      </c>
      <c r="CA57" s="884" t="s">
        <v>835</v>
      </c>
      <c r="CB57" s="80"/>
      <c r="CC57" s="80"/>
      <c r="CD57" s="80"/>
      <c r="CF57" s="1153" t="s">
        <v>52</v>
      </c>
      <c r="CG57" s="1154">
        <v>7882</v>
      </c>
      <c r="CH57" s="1154">
        <v>923821</v>
      </c>
      <c r="CI57" s="1154">
        <v>116</v>
      </c>
      <c r="CJ57" s="1155">
        <v>43515430</v>
      </c>
      <c r="CK57" s="1153">
        <v>7251325</v>
      </c>
      <c r="CL57" s="1154">
        <v>5692013</v>
      </c>
      <c r="CM57" s="1154">
        <v>1593680</v>
      </c>
      <c r="CN57" s="1154">
        <v>27323207</v>
      </c>
      <c r="CO57" s="1154">
        <v>122934</v>
      </c>
      <c r="CP57" s="1154">
        <v>85498588</v>
      </c>
      <c r="CQ57" s="1154">
        <v>17545.09295382088</v>
      </c>
      <c r="CR57" s="1156">
        <f t="shared" ref="CR57:CR63" si="21">((CQ57/CG57)*$CH$18*(CJ57+CK57)*0.0000000036)/(CQ57/1000)</f>
        <v>1.6222464383632396E-2</v>
      </c>
      <c r="CS57" s="1156">
        <f t="shared" ref="CS57:CS63" si="22">((CQ57/CG57)*(CN57+CO57)*0.0000000036)/(CQ57/1000)</f>
        <v>1.2535664501395583E-2</v>
      </c>
      <c r="CT57" s="1156">
        <f t="shared" si="19"/>
        <v>2.5997521948743973E-3</v>
      </c>
      <c r="CU57" s="1156">
        <f t="shared" si="20"/>
        <v>7.2789241309312357E-4</v>
      </c>
    </row>
    <row r="58" spans="2:99" ht="15.75" thickBot="1">
      <c r="B58" s="910"/>
      <c r="C58" s="328"/>
      <c r="D58" s="328"/>
      <c r="E58" s="329" t="s">
        <v>955</v>
      </c>
      <c r="F58" s="328"/>
      <c r="G58" s="1023"/>
      <c r="H58" s="1023"/>
      <c r="I58" s="1023"/>
      <c r="J58" s="1023"/>
      <c r="K58" s="1023"/>
      <c r="L58" s="1023"/>
      <c r="M58" s="1023"/>
      <c r="N58" s="1023"/>
      <c r="O58" s="1023"/>
      <c r="P58" s="1023"/>
      <c r="Q58" s="1023"/>
      <c r="R58" s="1023"/>
      <c r="S58" s="1023"/>
      <c r="T58" s="1023"/>
      <c r="U58" s="1023"/>
      <c r="V58" s="1023"/>
      <c r="W58" s="1023"/>
      <c r="X58" s="1023"/>
      <c r="Y58" s="1023"/>
      <c r="Z58" s="1023"/>
      <c r="AA58" s="1023"/>
      <c r="AB58" s="1023"/>
      <c r="AC58" s="1023"/>
      <c r="AD58" s="1023"/>
      <c r="AE58" s="1023"/>
      <c r="AF58" s="1023"/>
      <c r="AG58" s="1023"/>
      <c r="AH58" s="1023"/>
      <c r="AI58" s="1023"/>
      <c r="AJ58" s="1023"/>
      <c r="AK58" s="1023"/>
      <c r="AL58" s="1023"/>
      <c r="AM58" s="1023"/>
      <c r="AN58" s="1023"/>
      <c r="AO58" s="1023"/>
      <c r="AP58" s="1023"/>
      <c r="AQ58" s="1023"/>
      <c r="AR58" s="1023"/>
      <c r="AS58" s="1023"/>
      <c r="AT58" s="1023"/>
      <c r="AU58" s="1023"/>
      <c r="AV58" s="1023"/>
      <c r="AW58" s="1023"/>
      <c r="AX58" s="1023"/>
      <c r="AY58" s="1023"/>
      <c r="AZ58" s="1023"/>
      <c r="BA58" s="1023"/>
      <c r="BB58" s="1023"/>
      <c r="BC58" s="1023"/>
      <c r="BD58" s="1023"/>
      <c r="BE58" s="1023"/>
      <c r="BF58" s="1023"/>
      <c r="BG58" s="1023"/>
      <c r="BH58" s="1023"/>
      <c r="BI58" s="1023"/>
      <c r="BJ58" s="328"/>
      <c r="BK58" s="328"/>
      <c r="BL58" s="1024">
        <f>BP58</f>
        <v>3.9241416262486856E-3</v>
      </c>
      <c r="BN58" s="1081"/>
      <c r="BO58" s="1078"/>
      <c r="BP58" s="1085">
        <f>CS40*(1+BQ103)</f>
        <v>3.9241416262486856E-3</v>
      </c>
      <c r="BQ58" s="1082">
        <f>BP58*G56</f>
        <v>4.604995276811899E-2</v>
      </c>
      <c r="BR58" s="1085"/>
      <c r="BS58" s="1082"/>
      <c r="BT58" s="1078"/>
      <c r="BU58" s="1082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9" t="s">
        <v>54</v>
      </c>
      <c r="CG58" s="1150">
        <v>27081</v>
      </c>
      <c r="CH58" s="1150">
        <v>2951365</v>
      </c>
      <c r="CI58" s="1150">
        <v>140</v>
      </c>
      <c r="CJ58" s="1151">
        <v>174012862</v>
      </c>
      <c r="CK58" s="1149">
        <v>34638769</v>
      </c>
      <c r="CL58" s="1150">
        <v>20069083</v>
      </c>
      <c r="CM58" s="1150">
        <v>5351092</v>
      </c>
      <c r="CN58" s="1150">
        <v>103542140</v>
      </c>
      <c r="CO58" s="1150">
        <v>1485406</v>
      </c>
      <c r="CP58" s="1150">
        <v>339099353</v>
      </c>
      <c r="CQ58" s="1150">
        <v>49768.849685929476</v>
      </c>
      <c r="CR58" s="1152">
        <f t="shared" si="21"/>
        <v>1.9405772794162134E-2</v>
      </c>
      <c r="CS58" s="1152">
        <f t="shared" si="22"/>
        <v>1.3961787437686939E-2</v>
      </c>
      <c r="CT58" s="1152">
        <f t="shared" ref="CT58:CT63" si="23">((CQ58/CG58)*(CL58)*0.0000000036)/(CQ58/1000)</f>
        <v>2.6678741110003324E-3</v>
      </c>
      <c r="CU58" s="1152">
        <f t="shared" ref="CU58:CU63" si="24">((CQ58/CG58)*(CM58)*0.0000000036)/(CQ58/1000)</f>
        <v>7.1134489863742103E-4</v>
      </c>
    </row>
    <row r="59" spans="2:99" ht="15.75" thickBot="1">
      <c r="B59" s="909"/>
      <c r="C59" s="490"/>
      <c r="D59" s="489"/>
      <c r="E59" s="433" t="s">
        <v>956</v>
      </c>
      <c r="F59" s="489"/>
      <c r="G59" s="1019"/>
      <c r="H59" s="1019"/>
      <c r="I59" s="1019"/>
      <c r="J59" s="1019"/>
      <c r="K59" s="1019"/>
      <c r="L59" s="1019"/>
      <c r="M59" s="1019"/>
      <c r="N59" s="1019"/>
      <c r="O59" s="1019"/>
      <c r="P59" s="1019"/>
      <c r="Q59" s="1019"/>
      <c r="R59" s="1019"/>
      <c r="S59" s="1019"/>
      <c r="T59" s="1019"/>
      <c r="U59" s="1019"/>
      <c r="V59" s="1019"/>
      <c r="W59" s="1019"/>
      <c r="X59" s="1019"/>
      <c r="Y59" s="1019"/>
      <c r="Z59" s="1019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489"/>
      <c r="BK59" s="489"/>
      <c r="BL59" s="1020">
        <f>BR59</f>
        <v>1.2440559897571352E-3</v>
      </c>
      <c r="BN59" s="1081"/>
      <c r="BO59" s="1078"/>
      <c r="BP59" s="1085"/>
      <c r="BQ59" s="1082"/>
      <c r="BR59" s="1085">
        <f>CT40*(1+BS103)</f>
        <v>1.2440559897571352E-3</v>
      </c>
      <c r="BS59" s="1082">
        <f>BR59*G56</f>
        <v>1.4599044842318091E-2</v>
      </c>
      <c r="BT59" s="1078"/>
      <c r="BU59" s="1082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53" t="s">
        <v>56</v>
      </c>
      <c r="CG59" s="1154">
        <v>161926</v>
      </c>
      <c r="CH59" s="1154">
        <v>16330846</v>
      </c>
      <c r="CI59" s="1154">
        <v>189</v>
      </c>
      <c r="CJ59" s="1155">
        <v>1338047187</v>
      </c>
      <c r="CK59" s="1153">
        <v>324841172</v>
      </c>
      <c r="CL59" s="1154">
        <v>118805308</v>
      </c>
      <c r="CM59" s="1154">
        <v>31787856</v>
      </c>
      <c r="CN59" s="1154">
        <v>660359371</v>
      </c>
      <c r="CO59" s="1154">
        <v>44948998</v>
      </c>
      <c r="CP59" s="1154">
        <v>2518789892</v>
      </c>
      <c r="CQ59" s="1154">
        <v>282151.52747564798</v>
      </c>
      <c r="CR59" s="1156">
        <f t="shared" si="21"/>
        <v>2.5865469195813687E-2</v>
      </c>
      <c r="CS59" s="1156">
        <f t="shared" si="22"/>
        <v>1.568068209181972E-2</v>
      </c>
      <c r="CT59" s="1156">
        <f t="shared" si="23"/>
        <v>2.6413244864938305E-3</v>
      </c>
      <c r="CU59" s="1156">
        <f t="shared" si="24"/>
        <v>7.0671962254363109E-4</v>
      </c>
    </row>
    <row r="60" spans="2:99" ht="15.75" thickBot="1">
      <c r="B60" s="911"/>
      <c r="C60" s="912"/>
      <c r="D60" s="912"/>
      <c r="E60" s="913" t="s">
        <v>957</v>
      </c>
      <c r="F60" s="912"/>
      <c r="G60" s="914"/>
      <c r="H60" s="914"/>
      <c r="I60" s="914"/>
      <c r="J60" s="914"/>
      <c r="K60" s="914"/>
      <c r="L60" s="914"/>
      <c r="M60" s="914"/>
      <c r="N60" s="914"/>
      <c r="O60" s="914"/>
      <c r="P60" s="914"/>
      <c r="Q60" s="914"/>
      <c r="R60" s="914"/>
      <c r="S60" s="914"/>
      <c r="T60" s="914"/>
      <c r="U60" s="914"/>
      <c r="V60" s="914"/>
      <c r="W60" s="914"/>
      <c r="X60" s="914"/>
      <c r="Y60" s="914"/>
      <c r="Z60" s="914"/>
      <c r="AA60" s="914"/>
      <c r="AB60" s="914"/>
      <c r="AC60" s="914"/>
      <c r="AD60" s="914"/>
      <c r="AE60" s="914"/>
      <c r="AF60" s="914"/>
      <c r="AG60" s="914"/>
      <c r="AH60" s="914"/>
      <c r="AI60" s="914"/>
      <c r="AJ60" s="914"/>
      <c r="AK60" s="914"/>
      <c r="AL60" s="914"/>
      <c r="AM60" s="914"/>
      <c r="AN60" s="914"/>
      <c r="AO60" s="914"/>
      <c r="AP60" s="914"/>
      <c r="AQ60" s="914"/>
      <c r="AR60" s="914"/>
      <c r="AS60" s="914"/>
      <c r="AT60" s="914"/>
      <c r="AU60" s="914"/>
      <c r="AV60" s="914"/>
      <c r="AW60" s="914"/>
      <c r="AX60" s="914"/>
      <c r="AY60" s="914"/>
      <c r="AZ60" s="914"/>
      <c r="BA60" s="914"/>
      <c r="BB60" s="914"/>
      <c r="BC60" s="914"/>
      <c r="BD60" s="914"/>
      <c r="BE60" s="914"/>
      <c r="BF60" s="914"/>
      <c r="BG60" s="914"/>
      <c r="BH60" s="914"/>
      <c r="BI60" s="914"/>
      <c r="BJ60" s="912"/>
      <c r="BK60" s="912"/>
      <c r="BL60" s="1025">
        <f>BT60</f>
        <v>9.1687864437010186E-4</v>
      </c>
      <c r="BN60" s="1103"/>
      <c r="BO60" s="1083"/>
      <c r="BP60" s="1104"/>
      <c r="BQ60" s="1084"/>
      <c r="BR60" s="1104"/>
      <c r="BS60" s="1084"/>
      <c r="BT60" s="1105">
        <f>CU40*(1+BU103)</f>
        <v>9.1687864437010186E-4</v>
      </c>
      <c r="BU60" s="1084">
        <f>BT60*G56</f>
        <v>1.0759606122499413E-2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9" t="s">
        <v>58</v>
      </c>
      <c r="CG60" s="1150">
        <v>95372</v>
      </c>
      <c r="CH60" s="1150">
        <v>9015651</v>
      </c>
      <c r="CI60" s="1150">
        <v>260</v>
      </c>
      <c r="CJ60" s="1151">
        <v>1084292370</v>
      </c>
      <c r="CK60" s="1149">
        <v>253316321</v>
      </c>
      <c r="CL60" s="1150">
        <v>68300496</v>
      </c>
      <c r="CM60" s="1150">
        <v>17462349</v>
      </c>
      <c r="CN60" s="1150">
        <v>395641968</v>
      </c>
      <c r="CO60" s="1150">
        <v>45229735</v>
      </c>
      <c r="CP60" s="1150">
        <v>1864243238</v>
      </c>
      <c r="CQ60" s="1150">
        <v>187627.02237661046</v>
      </c>
      <c r="CR60" s="1152">
        <f t="shared" si="21"/>
        <v>3.532498998338654E-2</v>
      </c>
      <c r="CS60" s="1152">
        <f t="shared" si="22"/>
        <v>1.6641552350794783E-2</v>
      </c>
      <c r="CT60" s="1152">
        <f t="shared" si="23"/>
        <v>2.578133892547079E-3</v>
      </c>
      <c r="CU60" s="1152">
        <f t="shared" si="24"/>
        <v>6.5915002726167019E-4</v>
      </c>
    </row>
    <row r="61" spans="2:99" ht="15">
      <c r="B6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953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7">
        <f>BN61</f>
        <v>6.7728840175782477E-3</v>
      </c>
      <c r="BN61" s="1099">
        <f>ABS(CR41*DwellingStocks!W19*(1+$BO$103))</f>
        <v>6.7728840175782477E-3</v>
      </c>
      <c r="BO61" s="1100">
        <f>BN61*G61</f>
        <v>3.5202831672249003E-2</v>
      </c>
      <c r="BP61" s="1085"/>
      <c r="BQ61" s="1082"/>
      <c r="BR61" s="1078"/>
      <c r="BS61" s="1082"/>
      <c r="BT61" s="1106"/>
      <c r="BU61" s="1082"/>
      <c r="BW61" s="80"/>
      <c r="BX61" s="80"/>
      <c r="BY61" s="80"/>
      <c r="BZ61" s="80"/>
      <c r="CA61" s="80"/>
      <c r="CB61" s="80"/>
      <c r="CC61" s="80"/>
      <c r="CD61" s="80"/>
      <c r="CF61" s="1153" t="s">
        <v>60</v>
      </c>
      <c r="CG61" s="1154">
        <v>46130</v>
      </c>
      <c r="CH61" s="1154">
        <v>4172403</v>
      </c>
      <c r="CI61" s="1154">
        <v>338</v>
      </c>
      <c r="CJ61" s="1155">
        <v>710540728</v>
      </c>
      <c r="CK61" s="1153">
        <v>151669826</v>
      </c>
      <c r="CL61" s="1154">
        <v>32024144</v>
      </c>
      <c r="CM61" s="1154">
        <v>7687230</v>
      </c>
      <c r="CN61" s="1154">
        <v>197368280</v>
      </c>
      <c r="CO61" s="1154">
        <v>25027741</v>
      </c>
      <c r="CP61" s="1154">
        <v>1124317950</v>
      </c>
      <c r="CQ61" s="1154">
        <v>101418.89596184672</v>
      </c>
      <c r="CR61" s="1156">
        <f t="shared" si="21"/>
        <v>4.7076453250177584E-2</v>
      </c>
      <c r="CS61" s="1156">
        <f t="shared" si="22"/>
        <v>1.7355856830695859E-2</v>
      </c>
      <c r="CT61" s="1156">
        <f t="shared" si="23"/>
        <v>2.4991744721439405E-3</v>
      </c>
      <c r="CU61" s="1156">
        <f t="shared" si="24"/>
        <v>5.9991389551268157E-4</v>
      </c>
    </row>
    <row r="62" spans="2:99">
      <c r="B62" s="909"/>
      <c r="C62" s="490"/>
      <c r="D62" s="489"/>
      <c r="E62" s="1021" t="s">
        <v>954</v>
      </c>
      <c r="F62" s="489"/>
      <c r="G62" s="1019"/>
      <c r="H62" s="1019"/>
      <c r="I62" s="1019"/>
      <c r="J62" s="1019"/>
      <c r="K62" s="1019"/>
      <c r="L62" s="1019"/>
      <c r="M62" s="1019"/>
      <c r="N62" s="1019"/>
      <c r="O62" s="1019"/>
      <c r="P62" s="1019"/>
      <c r="Q62" s="1019"/>
      <c r="R62" s="1019"/>
      <c r="S62" s="1019"/>
      <c r="T62" s="1019"/>
      <c r="U62" s="1019"/>
      <c r="V62" s="1019"/>
      <c r="W62" s="1019"/>
      <c r="X62" s="1019"/>
      <c r="Y62" s="1019"/>
      <c r="Z62" s="1019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489"/>
      <c r="BK62" s="489"/>
      <c r="BL62" s="1020">
        <v>0</v>
      </c>
      <c r="BN62" s="1081"/>
      <c r="BO62" s="1078"/>
      <c r="BP62" s="1085"/>
      <c r="BQ62" s="1082"/>
      <c r="BR62" s="1078"/>
      <c r="BS62" s="1082"/>
      <c r="BT62" s="1106"/>
      <c r="BU62" s="1082"/>
      <c r="CB62" s="80"/>
      <c r="CC62" s="80"/>
      <c r="CD62" s="80"/>
      <c r="CF62" s="1149" t="s">
        <v>62</v>
      </c>
      <c r="CG62" s="1150">
        <v>20720</v>
      </c>
      <c r="CH62" s="1150">
        <v>1831493</v>
      </c>
      <c r="CI62" s="1150">
        <v>413</v>
      </c>
      <c r="CJ62" s="1151">
        <v>402775920</v>
      </c>
      <c r="CK62" s="1149">
        <v>83851393</v>
      </c>
      <c r="CL62" s="1150">
        <v>14391500</v>
      </c>
      <c r="CM62" s="1150">
        <v>3408225</v>
      </c>
      <c r="CN62" s="1150">
        <v>91534744</v>
      </c>
      <c r="CO62" s="1150">
        <v>12170223</v>
      </c>
      <c r="CP62" s="1150">
        <v>608132005</v>
      </c>
      <c r="CQ62" s="1150">
        <v>50123.806027321167</v>
      </c>
      <c r="CR62" s="1152">
        <f t="shared" si="21"/>
        <v>5.9153518986890453E-2</v>
      </c>
      <c r="CS62" s="1152">
        <f t="shared" si="22"/>
        <v>1.8018237509652507E-2</v>
      </c>
      <c r="CT62" s="1152">
        <f t="shared" si="23"/>
        <v>2.5004536679536682E-3</v>
      </c>
      <c r="CU62" s="1152">
        <f t="shared" si="24"/>
        <v>5.9216264478764474E-4</v>
      </c>
    </row>
    <row r="63" spans="2:99" ht="12.75" customHeight="1">
      <c r="B63" s="910"/>
      <c r="C63" s="328"/>
      <c r="D63" s="328"/>
      <c r="E63" s="417" t="s">
        <v>955</v>
      </c>
      <c r="F63" s="328"/>
      <c r="G63" s="1023"/>
      <c r="H63" s="1023"/>
      <c r="I63" s="1023"/>
      <c r="J63" s="1023"/>
      <c r="K63" s="1023"/>
      <c r="L63" s="1023"/>
      <c r="M63" s="1023"/>
      <c r="N63" s="1023"/>
      <c r="O63" s="1023"/>
      <c r="P63" s="1023"/>
      <c r="Q63" s="1023"/>
      <c r="R63" s="1023"/>
      <c r="S63" s="1023"/>
      <c r="T63" s="1023"/>
      <c r="U63" s="1023"/>
      <c r="V63" s="1023"/>
      <c r="W63" s="1023"/>
      <c r="X63" s="1023"/>
      <c r="Y63" s="1023"/>
      <c r="Z63" s="1023"/>
      <c r="AA63" s="1023"/>
      <c r="AB63" s="1023"/>
      <c r="AC63" s="1023"/>
      <c r="AD63" s="1023"/>
      <c r="AE63" s="1023"/>
      <c r="AF63" s="1023"/>
      <c r="AG63" s="1023"/>
      <c r="AH63" s="1023"/>
      <c r="AI63" s="1023"/>
      <c r="AJ63" s="1023"/>
      <c r="AK63" s="1023"/>
      <c r="AL63" s="1023"/>
      <c r="AM63" s="1023"/>
      <c r="AN63" s="1023"/>
      <c r="AO63" s="1023"/>
      <c r="AP63" s="1023"/>
      <c r="AQ63" s="1023"/>
      <c r="AR63" s="1023"/>
      <c r="AS63" s="1023"/>
      <c r="AT63" s="1023"/>
      <c r="AU63" s="1023"/>
      <c r="AV63" s="1023"/>
      <c r="AW63" s="1023"/>
      <c r="AX63" s="1023"/>
      <c r="AY63" s="1023"/>
      <c r="AZ63" s="1023"/>
      <c r="BA63" s="1023"/>
      <c r="BB63" s="1023"/>
      <c r="BC63" s="1023"/>
      <c r="BD63" s="1023"/>
      <c r="BE63" s="1023"/>
      <c r="BF63" s="1023"/>
      <c r="BG63" s="1023"/>
      <c r="BH63" s="1023"/>
      <c r="BI63" s="1023"/>
      <c r="BJ63" s="328"/>
      <c r="BK63" s="328"/>
      <c r="BL63" s="1024">
        <f>BP63</f>
        <v>9.5015440322642804E-3</v>
      </c>
      <c r="BN63" s="1081"/>
      <c r="BO63" s="1078"/>
      <c r="BP63" s="1085">
        <f>CS41*(1+BQ103)</f>
        <v>9.5015440322642804E-3</v>
      </c>
      <c r="BQ63" s="1082">
        <f>BP63*G61</f>
        <v>4.9385351103924648E-2</v>
      </c>
      <c r="BR63" s="1078"/>
      <c r="BS63" s="1082"/>
      <c r="BT63" s="1106"/>
      <c r="BU63" s="1082"/>
      <c r="BW63" s="1119"/>
      <c r="BX63" s="1119"/>
      <c r="BY63" s="1119"/>
      <c r="BZ63" s="1119"/>
      <c r="CA63" s="1119"/>
      <c r="CB63" s="80"/>
      <c r="CC63" s="80"/>
      <c r="CD63" s="80"/>
      <c r="CF63" s="1153" t="s">
        <v>64</v>
      </c>
      <c r="CG63" s="1154">
        <v>21208</v>
      </c>
      <c r="CH63" s="1154">
        <v>1754836</v>
      </c>
      <c r="CI63" s="1154">
        <v>604</v>
      </c>
      <c r="CJ63" s="1155">
        <v>548461962</v>
      </c>
      <c r="CK63" s="1153">
        <v>105828500</v>
      </c>
      <c r="CL63" s="1154">
        <v>14258858</v>
      </c>
      <c r="CM63" s="1154">
        <v>2481394</v>
      </c>
      <c r="CN63" s="1154">
        <v>86745130</v>
      </c>
      <c r="CO63" s="1154">
        <v>9686191</v>
      </c>
      <c r="CP63" s="1154">
        <v>767462035</v>
      </c>
      <c r="CQ63" s="1154">
        <v>52706.674394088106</v>
      </c>
      <c r="CR63" s="1156">
        <f t="shared" si="21"/>
        <v>7.7704242347111846E-2</v>
      </c>
      <c r="CS63" s="1156">
        <f t="shared" si="22"/>
        <v>1.6368953017729157E-2</v>
      </c>
      <c r="CT63" s="1156">
        <f t="shared" si="23"/>
        <v>2.4204021501320256E-3</v>
      </c>
      <c r="CU63" s="1156">
        <f t="shared" si="24"/>
        <v>4.2120984534138063E-4</v>
      </c>
    </row>
    <row r="64" spans="2:99" ht="12.75" customHeight="1">
      <c r="B64" s="909"/>
      <c r="C64" s="490"/>
      <c r="D64" s="489"/>
      <c r="E64" s="1021" t="s">
        <v>956</v>
      </c>
      <c r="F64" s="489"/>
      <c r="G64" s="1019"/>
      <c r="H64" s="1019"/>
      <c r="I64" s="1019"/>
      <c r="J64" s="1019"/>
      <c r="K64" s="1019"/>
      <c r="L64" s="1019"/>
      <c r="M64" s="1019"/>
      <c r="N64" s="1019"/>
      <c r="O64" s="1019"/>
      <c r="P64" s="1019"/>
      <c r="Q64" s="1019"/>
      <c r="R64" s="1019"/>
      <c r="S64" s="1019"/>
      <c r="T64" s="1019"/>
      <c r="U64" s="1019"/>
      <c r="V64" s="1019"/>
      <c r="W64" s="1019"/>
      <c r="X64" s="1019"/>
      <c r="Y64" s="1019"/>
      <c r="Z64" s="1019"/>
      <c r="AA64" s="1019"/>
      <c r="AB64" s="1019"/>
      <c r="AC64" s="1019"/>
      <c r="AD64" s="1019"/>
      <c r="AE64" s="1019"/>
      <c r="AF64" s="1019"/>
      <c r="AG64" s="1019"/>
      <c r="AH64" s="1019"/>
      <c r="AI64" s="1019"/>
      <c r="AJ64" s="1019"/>
      <c r="AK64" s="1019"/>
      <c r="AL64" s="1019"/>
      <c r="AM64" s="1019"/>
      <c r="AN64" s="1019"/>
      <c r="AO64" s="1019"/>
      <c r="AP64" s="1019"/>
      <c r="AQ64" s="1019"/>
      <c r="AR64" s="1019"/>
      <c r="AS64" s="1019"/>
      <c r="AT64" s="1019"/>
      <c r="AU64" s="1019"/>
      <c r="AV64" s="1019"/>
      <c r="AW64" s="1019"/>
      <c r="AX64" s="1019"/>
      <c r="AY64" s="1019"/>
      <c r="AZ64" s="1019"/>
      <c r="BA64" s="1019"/>
      <c r="BB64" s="1019"/>
      <c r="BC64" s="1019"/>
      <c r="BD64" s="1019"/>
      <c r="BE64" s="1019"/>
      <c r="BF64" s="1019"/>
      <c r="BG64" s="1019"/>
      <c r="BH64" s="1019"/>
      <c r="BI64" s="1019"/>
      <c r="BJ64" s="489"/>
      <c r="BK64" s="489"/>
      <c r="BL64" s="1020">
        <f>BR64</f>
        <v>1.6802780761369142E-3</v>
      </c>
      <c r="BN64" s="1081"/>
      <c r="BO64" s="1078"/>
      <c r="BP64" s="1085"/>
      <c r="BQ64" s="1082"/>
      <c r="BR64" s="1078">
        <f>CT41*(1+BS103)</f>
        <v>1.6802780761369142E-3</v>
      </c>
      <c r="BS64" s="1082">
        <f>BR64*G61</f>
        <v>8.7334355827295568E-3</v>
      </c>
      <c r="BT64" s="1106"/>
      <c r="BU64" s="1082"/>
      <c r="BW64" s="1119"/>
      <c r="BX64" s="1119"/>
      <c r="BY64" s="1119"/>
      <c r="BZ64" s="1119"/>
      <c r="CA64" s="1119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1115</v>
      </c>
      <c r="CR64" s="1161">
        <f>AVERAGE(CR55:CR63)</f>
        <v>3.2438450534076839E-2</v>
      </c>
      <c r="CS64" s="1162">
        <f t="shared" ref="CS64:CU64" si="25">AVERAGE(CS55:CS63)</f>
        <v>1.4232051347038236E-2</v>
      </c>
      <c r="CT64" s="1162">
        <f t="shared" si="25"/>
        <v>2.4598949108480799E-3</v>
      </c>
      <c r="CU64" s="1162">
        <f t="shared" si="25"/>
        <v>7.1434907776801054E-4</v>
      </c>
    </row>
    <row r="65" spans="2:99" ht="19.5" customHeight="1" thickBot="1">
      <c r="B65" s="911"/>
      <c r="C65" s="912"/>
      <c r="D65" s="912"/>
      <c r="E65" s="1026" t="s">
        <v>957</v>
      </c>
      <c r="F65" s="912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14"/>
      <c r="BJ65" s="912"/>
      <c r="BK65" s="912"/>
      <c r="BL65" s="1025">
        <f>BT65</f>
        <v>6.1877004654017236E-4</v>
      </c>
      <c r="BN65" s="1081"/>
      <c r="BO65" s="1078"/>
      <c r="BP65" s="1085"/>
      <c r="BQ65" s="1082"/>
      <c r="BR65" s="1078"/>
      <c r="BS65" s="1082"/>
      <c r="BT65" s="1106">
        <f>CU41*(1+BU103)</f>
        <v>6.1877004654017236E-4</v>
      </c>
      <c r="BU65" s="1082">
        <f>BT65*G61</f>
        <v>3.2161273891077248E-3</v>
      </c>
      <c r="BW65" s="1119"/>
      <c r="BX65" s="1119"/>
      <c r="BY65" s="1119"/>
      <c r="BZ65" s="1119"/>
      <c r="CA65" s="1119"/>
      <c r="CB65" s="80"/>
      <c r="CC65" s="80"/>
      <c r="CD65" s="80"/>
    </row>
    <row r="66" spans="2:99" ht="13.5" customHeight="1" thickBot="1">
      <c r="B6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953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7">
        <f>BN66</f>
        <v>1.2075399601011063E-2</v>
      </c>
      <c r="BN66" s="1099">
        <f>ABS(CR42*DwellingStocks!W20*(1+$BO$103))</f>
        <v>1.2075399601011063E-2</v>
      </c>
      <c r="BO66" s="1100">
        <f>BN66*G66</f>
        <v>0.16880707224392502</v>
      </c>
      <c r="BP66" s="1101"/>
      <c r="BQ66" s="1102"/>
      <c r="BR66" s="1100"/>
      <c r="BS66" s="1102"/>
      <c r="BT66" s="1107"/>
      <c r="BU66" s="1102"/>
      <c r="BW66" s="1119"/>
      <c r="BX66" s="1119"/>
      <c r="BY66" s="1119"/>
      <c r="BZ66" s="1119"/>
      <c r="CA66" s="1119"/>
      <c r="CB66" s="80"/>
      <c r="CC66" s="80"/>
      <c r="CD66" s="80"/>
    </row>
    <row r="67" spans="2:99" ht="21.75" customHeight="1" thickBot="1">
      <c r="B67" s="909"/>
      <c r="C67" s="490"/>
      <c r="D67" s="489"/>
      <c r="E67" s="1021" t="s">
        <v>954</v>
      </c>
      <c r="F67" s="489"/>
      <c r="G67" s="1019"/>
      <c r="H67" s="1019"/>
      <c r="I67" s="1019"/>
      <c r="J67" s="1019"/>
      <c r="K67" s="1019"/>
      <c r="L67" s="1019"/>
      <c r="M67" s="1019"/>
      <c r="N67" s="1019"/>
      <c r="O67" s="1019"/>
      <c r="P67" s="1019"/>
      <c r="Q67" s="1019"/>
      <c r="R67" s="1019"/>
      <c r="S67" s="1019"/>
      <c r="T67" s="1019"/>
      <c r="U67" s="1019"/>
      <c r="V67" s="1019"/>
      <c r="W67" s="1019"/>
      <c r="X67" s="1019"/>
      <c r="Y67" s="1019"/>
      <c r="Z67" s="1019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489"/>
      <c r="BK67" s="489"/>
      <c r="BL67" s="1020">
        <v>0</v>
      </c>
      <c r="BN67" s="1081"/>
      <c r="BO67" s="1078"/>
      <c r="BP67" s="1085"/>
      <c r="BQ67" s="1082"/>
      <c r="BR67" s="1078"/>
      <c r="BS67" s="1082"/>
      <c r="BT67" s="1106"/>
      <c r="BU67" s="1082"/>
      <c r="BW67" s="1119"/>
      <c r="BX67" s="1119"/>
      <c r="BY67" s="1119"/>
      <c r="BZ67" s="1119"/>
      <c r="CA67" s="1119"/>
      <c r="CB67" s="80"/>
      <c r="CC67" s="80"/>
      <c r="CD67" s="80"/>
      <c r="CF67" s="1241" t="s">
        <v>46</v>
      </c>
      <c r="CG67" s="1242" t="s">
        <v>46</v>
      </c>
      <c r="CH67" s="1242" t="s">
        <v>46</v>
      </c>
      <c r="CI67" s="1242" t="s">
        <v>46</v>
      </c>
      <c r="CJ67" s="1242" t="s">
        <v>46</v>
      </c>
      <c r="CK67" s="1242" t="s">
        <v>46</v>
      </c>
      <c r="CL67" s="1242" t="s">
        <v>46</v>
      </c>
      <c r="CM67" s="1242" t="s">
        <v>46</v>
      </c>
      <c r="CN67" s="1242" t="s">
        <v>46</v>
      </c>
      <c r="CO67" s="1242" t="s">
        <v>46</v>
      </c>
      <c r="CP67" s="1242" t="s">
        <v>46</v>
      </c>
      <c r="CQ67" s="1242"/>
      <c r="CR67" s="1243" t="s">
        <v>898</v>
      </c>
      <c r="CS67" s="1244"/>
      <c r="CT67" s="1244"/>
      <c r="CU67" s="1244"/>
    </row>
    <row r="68" spans="2:99" ht="15" customHeight="1">
      <c r="B68" s="910"/>
      <c r="C68" s="328"/>
      <c r="D68" s="328"/>
      <c r="E68" s="417" t="s">
        <v>955</v>
      </c>
      <c r="F68" s="328"/>
      <c r="G68" s="1023"/>
      <c r="H68" s="1023"/>
      <c r="I68" s="1023"/>
      <c r="J68" s="1023"/>
      <c r="K68" s="1023"/>
      <c r="L68" s="1023"/>
      <c r="M68" s="1023"/>
      <c r="N68" s="1023"/>
      <c r="O68" s="1023"/>
      <c r="P68" s="1023"/>
      <c r="Q68" s="1023"/>
      <c r="R68" s="1023"/>
      <c r="S68" s="1023"/>
      <c r="T68" s="1023"/>
      <c r="U68" s="1023"/>
      <c r="V68" s="1023"/>
      <c r="W68" s="1023"/>
      <c r="X68" s="1023"/>
      <c r="Y68" s="1023"/>
      <c r="Z68" s="1023"/>
      <c r="AA68" s="1023"/>
      <c r="AB68" s="1023"/>
      <c r="AC68" s="1023"/>
      <c r="AD68" s="1023"/>
      <c r="AE68" s="1023"/>
      <c r="AF68" s="1023"/>
      <c r="AG68" s="1023"/>
      <c r="AH68" s="1023"/>
      <c r="AI68" s="1023"/>
      <c r="AJ68" s="1023"/>
      <c r="AK68" s="1023"/>
      <c r="AL68" s="1023"/>
      <c r="AM68" s="1023"/>
      <c r="AN68" s="1023"/>
      <c r="AO68" s="1023"/>
      <c r="AP68" s="1023"/>
      <c r="AQ68" s="1023"/>
      <c r="AR68" s="1023"/>
      <c r="AS68" s="1023"/>
      <c r="AT68" s="1023"/>
      <c r="AU68" s="1023"/>
      <c r="AV68" s="1023"/>
      <c r="AW68" s="1023"/>
      <c r="AX68" s="1023"/>
      <c r="AY68" s="1023"/>
      <c r="AZ68" s="1023"/>
      <c r="BA68" s="1023"/>
      <c r="BB68" s="1023"/>
      <c r="BC68" s="1023"/>
      <c r="BD68" s="1023"/>
      <c r="BE68" s="1023"/>
      <c r="BF68" s="1023"/>
      <c r="BG68" s="1023"/>
      <c r="BH68" s="1023"/>
      <c r="BI68" s="1023"/>
      <c r="BJ68" s="328"/>
      <c r="BK68" s="328"/>
      <c r="BL68" s="1024">
        <f>BP68</f>
        <v>1.2023789784894131E-2</v>
      </c>
      <c r="BN68" s="1081"/>
      <c r="BO68" s="1078"/>
      <c r="BP68" s="1085">
        <f>CS42*(1+BQ103)</f>
        <v>1.2023789784894131E-2</v>
      </c>
      <c r="BQ68" s="1082">
        <f>BP68*G66</f>
        <v>0.16808559699295136</v>
      </c>
      <c r="BR68" s="1078"/>
      <c r="BS68" s="1082"/>
      <c r="BT68" s="1106"/>
      <c r="BU68" s="1082"/>
      <c r="BW68" s="1119"/>
      <c r="BX68" s="1119"/>
      <c r="BY68" s="1119"/>
      <c r="BZ68" s="1119"/>
      <c r="CA68" s="1119"/>
      <c r="CB68" s="80"/>
      <c r="CC68" s="80"/>
      <c r="CD68" s="80"/>
      <c r="CF68" s="1157" t="s">
        <v>287</v>
      </c>
      <c r="CG68" s="1158" t="s">
        <v>396</v>
      </c>
      <c r="CH68" s="1158" t="s">
        <v>397</v>
      </c>
      <c r="CI68" s="1159" t="s">
        <v>893</v>
      </c>
      <c r="CJ68" s="1157" t="s">
        <v>894</v>
      </c>
      <c r="CK68" s="1157" t="s">
        <v>895</v>
      </c>
      <c r="CL68" s="1158" t="s">
        <v>415</v>
      </c>
      <c r="CM68" s="1158" t="s">
        <v>892</v>
      </c>
      <c r="CN68" s="1159" t="s">
        <v>896</v>
      </c>
      <c r="CO68" s="1157" t="s">
        <v>897</v>
      </c>
      <c r="CP68" s="1158" t="s">
        <v>218</v>
      </c>
      <c r="CQ68" s="1160"/>
      <c r="CR68" s="1163" t="s">
        <v>219</v>
      </c>
      <c r="CS68" s="1163" t="s">
        <v>891</v>
      </c>
      <c r="CT68" s="1163" t="s">
        <v>221</v>
      </c>
      <c r="CU68" s="1163" t="s">
        <v>892</v>
      </c>
    </row>
    <row r="69" spans="2:99" ht="12.75" customHeight="1">
      <c r="B69" s="909"/>
      <c r="C69" s="490"/>
      <c r="D69" s="489"/>
      <c r="E69" s="1021" t="s">
        <v>956</v>
      </c>
      <c r="F69" s="489"/>
      <c r="G69" s="1019"/>
      <c r="H69" s="1019"/>
      <c r="I69" s="1019"/>
      <c r="J69" s="1019"/>
      <c r="K69" s="1019"/>
      <c r="L69" s="1019"/>
      <c r="M69" s="1019"/>
      <c r="N69" s="1019"/>
      <c r="O69" s="1019"/>
      <c r="P69" s="1019"/>
      <c r="Q69" s="1019"/>
      <c r="R69" s="1019"/>
      <c r="S69" s="1019"/>
      <c r="T69" s="1019"/>
      <c r="U69" s="1019"/>
      <c r="V69" s="1019"/>
      <c r="W69" s="1019"/>
      <c r="X69" s="1019"/>
      <c r="Y69" s="1019"/>
      <c r="Z69" s="1019"/>
      <c r="AA69" s="1019"/>
      <c r="AB69" s="1019"/>
      <c r="AC69" s="1019"/>
      <c r="AD69" s="1019"/>
      <c r="AE69" s="1019"/>
      <c r="AF69" s="1019"/>
      <c r="AG69" s="1019"/>
      <c r="AH69" s="1019"/>
      <c r="AI69" s="1019"/>
      <c r="AJ69" s="1019"/>
      <c r="AK69" s="1019"/>
      <c r="AL69" s="1019"/>
      <c r="AM69" s="1019"/>
      <c r="AN69" s="1019"/>
      <c r="AO69" s="1019"/>
      <c r="AP69" s="1019"/>
      <c r="AQ69" s="1019"/>
      <c r="AR69" s="1019"/>
      <c r="AS69" s="1019"/>
      <c r="AT69" s="1019"/>
      <c r="AU69" s="1019"/>
      <c r="AV69" s="1019"/>
      <c r="AW69" s="1019"/>
      <c r="AX69" s="1019"/>
      <c r="AY69" s="1019"/>
      <c r="AZ69" s="1019"/>
      <c r="BA69" s="1019"/>
      <c r="BB69" s="1019"/>
      <c r="BC69" s="1019"/>
      <c r="BD69" s="1019"/>
      <c r="BE69" s="1019"/>
      <c r="BF69" s="1019"/>
      <c r="BG69" s="1019"/>
      <c r="BH69" s="1019"/>
      <c r="BI69" s="1019"/>
      <c r="BJ69" s="489"/>
      <c r="BK69" s="489"/>
      <c r="BL69" s="1020">
        <f>BR69</f>
        <v>1.8612214824521886E-3</v>
      </c>
      <c r="BN69" s="1081"/>
      <c r="BO69" s="1078"/>
      <c r="BP69" s="1085"/>
      <c r="BQ69" s="1082"/>
      <c r="BR69" s="1078">
        <f>CT42*(1+BS103)</f>
        <v>1.8612214824521886E-3</v>
      </c>
      <c r="BS69" s="1082">
        <f>BR69*G66</f>
        <v>2.6018795206077087E-2</v>
      </c>
      <c r="BT69" s="1106"/>
      <c r="BU69" s="1082"/>
      <c r="BW69" s="1119"/>
      <c r="BX69" s="1119"/>
      <c r="BY69" s="1119"/>
      <c r="BZ69" s="1119"/>
      <c r="CA69" s="1119"/>
      <c r="CB69" s="80"/>
      <c r="CC69" s="80"/>
      <c r="CD69" s="80"/>
      <c r="CF69" s="1153" t="s">
        <v>48</v>
      </c>
      <c r="CG69" s="1154">
        <v>9878</v>
      </c>
      <c r="CH69" s="1154">
        <v>1991423</v>
      </c>
      <c r="CI69" s="1154">
        <v>56</v>
      </c>
      <c r="CJ69" s="1155">
        <v>13716437</v>
      </c>
      <c r="CK69" s="1153">
        <v>3262341</v>
      </c>
      <c r="CL69" s="1154">
        <v>9675611</v>
      </c>
      <c r="CM69" s="1154">
        <v>5049453</v>
      </c>
      <c r="CN69" s="1154">
        <v>24601800</v>
      </c>
      <c r="CO69" s="1154">
        <v>27044</v>
      </c>
      <c r="CP69" s="1154">
        <v>56332686</v>
      </c>
      <c r="CQ69" s="1154">
        <v>20378.706337556119</v>
      </c>
      <c r="CR69" s="1156">
        <f>((CQ69/CG69)*$CI$18*(CJ69+CK69)*0.0000000036)/(CQ69/1000)</f>
        <v>4.4121765529699531E-3</v>
      </c>
      <c r="CS69" s="1156">
        <f>((CQ69/CG69)*(CN69+CO69)*0.0000000036)/(CQ69/1000)</f>
        <v>8.9758896942700953E-3</v>
      </c>
      <c r="CT69" s="1156">
        <f>((CQ69/CG69)*(CL69)*0.0000000036)/(CQ69/1000)</f>
        <v>3.5262400890868602E-3</v>
      </c>
      <c r="CU69" s="1156">
        <f>((CQ69/CG69)*(CM69)*0.0000000036)/(CQ69/1000)</f>
        <v>1.8402541810083014E-3</v>
      </c>
    </row>
    <row r="70" spans="2:99" ht="13.5" customHeight="1" thickBot="1">
      <c r="B70" s="911"/>
      <c r="C70" s="912"/>
      <c r="D70" s="912"/>
      <c r="E70" s="1026" t="s">
        <v>957</v>
      </c>
      <c r="F70" s="912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912"/>
      <c r="BK70" s="912"/>
      <c r="BL70" s="1025">
        <f>BT70</f>
        <v>5.7018588519445578E-4</v>
      </c>
      <c r="BN70" s="1103"/>
      <c r="BO70" s="1083"/>
      <c r="BP70" s="1104"/>
      <c r="BQ70" s="1084"/>
      <c r="BR70" s="1083"/>
      <c r="BS70" s="1084"/>
      <c r="BT70" s="1105">
        <f>CU42*(1+BU103)</f>
        <v>5.7018588519445578E-4</v>
      </c>
      <c r="BU70" s="1084">
        <f>BT70*G66</f>
        <v>7.970867473936662E-3</v>
      </c>
      <c r="BW70" s="1119"/>
      <c r="BX70" s="1119"/>
      <c r="BY70" s="1119"/>
      <c r="BZ70" s="1119"/>
      <c r="CA70" s="1119"/>
      <c r="CB70" s="80"/>
      <c r="CC70" s="80"/>
      <c r="CD70" s="80"/>
      <c r="CF70" s="1149" t="s">
        <v>50</v>
      </c>
      <c r="CG70" s="1150">
        <v>3037</v>
      </c>
      <c r="CH70" s="1150">
        <v>692326</v>
      </c>
      <c r="CI70" s="1150">
        <v>90</v>
      </c>
      <c r="CJ70" s="1151">
        <v>22749646</v>
      </c>
      <c r="CK70" s="1149">
        <v>5977566</v>
      </c>
      <c r="CL70" s="1150">
        <v>3970604</v>
      </c>
      <c r="CM70" s="1150">
        <v>1113600</v>
      </c>
      <c r="CN70" s="1150">
        <v>10038678</v>
      </c>
      <c r="CO70" s="1150">
        <v>61317</v>
      </c>
      <c r="CP70" s="1150">
        <v>43911412</v>
      </c>
      <c r="CQ70" s="1150">
        <v>9433.9012004747347</v>
      </c>
      <c r="CR70" s="1152">
        <f t="shared" ref="CR70:CR77" si="26">((CQ70/CG70)*$CI$18*(CJ70+CK70)*0.0000000036)/(CQ70/1000)</f>
        <v>2.4280865417312326E-2</v>
      </c>
      <c r="CS70" s="1152">
        <f t="shared" ref="CS70:CS77" si="27">((CQ70/CG70)*(CN70+CO70)*0.0000000036)/(CQ70/1000)</f>
        <v>1.1972335199209748E-2</v>
      </c>
      <c r="CT70" s="1152">
        <f t="shared" ref="CT70:CT77" si="28">((CQ70/CG70)*(CL70)*0.0000000036)/(CQ70/1000)</f>
        <v>4.7066757984853477E-3</v>
      </c>
      <c r="CU70" s="1152">
        <f t="shared" ref="CU70:CU77" si="29">((CQ70/CG70)*(CM70)*0.0000000036)/(CQ70/1000)</f>
        <v>1.3200395126769838E-3</v>
      </c>
    </row>
    <row r="71" spans="2:99" ht="12.75" customHeight="1">
      <c r="B7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953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7">
        <f>BN71</f>
        <v>1.6294840729967088E-2</v>
      </c>
      <c r="BN71" s="1099">
        <f>ABS(CR43*DwellingStocks!W21*(1+$BO$103))</f>
        <v>1.6294840729967088E-2</v>
      </c>
      <c r="BO71" s="1100">
        <f>BN71*G71</f>
        <v>0.35375873598044016</v>
      </c>
      <c r="BP71" s="1085"/>
      <c r="BQ71" s="1082"/>
      <c r="BR71" s="1078"/>
      <c r="BS71" s="1082"/>
      <c r="BT71" s="1106"/>
      <c r="BU71" s="1082"/>
      <c r="BW71" s="1119"/>
      <c r="BX71" s="1119"/>
      <c r="BY71" s="1119"/>
      <c r="BZ71" s="1119"/>
      <c r="CA71" s="1119"/>
      <c r="CB71" s="80"/>
      <c r="CC71" s="80"/>
      <c r="CD71" s="80"/>
      <c r="CF71" s="1153" t="s">
        <v>52</v>
      </c>
      <c r="CG71" s="1154">
        <v>7052</v>
      </c>
      <c r="CH71" s="1154">
        <v>1571662</v>
      </c>
      <c r="CI71" s="1154">
        <v>116</v>
      </c>
      <c r="CJ71" s="1155">
        <v>86989542</v>
      </c>
      <c r="CK71" s="1153">
        <v>19534310</v>
      </c>
      <c r="CL71" s="1154">
        <v>10452701</v>
      </c>
      <c r="CM71" s="1154">
        <v>2036694</v>
      </c>
      <c r="CN71" s="1154">
        <v>30584513</v>
      </c>
      <c r="CO71" s="1154">
        <v>335555</v>
      </c>
      <c r="CP71" s="1154">
        <v>149933315</v>
      </c>
      <c r="CQ71" s="1154">
        <v>20090.949195825138</v>
      </c>
      <c r="CR71" s="1156">
        <f t="shared" si="26"/>
        <v>3.8774841677784139E-2</v>
      </c>
      <c r="CS71" s="1156">
        <f t="shared" si="27"/>
        <v>1.5784493023255811E-2</v>
      </c>
      <c r="CT71" s="1156">
        <f t="shared" si="28"/>
        <v>5.3360356778218935E-3</v>
      </c>
      <c r="CU71" s="1156">
        <f t="shared" si="29"/>
        <v>1.0397190017016448E-3</v>
      </c>
    </row>
    <row r="72" spans="2:99" ht="15" customHeight="1">
      <c r="B72" s="909"/>
      <c r="C72" s="490"/>
      <c r="D72" s="489"/>
      <c r="E72" s="1021" t="s">
        <v>954</v>
      </c>
      <c r="F72" s="489"/>
      <c r="G72" s="1019"/>
      <c r="H72" s="1019"/>
      <c r="I72" s="1019"/>
      <c r="J72" s="1019"/>
      <c r="K72" s="1019"/>
      <c r="L72" s="1019"/>
      <c r="M72" s="1019"/>
      <c r="N72" s="1019"/>
      <c r="O72" s="1019"/>
      <c r="P72" s="1019"/>
      <c r="Q72" s="1019"/>
      <c r="R72" s="1019"/>
      <c r="S72" s="1019"/>
      <c r="T72" s="1019"/>
      <c r="U72" s="1019"/>
      <c r="V72" s="1019"/>
      <c r="W72" s="1019"/>
      <c r="X72" s="1019"/>
      <c r="Y72" s="1019"/>
      <c r="Z72" s="1019"/>
      <c r="AA72" s="1019"/>
      <c r="AB72" s="1019"/>
      <c r="AC72" s="1019"/>
      <c r="AD72" s="1019"/>
      <c r="AE72" s="1019"/>
      <c r="AF72" s="1019"/>
      <c r="AG72" s="1019"/>
      <c r="AH72" s="1019"/>
      <c r="AI72" s="1019"/>
      <c r="AJ72" s="1019"/>
      <c r="AK72" s="1019"/>
      <c r="AL72" s="1019"/>
      <c r="AM72" s="1019"/>
      <c r="AN72" s="1019"/>
      <c r="AO72" s="1019"/>
      <c r="AP72" s="1019"/>
      <c r="AQ72" s="1019"/>
      <c r="AR72" s="1019"/>
      <c r="AS72" s="1019"/>
      <c r="AT72" s="1019"/>
      <c r="AU72" s="1019"/>
      <c r="AV72" s="1019"/>
      <c r="AW72" s="1019"/>
      <c r="AX72" s="1019"/>
      <c r="AY72" s="1019"/>
      <c r="AZ72" s="1019"/>
      <c r="BA72" s="1019"/>
      <c r="BB72" s="1019"/>
      <c r="BC72" s="1019"/>
      <c r="BD72" s="1019"/>
      <c r="BE72" s="1019"/>
      <c r="BF72" s="1019"/>
      <c r="BG72" s="1019"/>
      <c r="BH72" s="1019"/>
      <c r="BI72" s="1019"/>
      <c r="BJ72" s="489"/>
      <c r="BK72" s="489"/>
      <c r="BL72" s="1020">
        <v>0</v>
      </c>
      <c r="BN72" s="1081"/>
      <c r="BO72" s="1078"/>
      <c r="BP72" s="1085"/>
      <c r="BQ72" s="1082"/>
      <c r="BR72" s="1078"/>
      <c r="BS72" s="1082"/>
      <c r="BT72" s="1106"/>
      <c r="BU72" s="1082"/>
      <c r="BW72" s="1119"/>
      <c r="BX72" s="1119"/>
      <c r="BY72" s="1119"/>
      <c r="BZ72" s="1119"/>
      <c r="CA72" s="1119"/>
      <c r="CB72" s="80"/>
      <c r="CC72" s="80"/>
      <c r="CD72" s="80"/>
      <c r="CF72" s="1149" t="s">
        <v>54</v>
      </c>
      <c r="CG72" s="1150">
        <v>20170</v>
      </c>
      <c r="CH72" s="1150">
        <v>4035093</v>
      </c>
      <c r="CI72" s="1150">
        <v>140</v>
      </c>
      <c r="CJ72" s="1151">
        <v>290547340</v>
      </c>
      <c r="CK72" s="1149">
        <v>61564028</v>
      </c>
      <c r="CL72" s="1150">
        <v>29255723</v>
      </c>
      <c r="CM72" s="1150">
        <v>5060356</v>
      </c>
      <c r="CN72" s="1150">
        <v>97781386</v>
      </c>
      <c r="CO72" s="1150">
        <v>2214559</v>
      </c>
      <c r="CP72" s="1150">
        <v>486423392</v>
      </c>
      <c r="CQ72" s="1150">
        <v>53466.210043981671</v>
      </c>
      <c r="CR72" s="1152">
        <f t="shared" si="26"/>
        <v>4.4811514564724694E-2</v>
      </c>
      <c r="CS72" s="1152">
        <f t="shared" si="27"/>
        <v>1.7847565790778386E-2</v>
      </c>
      <c r="CT72" s="1152">
        <f t="shared" si="28"/>
        <v>5.2216461477441745E-3</v>
      </c>
      <c r="CU72" s="1152">
        <f t="shared" si="29"/>
        <v>9.0318699058006952E-4</v>
      </c>
    </row>
    <row r="73" spans="2:99" ht="12.75" customHeight="1">
      <c r="B73" s="910"/>
      <c r="C73" s="328"/>
      <c r="D73" s="328"/>
      <c r="E73" s="417" t="s">
        <v>955</v>
      </c>
      <c r="F73" s="328"/>
      <c r="G73" s="1023"/>
      <c r="H73" s="1023"/>
      <c r="I73" s="1023"/>
      <c r="J73" s="1023"/>
      <c r="K73" s="1023"/>
      <c r="L73" s="1023"/>
      <c r="M73" s="1023"/>
      <c r="N73" s="1023"/>
      <c r="O73" s="1023"/>
      <c r="P73" s="1023"/>
      <c r="Q73" s="1023"/>
      <c r="R73" s="1023"/>
      <c r="S73" s="1023"/>
      <c r="T73" s="1023"/>
      <c r="U73" s="1023"/>
      <c r="V73" s="1023"/>
      <c r="W73" s="1023"/>
      <c r="X73" s="1023"/>
      <c r="Y73" s="1023"/>
      <c r="Z73" s="1023"/>
      <c r="AA73" s="1023"/>
      <c r="AB73" s="1023"/>
      <c r="AC73" s="1023"/>
      <c r="AD73" s="1023"/>
      <c r="AE73" s="1023"/>
      <c r="AF73" s="1023"/>
      <c r="AG73" s="1023"/>
      <c r="AH73" s="1023"/>
      <c r="AI73" s="1023"/>
      <c r="AJ73" s="1023"/>
      <c r="AK73" s="1023"/>
      <c r="AL73" s="1023"/>
      <c r="AM73" s="1023"/>
      <c r="AN73" s="1023"/>
      <c r="AO73" s="1023"/>
      <c r="AP73" s="1023"/>
      <c r="AQ73" s="1023"/>
      <c r="AR73" s="1023"/>
      <c r="AS73" s="1023"/>
      <c r="AT73" s="1023"/>
      <c r="AU73" s="1023"/>
      <c r="AV73" s="1023"/>
      <c r="AW73" s="1023"/>
      <c r="AX73" s="1023"/>
      <c r="AY73" s="1023"/>
      <c r="AZ73" s="1023"/>
      <c r="BA73" s="1023"/>
      <c r="BB73" s="1023"/>
      <c r="BC73" s="1023"/>
      <c r="BD73" s="1023"/>
      <c r="BE73" s="1023"/>
      <c r="BF73" s="1023"/>
      <c r="BG73" s="1023"/>
      <c r="BH73" s="1023"/>
      <c r="BI73" s="1023"/>
      <c r="BJ73" s="328"/>
      <c r="BK73" s="328"/>
      <c r="BL73" s="1024">
        <f>BP73</f>
        <v>1.3414990174266452E-2</v>
      </c>
      <c r="BN73" s="1081"/>
      <c r="BO73" s="1078"/>
      <c r="BP73" s="1085">
        <f>CS43*(1+BQ103)</f>
        <v>1.3414990174266452E-2</v>
      </c>
      <c r="BQ73" s="1082">
        <f>BP73*G71</f>
        <v>0.29123757917504417</v>
      </c>
      <c r="BR73" s="1078"/>
      <c r="BS73" s="1082"/>
      <c r="BT73" s="1106"/>
      <c r="BU73" s="1082"/>
      <c r="BW73" s="1119"/>
      <c r="BX73" s="1119"/>
      <c r="BY73" s="1119"/>
      <c r="BZ73" s="1119"/>
      <c r="CA73" s="1119"/>
      <c r="CB73" s="80"/>
      <c r="CC73" s="80"/>
      <c r="CD73" s="80"/>
      <c r="CF73" s="1153" t="s">
        <v>56</v>
      </c>
      <c r="CG73" s="1154">
        <v>97809</v>
      </c>
      <c r="CH73" s="1154">
        <v>15963699</v>
      </c>
      <c r="CI73" s="1154">
        <v>190</v>
      </c>
      <c r="CJ73" s="1155">
        <v>1583953290</v>
      </c>
      <c r="CK73" s="1153">
        <v>349776746</v>
      </c>
      <c r="CL73" s="1154">
        <v>123191330</v>
      </c>
      <c r="CM73" s="1154">
        <v>22728444</v>
      </c>
      <c r="CN73" s="1154">
        <v>482729805</v>
      </c>
      <c r="CO73" s="1154">
        <v>34494676</v>
      </c>
      <c r="CP73" s="1154">
        <v>2596874291</v>
      </c>
      <c r="CQ73" s="1154">
        <v>251318.93361374349</v>
      </c>
      <c r="CR73" s="1156">
        <f t="shared" si="26"/>
        <v>5.0749585402518643E-2</v>
      </c>
      <c r="CS73" s="1156">
        <f t="shared" si="27"/>
        <v>1.9037186062632272E-2</v>
      </c>
      <c r="CT73" s="1156">
        <f t="shared" si="28"/>
        <v>4.5342329233506121E-3</v>
      </c>
      <c r="CU73" s="1156">
        <f t="shared" si="29"/>
        <v>8.3655285709904003E-4</v>
      </c>
    </row>
    <row r="74" spans="2:99" ht="12.75" customHeight="1">
      <c r="B74" s="909"/>
      <c r="C74" s="490"/>
      <c r="D74" s="489"/>
      <c r="E74" s="1021" t="s">
        <v>956</v>
      </c>
      <c r="F74" s="489"/>
      <c r="G74" s="1019"/>
      <c r="H74" s="1019"/>
      <c r="I74" s="1019"/>
      <c r="J74" s="1019"/>
      <c r="K74" s="1019"/>
      <c r="L74" s="1019"/>
      <c r="M74" s="1019"/>
      <c r="N74" s="1019"/>
      <c r="O74" s="1019"/>
      <c r="P74" s="1019"/>
      <c r="Q74" s="1019"/>
      <c r="R74" s="1019"/>
      <c r="S74" s="1019"/>
      <c r="T74" s="1019"/>
      <c r="U74" s="1019"/>
      <c r="V74" s="1019"/>
      <c r="W74" s="1019"/>
      <c r="X74" s="1019"/>
      <c r="Y74" s="1019"/>
      <c r="Z74" s="1019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489"/>
      <c r="BK74" s="489"/>
      <c r="BL74" s="1020">
        <f>BR74</f>
        <v>1.8629442339148025E-3</v>
      </c>
      <c r="BN74" s="1081"/>
      <c r="BO74" s="1078"/>
      <c r="BP74" s="1085"/>
      <c r="BQ74" s="1082"/>
      <c r="BR74" s="1078">
        <f>CT43*(1+BS103)</f>
        <v>1.8629442339148025E-3</v>
      </c>
      <c r="BS74" s="1082">
        <f>BR74*G71</f>
        <v>4.0444261365485651E-2</v>
      </c>
      <c r="BT74" s="1106"/>
      <c r="BU74" s="1082"/>
      <c r="BW74" s="1119"/>
      <c r="BX74" s="1119"/>
      <c r="BY74" s="1119"/>
      <c r="BZ74" s="1119"/>
      <c r="CA74" s="1119"/>
      <c r="CB74" s="80"/>
      <c r="CC74" s="80"/>
      <c r="CD74" s="80"/>
      <c r="CF74" s="1149" t="s">
        <v>58</v>
      </c>
      <c r="CG74" s="1150">
        <v>61656</v>
      </c>
      <c r="CH74" s="1150">
        <v>8178706</v>
      </c>
      <c r="CI74" s="1150">
        <v>261</v>
      </c>
      <c r="CJ74" s="1151">
        <v>1135038941</v>
      </c>
      <c r="CK74" s="1149">
        <v>241598273</v>
      </c>
      <c r="CL74" s="1150">
        <v>63509736</v>
      </c>
      <c r="CM74" s="1150">
        <v>13917755</v>
      </c>
      <c r="CN74" s="1150">
        <v>295162090</v>
      </c>
      <c r="CO74" s="1150">
        <v>34670143</v>
      </c>
      <c r="CP74" s="1150">
        <v>1783896938</v>
      </c>
      <c r="CQ74" s="1150">
        <v>166667.79141279124</v>
      </c>
      <c r="CR74" s="1152">
        <f t="shared" si="26"/>
        <v>5.7313856737701993E-2</v>
      </c>
      <c r="CS74" s="1152">
        <f t="shared" si="27"/>
        <v>1.9258402082522379E-2</v>
      </c>
      <c r="CT74" s="1152">
        <f t="shared" si="28"/>
        <v>3.7082368236667968E-3</v>
      </c>
      <c r="CU74" s="1152">
        <f t="shared" si="29"/>
        <v>8.126365317244063E-4</v>
      </c>
    </row>
    <row r="75" spans="2:99" ht="13.5" customHeight="1" thickBot="1">
      <c r="B75" s="911"/>
      <c r="C75" s="912"/>
      <c r="D75" s="912"/>
      <c r="E75" s="1026" t="s">
        <v>957</v>
      </c>
      <c r="F75" s="912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912"/>
      <c r="BK75" s="912"/>
      <c r="BL75" s="1025">
        <f>BT75</f>
        <v>5.2821603344974956E-4</v>
      </c>
      <c r="BN75" s="1081"/>
      <c r="BO75" s="1078"/>
      <c r="BP75" s="1085"/>
      <c r="BQ75" s="1082"/>
      <c r="BR75" s="1078"/>
      <c r="BS75" s="1082"/>
      <c r="BT75" s="1106">
        <f>CU43*(1+BU103)</f>
        <v>5.2821603344974956E-4</v>
      </c>
      <c r="BU75" s="1082">
        <f>BT75*G71</f>
        <v>1.1467496946695391E-2</v>
      </c>
      <c r="BW75" s="1119"/>
      <c r="BX75" s="1119"/>
      <c r="BY75" s="1119"/>
      <c r="BZ75" s="1119"/>
      <c r="CA75" s="1119"/>
      <c r="CB75" s="80"/>
      <c r="CC75" s="80"/>
      <c r="CD75" s="80"/>
      <c r="CF75" s="1153" t="s">
        <v>60</v>
      </c>
      <c r="CG75" s="1154">
        <v>27666</v>
      </c>
      <c r="CH75" s="1154">
        <v>3361294</v>
      </c>
      <c r="CI75" s="1154">
        <v>338</v>
      </c>
      <c r="CJ75" s="1155">
        <v>635462499</v>
      </c>
      <c r="CK75" s="1153">
        <v>126446130</v>
      </c>
      <c r="CL75" s="1154">
        <v>26318437</v>
      </c>
      <c r="CM75" s="1154">
        <v>5835533</v>
      </c>
      <c r="CN75" s="1154">
        <v>131872106</v>
      </c>
      <c r="CO75" s="1154">
        <v>16624373</v>
      </c>
      <c r="CP75" s="1154">
        <v>942559078</v>
      </c>
      <c r="CQ75" s="1154">
        <v>81396.697989555512</v>
      </c>
      <c r="CR75" s="1156">
        <f t="shared" si="26"/>
        <v>7.0692280806327057E-2</v>
      </c>
      <c r="CS75" s="1156">
        <f t="shared" si="27"/>
        <v>1.9322899024072873E-2</v>
      </c>
      <c r="CT75" s="1156">
        <f t="shared" si="28"/>
        <v>3.4246502277163315E-3</v>
      </c>
      <c r="CU75" s="1156">
        <f t="shared" si="29"/>
        <v>7.5934066363044894E-4</v>
      </c>
    </row>
    <row r="76" spans="2:99" ht="12.75" customHeight="1">
      <c r="B7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953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7">
        <f>BN76</f>
        <v>1.1856405515630341E-2</v>
      </c>
      <c r="BN76" s="1099">
        <f>ABS(CR44*DwellingStocks!W22*(1+$BO$103))</f>
        <v>1.1856405515630341E-2</v>
      </c>
      <c r="BO76" s="1100">
        <f>BN76*G76</f>
        <v>0.84378589921076608</v>
      </c>
      <c r="BP76" s="1101"/>
      <c r="BQ76" s="1102"/>
      <c r="BR76" s="1100"/>
      <c r="BS76" s="1102"/>
      <c r="BT76" s="1107"/>
      <c r="BU76" s="1102"/>
      <c r="BW76" s="1119"/>
      <c r="BX76" s="1119"/>
      <c r="BY76" s="1119"/>
      <c r="BZ76" s="1119"/>
      <c r="CA76" s="1119"/>
      <c r="CB76" s="80"/>
      <c r="CC76" s="80"/>
      <c r="CD76" s="80"/>
      <c r="CF76" s="1149" t="s">
        <v>62</v>
      </c>
      <c r="CG76" s="1150">
        <v>13787</v>
      </c>
      <c r="CH76" s="1150">
        <v>1578087</v>
      </c>
      <c r="CI76" s="1150">
        <v>415</v>
      </c>
      <c r="CJ76" s="1151">
        <v>382255989</v>
      </c>
      <c r="CK76" s="1149">
        <v>74341761</v>
      </c>
      <c r="CL76" s="1150">
        <v>12486922</v>
      </c>
      <c r="CM76" s="1150">
        <v>2769697</v>
      </c>
      <c r="CN76" s="1150">
        <v>65705835</v>
      </c>
      <c r="CO76" s="1150">
        <v>8706537</v>
      </c>
      <c r="CP76" s="1150">
        <v>546266742</v>
      </c>
      <c r="CQ76" s="1150">
        <v>43241.005762967114</v>
      </c>
      <c r="CR76" s="1152">
        <f t="shared" si="26"/>
        <v>8.501184971128925E-2</v>
      </c>
      <c r="CS76" s="1152">
        <f t="shared" si="27"/>
        <v>1.943022696743309E-2</v>
      </c>
      <c r="CT76" s="1152">
        <f t="shared" si="28"/>
        <v>3.2605294262711255E-3</v>
      </c>
      <c r="CU76" s="1152">
        <f t="shared" si="29"/>
        <v>7.2321093783999431E-4</v>
      </c>
    </row>
    <row r="77" spans="2:99">
      <c r="B77" s="909"/>
      <c r="C77" s="490"/>
      <c r="D77" s="489"/>
      <c r="E77" s="1021" t="s">
        <v>954</v>
      </c>
      <c r="F77" s="489"/>
      <c r="G77" s="1019"/>
      <c r="H77" s="1019"/>
      <c r="I77" s="1019"/>
      <c r="J77" s="1019"/>
      <c r="K77" s="1019"/>
      <c r="L77" s="1019"/>
      <c r="M77" s="1019"/>
      <c r="N77" s="1019"/>
      <c r="O77" s="1019"/>
      <c r="P77" s="1019"/>
      <c r="Q77" s="1019"/>
      <c r="R77" s="1019"/>
      <c r="S77" s="1019"/>
      <c r="T77" s="1019"/>
      <c r="U77" s="1019"/>
      <c r="V77" s="1019"/>
      <c r="W77" s="1019"/>
      <c r="X77" s="1019"/>
      <c r="Y77" s="1019"/>
      <c r="Z77" s="1019"/>
      <c r="AA77" s="1019"/>
      <c r="AB77" s="1019"/>
      <c r="AC77" s="1019"/>
      <c r="AD77" s="1019"/>
      <c r="AE77" s="1019"/>
      <c r="AF77" s="1019"/>
      <c r="AG77" s="1019"/>
      <c r="AH77" s="1019"/>
      <c r="AI77" s="1019"/>
      <c r="AJ77" s="1019"/>
      <c r="AK77" s="1019"/>
      <c r="AL77" s="1019"/>
      <c r="AM77" s="1019"/>
      <c r="AN77" s="1019"/>
      <c r="AO77" s="1019"/>
      <c r="AP77" s="1019"/>
      <c r="AQ77" s="1019"/>
      <c r="AR77" s="1019"/>
      <c r="AS77" s="1019"/>
      <c r="AT77" s="1019"/>
      <c r="AU77" s="1019"/>
      <c r="AV77" s="1019"/>
      <c r="AW77" s="1019"/>
      <c r="AX77" s="1019"/>
      <c r="AY77" s="1019"/>
      <c r="AZ77" s="1019"/>
      <c r="BA77" s="1019"/>
      <c r="BB77" s="1019"/>
      <c r="BC77" s="1019"/>
      <c r="BD77" s="1019"/>
      <c r="BE77" s="1019"/>
      <c r="BF77" s="1019"/>
      <c r="BG77" s="1019"/>
      <c r="BH77" s="1019"/>
      <c r="BI77" s="1019"/>
      <c r="BJ77" s="489"/>
      <c r="BK77" s="489"/>
      <c r="BL77" s="1020">
        <v>0</v>
      </c>
      <c r="BN77" s="1081"/>
      <c r="BO77" s="1078"/>
      <c r="BP77" s="1085"/>
      <c r="BQ77" s="1082"/>
      <c r="BR77" s="1078"/>
      <c r="BS77" s="1082"/>
      <c r="BT77" s="1106"/>
      <c r="BU77" s="1082"/>
      <c r="BW77" s="1119"/>
      <c r="BX77" s="1119"/>
      <c r="BY77" s="1119"/>
      <c r="BZ77" s="1119"/>
      <c r="CA77" s="1119"/>
      <c r="CB77" s="80"/>
      <c r="CC77" s="80"/>
      <c r="CD77" s="80"/>
      <c r="CF77" s="1153" t="s">
        <v>64</v>
      </c>
      <c r="CG77" s="1154">
        <v>24436</v>
      </c>
      <c r="CH77" s="1154">
        <v>2381791</v>
      </c>
      <c r="CI77" s="1154">
        <v>673</v>
      </c>
      <c r="CJ77" s="1155">
        <v>889411987</v>
      </c>
      <c r="CK77" s="1153">
        <v>178556613</v>
      </c>
      <c r="CL77" s="1154">
        <v>19539039</v>
      </c>
      <c r="CM77" s="1154">
        <v>3598598</v>
      </c>
      <c r="CN77" s="1154">
        <v>107615125</v>
      </c>
      <c r="CO77" s="1154">
        <v>12476668</v>
      </c>
      <c r="CP77" s="1154">
        <v>1211198029</v>
      </c>
      <c r="CQ77" s="1154">
        <v>78435.533443104825</v>
      </c>
      <c r="CR77" s="1156">
        <f t="shared" si="26"/>
        <v>0.11218733764722996</v>
      </c>
      <c r="CS77" s="1156">
        <f t="shared" si="27"/>
        <v>1.769235778359797E-2</v>
      </c>
      <c r="CT77" s="1156">
        <f t="shared" si="28"/>
        <v>2.8785619741365197E-3</v>
      </c>
      <c r="CU77" s="1156">
        <f t="shared" si="29"/>
        <v>5.3015848747749216E-4</v>
      </c>
    </row>
    <row r="78" spans="2:99">
      <c r="B78" s="910"/>
      <c r="C78" s="328"/>
      <c r="D78" s="328"/>
      <c r="E78" s="417" t="s">
        <v>955</v>
      </c>
      <c r="F78" s="328"/>
      <c r="G78" s="1023"/>
      <c r="H78" s="1023"/>
      <c r="I78" s="1023"/>
      <c r="J78" s="1023"/>
      <c r="K78" s="1023"/>
      <c r="L78" s="1023"/>
      <c r="M78" s="1023"/>
      <c r="N78" s="1023"/>
      <c r="O78" s="1023"/>
      <c r="P78" s="1023"/>
      <c r="Q78" s="1023"/>
      <c r="R78" s="1023"/>
      <c r="S78" s="1023"/>
      <c r="T78" s="1023"/>
      <c r="U78" s="1023"/>
      <c r="V78" s="1023"/>
      <c r="W78" s="1023"/>
      <c r="X78" s="1023"/>
      <c r="Y78" s="1023"/>
      <c r="Z78" s="1023"/>
      <c r="AA78" s="1023"/>
      <c r="AB78" s="1023"/>
      <c r="AC78" s="1023"/>
      <c r="AD78" s="1023"/>
      <c r="AE78" s="1023"/>
      <c r="AF78" s="1023"/>
      <c r="AG78" s="1023"/>
      <c r="AH78" s="1023"/>
      <c r="AI78" s="1023"/>
      <c r="AJ78" s="1023"/>
      <c r="AK78" s="1023"/>
      <c r="AL78" s="1023"/>
      <c r="AM78" s="1023"/>
      <c r="AN78" s="1023"/>
      <c r="AO78" s="1023"/>
      <c r="AP78" s="1023"/>
      <c r="AQ78" s="1023"/>
      <c r="AR78" s="1023"/>
      <c r="AS78" s="1023"/>
      <c r="AT78" s="1023"/>
      <c r="AU78" s="1023"/>
      <c r="AV78" s="1023"/>
      <c r="AW78" s="1023"/>
      <c r="AX78" s="1023"/>
      <c r="AY78" s="1023"/>
      <c r="AZ78" s="1023"/>
      <c r="BA78" s="1023"/>
      <c r="BB78" s="1023"/>
      <c r="BC78" s="1023"/>
      <c r="BD78" s="1023"/>
      <c r="BE78" s="1023"/>
      <c r="BF78" s="1023"/>
      <c r="BG78" s="1023"/>
      <c r="BH78" s="1023"/>
      <c r="BI78" s="1023"/>
      <c r="BJ78" s="328"/>
      <c r="BK78" s="328"/>
      <c r="BL78" s="1024">
        <f>BP78</f>
        <v>1.332487439684894E-2</v>
      </c>
      <c r="BN78" s="1081"/>
      <c r="BO78" s="1078"/>
      <c r="BP78" s="1085">
        <f>CS44*(1+BQ103)</f>
        <v>1.332487439684894E-2</v>
      </c>
      <c r="BQ78" s="1082">
        <f>BP78*G76</f>
        <v>0.94829255881924424</v>
      </c>
      <c r="BR78" s="1078"/>
      <c r="BS78" s="1082"/>
      <c r="BT78" s="1106"/>
      <c r="BU78" s="1082"/>
      <c r="BW78" s="1119"/>
      <c r="BX78" s="1119"/>
      <c r="BY78" s="1119"/>
      <c r="BZ78" s="1119"/>
      <c r="CA78" s="1119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1115</v>
      </c>
      <c r="CR78" s="1161">
        <f>AVERAGE(CR69:CR77)</f>
        <v>5.4248256501984234E-2</v>
      </c>
      <c r="CS78" s="1162">
        <f t="shared" ref="CS78:CU78" si="30">AVERAGE(CS69:CS77)</f>
        <v>1.6591261736419179E-2</v>
      </c>
      <c r="CT78" s="1162">
        <f t="shared" si="30"/>
        <v>4.0663121209199632E-3</v>
      </c>
      <c r="CU78" s="1162">
        <f t="shared" si="30"/>
        <v>9.7389990708204226E-4</v>
      </c>
    </row>
    <row r="79" spans="2:99">
      <c r="B79" s="909"/>
      <c r="C79" s="490"/>
      <c r="D79" s="489"/>
      <c r="E79" s="1021" t="s">
        <v>956</v>
      </c>
      <c r="F79" s="489"/>
      <c r="G79" s="1019"/>
      <c r="H79" s="1019"/>
      <c r="I79" s="1019"/>
      <c r="J79" s="1019"/>
      <c r="K79" s="1019"/>
      <c r="L79" s="1019"/>
      <c r="M79" s="1019"/>
      <c r="N79" s="1019"/>
      <c r="O79" s="1019"/>
      <c r="P79" s="1019"/>
      <c r="Q79" s="1019"/>
      <c r="R79" s="1019"/>
      <c r="S79" s="1019"/>
      <c r="T79" s="1019"/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489"/>
      <c r="BK79" s="489"/>
      <c r="BL79" s="1020">
        <f>BR79</f>
        <v>1.732608363550955E-3</v>
      </c>
      <c r="BN79" s="1081"/>
      <c r="BO79" s="1078"/>
      <c r="BP79" s="1085"/>
      <c r="BQ79" s="1082"/>
      <c r="BR79" s="1078">
        <f>CT44*(1+BS103)</f>
        <v>1.732608363550955E-3</v>
      </c>
      <c r="BS79" s="1082">
        <f>BR79*G76</f>
        <v>0.12330469838364098</v>
      </c>
      <c r="BT79" s="1106"/>
      <c r="BU79" s="1082"/>
      <c r="CC79" s="80"/>
      <c r="CD79" s="80"/>
      <c r="CE79" s="80"/>
    </row>
    <row r="80" spans="2:99" ht="13.5" thickBot="1">
      <c r="B80" s="911"/>
      <c r="C80" s="912"/>
      <c r="D80" s="912"/>
      <c r="E80" s="1026" t="s">
        <v>957</v>
      </c>
      <c r="F80" s="912"/>
      <c r="G80" s="914"/>
      <c r="H80" s="914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914"/>
      <c r="Z80" s="914"/>
      <c r="AA80" s="914"/>
      <c r="AB80" s="914"/>
      <c r="AC80" s="914"/>
      <c r="AD80" s="914"/>
      <c r="AE80" s="914"/>
      <c r="AF80" s="914"/>
      <c r="AG80" s="914"/>
      <c r="AH80" s="914"/>
      <c r="AI80" s="914"/>
      <c r="AJ80" s="914"/>
      <c r="AK80" s="914"/>
      <c r="AL80" s="914"/>
      <c r="AM80" s="914"/>
      <c r="AN80" s="914"/>
      <c r="AO80" s="914"/>
      <c r="AP80" s="914"/>
      <c r="AQ80" s="914"/>
      <c r="AR80" s="914"/>
      <c r="AS80" s="914"/>
      <c r="AT80" s="914"/>
      <c r="AU80" s="914"/>
      <c r="AV80" s="914"/>
      <c r="AW80" s="914"/>
      <c r="AX80" s="914"/>
      <c r="AY80" s="914"/>
      <c r="AZ80" s="914"/>
      <c r="BA80" s="914"/>
      <c r="BB80" s="914"/>
      <c r="BC80" s="914"/>
      <c r="BD80" s="914"/>
      <c r="BE80" s="914"/>
      <c r="BF80" s="914"/>
      <c r="BG80" s="914"/>
      <c r="BH80" s="914"/>
      <c r="BI80" s="914"/>
      <c r="BJ80" s="912"/>
      <c r="BK80" s="912"/>
      <c r="BL80" s="1025">
        <f>BT80</f>
        <v>3.5383859246558504E-4</v>
      </c>
      <c r="BN80" s="1103"/>
      <c r="BO80" s="1083"/>
      <c r="BP80" s="1104"/>
      <c r="BQ80" s="1084"/>
      <c r="BR80" s="1083"/>
      <c r="BS80" s="1084"/>
      <c r="BT80" s="1105">
        <f>CU44*(1+BU103)</f>
        <v>3.5383859246558504E-4</v>
      </c>
      <c r="BU80" s="1084">
        <f>BT80*G76</f>
        <v>2.5181663576321466E-2</v>
      </c>
      <c r="CC80" s="80"/>
      <c r="CD80" s="80"/>
      <c r="CE80" s="80"/>
    </row>
    <row r="81" spans="2:73" ht="15">
      <c r="B8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953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7">
        <f>BN81</f>
        <v>1.2969600973572654E-2</v>
      </c>
      <c r="BN81" s="1099">
        <f>ABS(CR45*DwellingStocks!W23*(1+$BO$103))</f>
        <v>1.2969600973572654E-2</v>
      </c>
      <c r="BO81" s="1100">
        <f>BN81*G81</f>
        <v>0.61593743648333388</v>
      </c>
      <c r="BP81" s="1085"/>
      <c r="BQ81" s="1082"/>
      <c r="BR81" s="1078"/>
      <c r="BS81" s="1082"/>
      <c r="BT81" s="1106"/>
      <c r="BU81" s="1082"/>
    </row>
    <row r="82" spans="2:73">
      <c r="B82" s="909"/>
      <c r="C82" s="490"/>
      <c r="D82" s="489"/>
      <c r="E82" s="1021" t="s">
        <v>954</v>
      </c>
      <c r="F82" s="489"/>
      <c r="G82" s="1019"/>
      <c r="H82" s="1019"/>
      <c r="I82" s="1019"/>
      <c r="J82" s="1019"/>
      <c r="K82" s="1019"/>
      <c r="L82" s="1019"/>
      <c r="M82" s="1019"/>
      <c r="N82" s="1019"/>
      <c r="O82" s="1019"/>
      <c r="P82" s="1019"/>
      <c r="Q82" s="1019"/>
      <c r="R82" s="1019"/>
      <c r="S82" s="1019"/>
      <c r="T82" s="1019"/>
      <c r="U82" s="1019"/>
      <c r="V82" s="1019"/>
      <c r="W82" s="1019"/>
      <c r="X82" s="1019"/>
      <c r="Y82" s="1019"/>
      <c r="Z82" s="1019"/>
      <c r="AA82" s="1019"/>
      <c r="AB82" s="1019"/>
      <c r="AC82" s="1019"/>
      <c r="AD82" s="1019"/>
      <c r="AE82" s="1019"/>
      <c r="AF82" s="1019"/>
      <c r="AG82" s="1019"/>
      <c r="AH82" s="1019"/>
      <c r="AI82" s="1019"/>
      <c r="AJ82" s="1019"/>
      <c r="AK82" s="1019"/>
      <c r="AL82" s="1019"/>
      <c r="AM82" s="1019"/>
      <c r="AN82" s="1019"/>
      <c r="AO82" s="1019"/>
      <c r="AP82" s="1019"/>
      <c r="AQ82" s="1019"/>
      <c r="AR82" s="1019"/>
      <c r="AS82" s="1019"/>
      <c r="AT82" s="1019"/>
      <c r="AU82" s="1019"/>
      <c r="AV82" s="1019"/>
      <c r="AW82" s="1019"/>
      <c r="AX82" s="1019"/>
      <c r="AY82" s="1019"/>
      <c r="AZ82" s="1019"/>
      <c r="BA82" s="1019"/>
      <c r="BB82" s="1019"/>
      <c r="BC82" s="1019"/>
      <c r="BD82" s="1019"/>
      <c r="BE82" s="1019"/>
      <c r="BF82" s="1019"/>
      <c r="BG82" s="1019"/>
      <c r="BH82" s="1019"/>
      <c r="BI82" s="1019"/>
      <c r="BJ82" s="489"/>
      <c r="BK82" s="489"/>
      <c r="BL82" s="1020">
        <v>0</v>
      </c>
      <c r="BN82" s="1081"/>
      <c r="BO82" s="1078"/>
      <c r="BP82" s="1085"/>
      <c r="BQ82" s="1082"/>
      <c r="BR82" s="1078"/>
      <c r="BS82" s="1082"/>
      <c r="BT82" s="1106"/>
      <c r="BU82" s="1082"/>
    </row>
    <row r="83" spans="2:73">
      <c r="B83" s="910"/>
      <c r="C83" s="328"/>
      <c r="D83" s="328"/>
      <c r="E83" s="417" t="s">
        <v>955</v>
      </c>
      <c r="F83" s="328"/>
      <c r="G83" s="1023"/>
      <c r="H83" s="1023"/>
      <c r="I83" s="1023"/>
      <c r="J83" s="1023"/>
      <c r="K83" s="1023"/>
      <c r="L83" s="1023"/>
      <c r="M83" s="1023"/>
      <c r="N83" s="1023"/>
      <c r="O83" s="1023"/>
      <c r="P83" s="1023"/>
      <c r="Q83" s="1023"/>
      <c r="R83" s="1023"/>
      <c r="S83" s="1023"/>
      <c r="T83" s="1023"/>
      <c r="U83" s="1023"/>
      <c r="V83" s="1023"/>
      <c r="W83" s="1023"/>
      <c r="X83" s="1023"/>
      <c r="Y83" s="1023"/>
      <c r="Z83" s="1023"/>
      <c r="AA83" s="1023"/>
      <c r="AB83" s="1023"/>
      <c r="AC83" s="1023"/>
      <c r="AD83" s="1023"/>
      <c r="AE83" s="1023"/>
      <c r="AF83" s="1023"/>
      <c r="AG83" s="1023"/>
      <c r="AH83" s="1023"/>
      <c r="AI83" s="1023"/>
      <c r="AJ83" s="1023"/>
      <c r="AK83" s="1023"/>
      <c r="AL83" s="1023"/>
      <c r="AM83" s="1023"/>
      <c r="AN83" s="1023"/>
      <c r="AO83" s="1023"/>
      <c r="AP83" s="1023"/>
      <c r="AQ83" s="1023"/>
      <c r="AR83" s="1023"/>
      <c r="AS83" s="1023"/>
      <c r="AT83" s="1023"/>
      <c r="AU83" s="1023"/>
      <c r="AV83" s="1023"/>
      <c r="AW83" s="1023"/>
      <c r="AX83" s="1023"/>
      <c r="AY83" s="1023"/>
      <c r="AZ83" s="1023"/>
      <c r="BA83" s="1023"/>
      <c r="BB83" s="1023"/>
      <c r="BC83" s="1023"/>
      <c r="BD83" s="1023"/>
      <c r="BE83" s="1023"/>
      <c r="BF83" s="1023"/>
      <c r="BG83" s="1023"/>
      <c r="BH83" s="1023"/>
      <c r="BI83" s="1023"/>
      <c r="BJ83" s="328"/>
      <c r="BK83" s="328"/>
      <c r="BL83" s="1024">
        <f>BP83</f>
        <v>1.1330836370142107E-2</v>
      </c>
      <c r="BN83" s="1081"/>
      <c r="BO83" s="1078"/>
      <c r="BP83" s="1085">
        <f>CS45*(1+BQ103)</f>
        <v>1.1330836370142107E-2</v>
      </c>
      <c r="BQ83" s="1082">
        <f>BP83*G81</f>
        <v>0.5381111046714776</v>
      </c>
      <c r="BR83" s="1078"/>
      <c r="BS83" s="1082"/>
      <c r="BT83" s="1106"/>
      <c r="BU83" s="1082"/>
    </row>
    <row r="84" spans="2:73">
      <c r="B84" s="909"/>
      <c r="C84" s="490"/>
      <c r="D84" s="489"/>
      <c r="E84" s="1021" t="s">
        <v>956</v>
      </c>
      <c r="F84" s="489"/>
      <c r="G84" s="1019"/>
      <c r="H84" s="1019"/>
      <c r="I84" s="1019"/>
      <c r="J84" s="1019"/>
      <c r="K84" s="1019"/>
      <c r="L84" s="1019"/>
      <c r="M84" s="1019"/>
      <c r="N84" s="1019"/>
      <c r="O84" s="1019"/>
      <c r="P84" s="1019"/>
      <c r="Q84" s="1019"/>
      <c r="R84" s="1019"/>
      <c r="S84" s="1019"/>
      <c r="T84" s="1019"/>
      <c r="U84" s="1019"/>
      <c r="V84" s="1019"/>
      <c r="W84" s="1019"/>
      <c r="X84" s="1019"/>
      <c r="Y84" s="1019"/>
      <c r="Z84" s="1019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489"/>
      <c r="BK84" s="489"/>
      <c r="BL84" s="1020">
        <f>BR84</f>
        <v>1.5534375804389586E-3</v>
      </c>
      <c r="BN84" s="1081"/>
      <c r="BO84" s="1078"/>
      <c r="BP84" s="1085"/>
      <c r="BQ84" s="1082"/>
      <c r="BR84" s="1078">
        <f>CT45*(1+BS103)</f>
        <v>1.5534375804389586E-3</v>
      </c>
      <c r="BS84" s="1082">
        <f>BR84*G81</f>
        <v>7.377407855354208E-2</v>
      </c>
      <c r="BT84" s="1106"/>
      <c r="BU84" s="1082"/>
    </row>
    <row r="85" spans="2:73" ht="13.5" thickBot="1">
      <c r="B85" s="911"/>
      <c r="C85" s="912"/>
      <c r="D85" s="912"/>
      <c r="E85" s="1026" t="s">
        <v>957</v>
      </c>
      <c r="F85" s="912"/>
      <c r="G85" s="914"/>
      <c r="H85" s="914"/>
      <c r="I85" s="914"/>
      <c r="J85" s="914"/>
      <c r="K85" s="914"/>
      <c r="L85" s="914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914"/>
      <c r="Z85" s="914"/>
      <c r="AA85" s="914"/>
      <c r="AB85" s="914"/>
      <c r="AC85" s="914"/>
      <c r="AD85" s="914"/>
      <c r="AE85" s="914"/>
      <c r="AF85" s="914"/>
      <c r="AG85" s="914"/>
      <c r="AH85" s="914"/>
      <c r="AI85" s="914"/>
      <c r="AJ85" s="914"/>
      <c r="AK85" s="914"/>
      <c r="AL85" s="914"/>
      <c r="AM85" s="914"/>
      <c r="AN85" s="914"/>
      <c r="AO85" s="914"/>
      <c r="AP85" s="914"/>
      <c r="AQ85" s="914"/>
      <c r="AR85" s="914"/>
      <c r="AS85" s="914"/>
      <c r="AT85" s="914"/>
      <c r="AU85" s="914"/>
      <c r="AV85" s="914"/>
      <c r="AW85" s="914"/>
      <c r="AX85" s="914"/>
      <c r="AY85" s="914"/>
      <c r="AZ85" s="914"/>
      <c r="BA85" s="914"/>
      <c r="BB85" s="914"/>
      <c r="BC85" s="914"/>
      <c r="BD85" s="914"/>
      <c r="BE85" s="914"/>
      <c r="BF85" s="914"/>
      <c r="BG85" s="914"/>
      <c r="BH85" s="914"/>
      <c r="BI85" s="914"/>
      <c r="BJ85" s="912"/>
      <c r="BK85" s="912"/>
      <c r="BL85" s="1025">
        <f>BT85</f>
        <v>1.5394412667996878E-4</v>
      </c>
      <c r="BN85" s="1081"/>
      <c r="BO85" s="1078"/>
      <c r="BP85" s="1085"/>
      <c r="BQ85" s="1082"/>
      <c r="BR85" s="1078"/>
      <c r="BS85" s="1082"/>
      <c r="BT85" s="1106">
        <f>CU45*(1+BU103)</f>
        <v>1.5394412667996878E-4</v>
      </c>
      <c r="BU85" s="1082">
        <f>BT85*G81</f>
        <v>7.3109381654943937E-3</v>
      </c>
    </row>
    <row r="86" spans="2:73" ht="15">
      <c r="B8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953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7">
        <f>BN86</f>
        <v>1.7321011836582485E-2</v>
      </c>
      <c r="BN86" s="1099">
        <f>ABS(CR46*DwellingStocks!W24*(1+$BO$103))</f>
        <v>1.7321011836582485E-2</v>
      </c>
      <c r="BO86" s="1100">
        <f>BN86*G86</f>
        <v>0.41207873541514894</v>
      </c>
      <c r="BP86" s="1101"/>
      <c r="BQ86" s="1102"/>
      <c r="BR86" s="1100"/>
      <c r="BS86" s="1102"/>
      <c r="BT86" s="1107"/>
      <c r="BU86" s="1102"/>
    </row>
    <row r="87" spans="2:73">
      <c r="B87" s="909"/>
      <c r="C87" s="490"/>
      <c r="D87" s="489"/>
      <c r="E87" s="1021" t="s">
        <v>954</v>
      </c>
      <c r="F87" s="489"/>
      <c r="G87" s="1019"/>
      <c r="H87" s="1019"/>
      <c r="I87" s="1019"/>
      <c r="J87" s="1019"/>
      <c r="K87" s="1019"/>
      <c r="L87" s="1019"/>
      <c r="M87" s="1019"/>
      <c r="N87" s="1019"/>
      <c r="O87" s="1019"/>
      <c r="P87" s="1019"/>
      <c r="Q87" s="1019"/>
      <c r="R87" s="1019"/>
      <c r="S87" s="1019"/>
      <c r="T87" s="1019"/>
      <c r="U87" s="1019"/>
      <c r="V87" s="1019"/>
      <c r="W87" s="1019"/>
      <c r="X87" s="1019"/>
      <c r="Y87" s="1019"/>
      <c r="Z87" s="1019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489"/>
      <c r="BK87" s="489"/>
      <c r="BL87" s="1020">
        <v>0</v>
      </c>
      <c r="BN87" s="1081"/>
      <c r="BO87" s="1078"/>
      <c r="BP87" s="1085"/>
      <c r="BQ87" s="1082"/>
      <c r="BR87" s="1078"/>
      <c r="BS87" s="1082"/>
      <c r="BT87" s="1106"/>
      <c r="BU87" s="1082"/>
    </row>
    <row r="88" spans="2:73">
      <c r="B88" s="910"/>
      <c r="C88" s="328"/>
      <c r="D88" s="328"/>
      <c r="E88" s="417" t="s">
        <v>955</v>
      </c>
      <c r="F88" s="328"/>
      <c r="G88" s="1023"/>
      <c r="H88" s="1023"/>
      <c r="I88" s="1023"/>
      <c r="J88" s="1023"/>
      <c r="K88" s="1023"/>
      <c r="L88" s="1023"/>
      <c r="M88" s="1023"/>
      <c r="N88" s="1023"/>
      <c r="O88" s="1023"/>
      <c r="P88" s="1023"/>
      <c r="Q88" s="1023"/>
      <c r="R88" s="1023"/>
      <c r="S88" s="1023"/>
      <c r="T88" s="1023"/>
      <c r="U88" s="1023"/>
      <c r="V88" s="1023"/>
      <c r="W88" s="1023"/>
      <c r="X88" s="1023"/>
      <c r="Y88" s="1023"/>
      <c r="Z88" s="1023"/>
      <c r="AA88" s="1023"/>
      <c r="AB88" s="1023"/>
      <c r="AC88" s="1023"/>
      <c r="AD88" s="1023"/>
      <c r="AE88" s="1023"/>
      <c r="AF88" s="1023"/>
      <c r="AG88" s="1023"/>
      <c r="AH88" s="1023"/>
      <c r="AI88" s="1023"/>
      <c r="AJ88" s="1023"/>
      <c r="AK88" s="1023"/>
      <c r="AL88" s="1023"/>
      <c r="AM88" s="1023"/>
      <c r="AN88" s="1023"/>
      <c r="AO88" s="1023"/>
      <c r="AP88" s="1023"/>
      <c r="AQ88" s="1023"/>
      <c r="AR88" s="1023"/>
      <c r="AS88" s="1023"/>
      <c r="AT88" s="1023"/>
      <c r="AU88" s="1023"/>
      <c r="AV88" s="1023"/>
      <c r="AW88" s="1023"/>
      <c r="AX88" s="1023"/>
      <c r="AY88" s="1023"/>
      <c r="AZ88" s="1023"/>
      <c r="BA88" s="1023"/>
      <c r="BB88" s="1023"/>
      <c r="BC88" s="1023"/>
      <c r="BD88" s="1023"/>
      <c r="BE88" s="1023"/>
      <c r="BF88" s="1023"/>
      <c r="BG88" s="1023"/>
      <c r="BH88" s="1023"/>
      <c r="BI88" s="1023"/>
      <c r="BJ88" s="328"/>
      <c r="BK88" s="328"/>
      <c r="BL88" s="1024">
        <f>BP88</f>
        <v>1.0667474417317305E-2</v>
      </c>
      <c r="BN88" s="1081"/>
      <c r="BO88" s="1078"/>
      <c r="BP88" s="1085">
        <f>CS46*(1+BQ103)</f>
        <v>1.0667474417317305E-2</v>
      </c>
      <c r="BQ88" s="1082">
        <f>BP88*G86</f>
        <v>0.25378652294881682</v>
      </c>
      <c r="BR88" s="1078"/>
      <c r="BS88" s="1082"/>
      <c r="BT88" s="1106"/>
      <c r="BU88" s="1082"/>
    </row>
    <row r="89" spans="2:73">
      <c r="B89" s="909"/>
      <c r="C89" s="490"/>
      <c r="D89" s="489"/>
      <c r="E89" s="1021" t="s">
        <v>956</v>
      </c>
      <c r="F89" s="489"/>
      <c r="G89" s="1019"/>
      <c r="H89" s="1019"/>
      <c r="I89" s="1019"/>
      <c r="J89" s="1019"/>
      <c r="K89" s="1019"/>
      <c r="L89" s="1019"/>
      <c r="M89" s="1019"/>
      <c r="N89" s="1019"/>
      <c r="O89" s="1019"/>
      <c r="P89" s="1019"/>
      <c r="Q89" s="1019"/>
      <c r="R89" s="1019"/>
      <c r="S89" s="1019"/>
      <c r="T89" s="1019"/>
      <c r="U89" s="1019"/>
      <c r="V89" s="1019"/>
      <c r="W89" s="1019"/>
      <c r="X89" s="1019"/>
      <c r="Y89" s="1019"/>
      <c r="Z89" s="1019"/>
      <c r="AA89" s="1019"/>
      <c r="AB89" s="1019"/>
      <c r="AC89" s="1019"/>
      <c r="AD89" s="1019"/>
      <c r="AE89" s="1019"/>
      <c r="AF89" s="1019"/>
      <c r="AG89" s="1019"/>
      <c r="AH89" s="1019"/>
      <c r="AI89" s="1019"/>
      <c r="AJ89" s="1019"/>
      <c r="AK89" s="1019"/>
      <c r="AL89" s="1019"/>
      <c r="AM89" s="1019"/>
      <c r="AN89" s="1019"/>
      <c r="AO89" s="1019"/>
      <c r="AP89" s="1019"/>
      <c r="AQ89" s="1019"/>
      <c r="AR89" s="1019"/>
      <c r="AS89" s="1019"/>
      <c r="AT89" s="1019"/>
      <c r="AU89" s="1019"/>
      <c r="AV89" s="1019"/>
      <c r="AW89" s="1019"/>
      <c r="AX89" s="1019"/>
      <c r="AY89" s="1019"/>
      <c r="AZ89" s="1019"/>
      <c r="BA89" s="1019"/>
      <c r="BB89" s="1019"/>
      <c r="BC89" s="1019"/>
      <c r="BD89" s="1019"/>
      <c r="BE89" s="1019"/>
      <c r="BF89" s="1019"/>
      <c r="BG89" s="1019"/>
      <c r="BH89" s="1019"/>
      <c r="BI89" s="1019"/>
      <c r="BJ89" s="489"/>
      <c r="BK89" s="489"/>
      <c r="BL89" s="1020">
        <f>BR89</f>
        <v>1.4460778695501715E-3</v>
      </c>
      <c r="BN89" s="1081"/>
      <c r="BO89" s="1078"/>
      <c r="BP89" s="1085"/>
      <c r="BQ89" s="1082"/>
      <c r="BR89" s="1078">
        <f>CT46*(1+BS103)</f>
        <v>1.4460778695501715E-3</v>
      </c>
      <c r="BS89" s="1082">
        <f>BR89*G86</f>
        <v>3.4403182990586811E-2</v>
      </c>
      <c r="BT89" s="1106"/>
      <c r="BU89" s="1082"/>
    </row>
    <row r="90" spans="2:73" ht="13.5" thickBot="1">
      <c r="B90" s="911"/>
      <c r="C90" s="912"/>
      <c r="D90" s="912"/>
      <c r="E90" s="1026" t="s">
        <v>957</v>
      </c>
      <c r="F90" s="912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4"/>
      <c r="BI90" s="914"/>
      <c r="BJ90" s="912"/>
      <c r="BK90" s="912"/>
      <c r="BL90" s="1025">
        <f>BT90</f>
        <v>1.14670692556907E-4</v>
      </c>
      <c r="BN90" s="1103"/>
      <c r="BO90" s="1083"/>
      <c r="BP90" s="1104"/>
      <c r="BQ90" s="1084"/>
      <c r="BR90" s="1083"/>
      <c r="BS90" s="1084"/>
      <c r="BT90" s="1105">
        <f>CU46*(1+BU103)</f>
        <v>1.14670692556907E-4</v>
      </c>
      <c r="BU90" s="1084">
        <f>BT90*G86</f>
        <v>2.7280943182677758E-3</v>
      </c>
    </row>
    <row r="91" spans="2:73" ht="15">
      <c r="B9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953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7">
        <f>BN91</f>
        <v>2.3542925713001851E-2</v>
      </c>
      <c r="BN91" s="1099">
        <f>ABS(CR47*DwellingStocks!W25*(1+$BO$103))</f>
        <v>2.3542925713001851E-2</v>
      </c>
      <c r="BO91" s="1100">
        <f>BN91*G91</f>
        <v>0.18859765511208434</v>
      </c>
      <c r="BP91" s="1085"/>
      <c r="BQ91" s="1082"/>
      <c r="BR91" s="1078"/>
      <c r="BS91" s="1082"/>
      <c r="BT91" s="1106"/>
      <c r="BU91" s="1082"/>
    </row>
    <row r="92" spans="2:73">
      <c r="B92" s="909"/>
      <c r="C92" s="490"/>
      <c r="D92" s="489"/>
      <c r="E92" s="1021" t="s">
        <v>954</v>
      </c>
      <c r="F92" s="489"/>
      <c r="G92" s="1019"/>
      <c r="H92" s="1019"/>
      <c r="I92" s="1019"/>
      <c r="J92" s="1019"/>
      <c r="K92" s="1019"/>
      <c r="L92" s="1019"/>
      <c r="M92" s="1019"/>
      <c r="N92" s="1019"/>
      <c r="O92" s="1019"/>
      <c r="P92" s="1019"/>
      <c r="Q92" s="1019"/>
      <c r="R92" s="1019"/>
      <c r="S92" s="1019"/>
      <c r="T92" s="1019"/>
      <c r="U92" s="1019"/>
      <c r="V92" s="1019"/>
      <c r="W92" s="1019"/>
      <c r="X92" s="1019"/>
      <c r="Y92" s="1019"/>
      <c r="Z92" s="1019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489"/>
      <c r="BK92" s="489"/>
      <c r="BL92" s="1020">
        <v>0</v>
      </c>
      <c r="BN92" s="1081"/>
      <c r="BO92" s="1078"/>
      <c r="BP92" s="1085"/>
      <c r="BQ92" s="1082"/>
      <c r="BR92" s="1078"/>
      <c r="BS92" s="1082"/>
      <c r="BT92" s="1106"/>
      <c r="BU92" s="1082"/>
    </row>
    <row r="93" spans="2:73">
      <c r="B93" s="910"/>
      <c r="C93" s="328"/>
      <c r="D93" s="328"/>
      <c r="E93" s="417" t="s">
        <v>955</v>
      </c>
      <c r="F93" s="328"/>
      <c r="G93" s="1023"/>
      <c r="H93" s="1023"/>
      <c r="I93" s="1023"/>
      <c r="J93" s="1023"/>
      <c r="K93" s="1023"/>
      <c r="L93" s="1023"/>
      <c r="M93" s="1023"/>
      <c r="N93" s="1023"/>
      <c r="O93" s="1023"/>
      <c r="P93" s="1023"/>
      <c r="Q93" s="1023"/>
      <c r="R93" s="1023"/>
      <c r="S93" s="1023"/>
      <c r="T93" s="1023"/>
      <c r="U93" s="1023"/>
      <c r="V93" s="1023"/>
      <c r="W93" s="1023"/>
      <c r="X93" s="1023"/>
      <c r="Y93" s="1023"/>
      <c r="Z93" s="1023"/>
      <c r="AA93" s="1023"/>
      <c r="AB93" s="1023"/>
      <c r="AC93" s="1023"/>
      <c r="AD93" s="1023"/>
      <c r="AE93" s="1023"/>
      <c r="AF93" s="1023"/>
      <c r="AG93" s="1023"/>
      <c r="AH93" s="1023"/>
      <c r="AI93" s="1023"/>
      <c r="AJ93" s="1023"/>
      <c r="AK93" s="1023"/>
      <c r="AL93" s="1023"/>
      <c r="AM93" s="1023"/>
      <c r="AN93" s="1023"/>
      <c r="AO93" s="1023"/>
      <c r="AP93" s="1023"/>
      <c r="AQ93" s="1023"/>
      <c r="AR93" s="1023"/>
      <c r="AS93" s="1023"/>
      <c r="AT93" s="1023"/>
      <c r="AU93" s="1023"/>
      <c r="AV93" s="1023"/>
      <c r="AW93" s="1023"/>
      <c r="AX93" s="1023"/>
      <c r="AY93" s="1023"/>
      <c r="AZ93" s="1023"/>
      <c r="BA93" s="1023"/>
      <c r="BB93" s="1023"/>
      <c r="BC93" s="1023"/>
      <c r="BD93" s="1023"/>
      <c r="BE93" s="1023"/>
      <c r="BF93" s="1023"/>
      <c r="BG93" s="1023"/>
      <c r="BH93" s="1023"/>
      <c r="BI93" s="1023"/>
      <c r="BJ93" s="328"/>
      <c r="BK93" s="328"/>
      <c r="BL93" s="1024">
        <f>BP93</f>
        <v>1.0804525786818606E-2</v>
      </c>
      <c r="BN93" s="1081"/>
      <c r="BO93" s="1078"/>
      <c r="BP93" s="1085">
        <f>CS47*(1+BQ103)</f>
        <v>1.0804525786818606E-2</v>
      </c>
      <c r="BQ93" s="1082">
        <f>BP93*G91</f>
        <v>8.6552888661016722E-2</v>
      </c>
      <c r="BR93" s="1078"/>
      <c r="BS93" s="1082"/>
      <c r="BT93" s="1106"/>
      <c r="BU93" s="1082"/>
    </row>
    <row r="94" spans="2:73">
      <c r="B94" s="909"/>
      <c r="C94" s="490"/>
      <c r="D94" s="489"/>
      <c r="E94" s="1021" t="s">
        <v>956</v>
      </c>
      <c r="F94" s="489"/>
      <c r="G94" s="1019"/>
      <c r="H94" s="1019"/>
      <c r="I94" s="1019"/>
      <c r="J94" s="1019"/>
      <c r="K94" s="1019"/>
      <c r="L94" s="1019"/>
      <c r="M94" s="1019"/>
      <c r="N94" s="1019"/>
      <c r="O94" s="1019"/>
      <c r="P94" s="1019"/>
      <c r="Q94" s="1019"/>
      <c r="R94" s="1019"/>
      <c r="S94" s="1019"/>
      <c r="T94" s="1019"/>
      <c r="U94" s="1019"/>
      <c r="V94" s="1019"/>
      <c r="W94" s="1019"/>
      <c r="X94" s="1019"/>
      <c r="Y94" s="1019"/>
      <c r="Z94" s="1019"/>
      <c r="AA94" s="1019"/>
      <c r="AB94" s="1019"/>
      <c r="AC94" s="1019"/>
      <c r="AD94" s="1019"/>
      <c r="AE94" s="1019"/>
      <c r="AF94" s="1019"/>
      <c r="AG94" s="1019"/>
      <c r="AH94" s="1019"/>
      <c r="AI94" s="1019"/>
      <c r="AJ94" s="1019"/>
      <c r="AK94" s="1019"/>
      <c r="AL94" s="1019"/>
      <c r="AM94" s="1019"/>
      <c r="AN94" s="1019"/>
      <c r="AO94" s="1019"/>
      <c r="AP94" s="1019"/>
      <c r="AQ94" s="1019"/>
      <c r="AR94" s="1019"/>
      <c r="AS94" s="1019"/>
      <c r="AT94" s="1019"/>
      <c r="AU94" s="1019"/>
      <c r="AV94" s="1019"/>
      <c r="AW94" s="1019"/>
      <c r="AX94" s="1019"/>
      <c r="AY94" s="1019"/>
      <c r="AZ94" s="1019"/>
      <c r="BA94" s="1019"/>
      <c r="BB94" s="1019"/>
      <c r="BC94" s="1019"/>
      <c r="BD94" s="1019"/>
      <c r="BE94" s="1019"/>
      <c r="BF94" s="1019"/>
      <c r="BG94" s="1019"/>
      <c r="BH94" s="1019"/>
      <c r="BI94" s="1019"/>
      <c r="BJ94" s="489"/>
      <c r="BK94" s="489"/>
      <c r="BL94" s="1020">
        <f>BR94</f>
        <v>1.3601732375881151E-3</v>
      </c>
      <c r="BN94" s="1081"/>
      <c r="BO94" s="1078"/>
      <c r="BP94" s="1085"/>
      <c r="BQ94" s="1082"/>
      <c r="BR94" s="1078">
        <f>CT47*(1+BS103)</f>
        <v>1.3601732375881151E-3</v>
      </c>
      <c r="BS94" s="1082">
        <f>BR94*G91</f>
        <v>1.0896074951876578E-2</v>
      </c>
      <c r="BT94" s="1106"/>
      <c r="BU94" s="1082"/>
    </row>
    <row r="95" spans="2:73" ht="13.5" thickBot="1">
      <c r="B95" s="911"/>
      <c r="C95" s="912"/>
      <c r="D95" s="912"/>
      <c r="E95" s="1026" t="s">
        <v>957</v>
      </c>
      <c r="F95" s="912"/>
      <c r="G95" s="914"/>
      <c r="H95" s="914"/>
      <c r="I95" s="914"/>
      <c r="J95" s="914"/>
      <c r="K95" s="914"/>
      <c r="L95" s="91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914"/>
      <c r="Z95" s="914"/>
      <c r="AA95" s="914"/>
      <c r="AB95" s="914"/>
      <c r="AC95" s="914"/>
      <c r="AD95" s="914"/>
      <c r="AE95" s="914"/>
      <c r="AF95" s="914"/>
      <c r="AG95" s="914"/>
      <c r="AH95" s="914"/>
      <c r="AI95" s="914"/>
      <c r="AJ95" s="914"/>
      <c r="AK95" s="914"/>
      <c r="AL95" s="914"/>
      <c r="AM95" s="914"/>
      <c r="AN95" s="914"/>
      <c r="AO95" s="914"/>
      <c r="AP95" s="914"/>
      <c r="AQ95" s="914"/>
      <c r="AR95" s="914"/>
      <c r="AS95" s="914"/>
      <c r="AT95" s="914"/>
      <c r="AU95" s="914"/>
      <c r="AV95" s="914"/>
      <c r="AW95" s="914"/>
      <c r="AX95" s="914"/>
      <c r="AY95" s="914"/>
      <c r="AZ95" s="914"/>
      <c r="BA95" s="914"/>
      <c r="BB95" s="914"/>
      <c r="BC95" s="914"/>
      <c r="BD95" s="914"/>
      <c r="BE95" s="914"/>
      <c r="BF95" s="914"/>
      <c r="BG95" s="914"/>
      <c r="BH95" s="914"/>
      <c r="BI95" s="914"/>
      <c r="BJ95" s="912"/>
      <c r="BK95" s="912"/>
      <c r="BL95" s="1025">
        <f>BT95</f>
        <v>1.4078992368685156E-4</v>
      </c>
      <c r="BN95" s="1081"/>
      <c r="BO95" s="1078"/>
      <c r="BP95" s="1085"/>
      <c r="BQ95" s="1082"/>
      <c r="BR95" s="1078"/>
      <c r="BS95" s="1082"/>
      <c r="BT95" s="1106">
        <f>CU47*(1+BU103)</f>
        <v>1.4078992368685156E-4</v>
      </c>
      <c r="BU95" s="1082">
        <f>BT95*G91</f>
        <v>1.1278398358146923E-3</v>
      </c>
    </row>
    <row r="96" spans="2:73" ht="15">
      <c r="B9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953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7">
        <f>BN96</f>
        <v>2.8448640170056879E-2</v>
      </c>
      <c r="BN96" s="1099">
        <f>ABS(CR48*DwellingStocks!W26*(1+$BO$103))</f>
        <v>2.8448640170056879E-2</v>
      </c>
      <c r="BO96" s="1100">
        <f>BN96*G96</f>
        <v>0.24631191989517523</v>
      </c>
      <c r="BP96" s="1101"/>
      <c r="BQ96" s="1102"/>
      <c r="BR96" s="1100"/>
      <c r="BS96" s="1102"/>
      <c r="BT96" s="1107"/>
      <c r="BU96" s="1102"/>
    </row>
    <row r="97" spans="2:73">
      <c r="B97" s="909"/>
      <c r="C97" s="490"/>
      <c r="D97" s="489"/>
      <c r="E97" s="1021" t="s">
        <v>954</v>
      </c>
      <c r="F97" s="489"/>
      <c r="G97" s="1019"/>
      <c r="H97" s="1019"/>
      <c r="I97" s="1019"/>
      <c r="J97" s="1019"/>
      <c r="K97" s="1019"/>
      <c r="L97" s="1019"/>
      <c r="M97" s="1019"/>
      <c r="N97" s="1019"/>
      <c r="O97" s="1019"/>
      <c r="P97" s="1019"/>
      <c r="Q97" s="1019"/>
      <c r="R97" s="1019"/>
      <c r="S97" s="1019"/>
      <c r="T97" s="1019"/>
      <c r="U97" s="1019"/>
      <c r="V97" s="1019"/>
      <c r="W97" s="1019"/>
      <c r="X97" s="1019"/>
      <c r="Y97" s="1019"/>
      <c r="Z97" s="1019"/>
      <c r="AA97" s="1019"/>
      <c r="AB97" s="1019"/>
      <c r="AC97" s="1019"/>
      <c r="AD97" s="1019"/>
      <c r="AE97" s="1019"/>
      <c r="AF97" s="1019"/>
      <c r="AG97" s="1019"/>
      <c r="AH97" s="1019"/>
      <c r="AI97" s="1019"/>
      <c r="AJ97" s="1019"/>
      <c r="AK97" s="1019"/>
      <c r="AL97" s="1019"/>
      <c r="AM97" s="1019"/>
      <c r="AN97" s="1019"/>
      <c r="AO97" s="1019"/>
      <c r="AP97" s="1019"/>
      <c r="AQ97" s="1019"/>
      <c r="AR97" s="1019"/>
      <c r="AS97" s="1019"/>
      <c r="AT97" s="1019"/>
      <c r="AU97" s="1019"/>
      <c r="AV97" s="1019"/>
      <c r="AW97" s="1019"/>
      <c r="AX97" s="1019"/>
      <c r="AY97" s="1019"/>
      <c r="AZ97" s="1019"/>
      <c r="BA97" s="1019"/>
      <c r="BB97" s="1019"/>
      <c r="BC97" s="1019"/>
      <c r="BD97" s="1019"/>
      <c r="BE97" s="1019"/>
      <c r="BF97" s="1019"/>
      <c r="BG97" s="1019"/>
      <c r="BH97" s="1019"/>
      <c r="BI97" s="1019"/>
      <c r="BJ97" s="489"/>
      <c r="BK97" s="489"/>
      <c r="BL97" s="1020">
        <v>0</v>
      </c>
      <c r="BN97" s="355"/>
      <c r="BO97" s="226"/>
      <c r="BP97" s="355"/>
      <c r="BQ97" s="375"/>
      <c r="BR97" s="1078"/>
      <c r="BS97" s="1082"/>
      <c r="BT97" s="1106"/>
      <c r="BU97" s="375"/>
    </row>
    <row r="98" spans="2:73">
      <c r="B98" s="910"/>
      <c r="C98" s="328"/>
      <c r="D98" s="328"/>
      <c r="E98" s="417" t="s">
        <v>955</v>
      </c>
      <c r="F98" s="328"/>
      <c r="G98" s="1023"/>
      <c r="H98" s="1023"/>
      <c r="I98" s="1023"/>
      <c r="J98" s="1023"/>
      <c r="K98" s="1023"/>
      <c r="L98" s="1023"/>
      <c r="M98" s="1023"/>
      <c r="N98" s="1023"/>
      <c r="O98" s="1023"/>
      <c r="P98" s="1023"/>
      <c r="Q98" s="1023"/>
      <c r="R98" s="1023"/>
      <c r="S98" s="1023"/>
      <c r="T98" s="1023"/>
      <c r="U98" s="1023"/>
      <c r="V98" s="1023"/>
      <c r="W98" s="1023"/>
      <c r="X98" s="1023"/>
      <c r="Y98" s="1023"/>
      <c r="Z98" s="1023"/>
      <c r="AA98" s="1023"/>
      <c r="AB98" s="1023"/>
      <c r="AC98" s="1023"/>
      <c r="AD98" s="1023"/>
      <c r="AE98" s="1023"/>
      <c r="AF98" s="1023"/>
      <c r="AG98" s="1023"/>
      <c r="AH98" s="1023"/>
      <c r="AI98" s="1023"/>
      <c r="AJ98" s="1023"/>
      <c r="AK98" s="1023"/>
      <c r="AL98" s="1023"/>
      <c r="AM98" s="1023"/>
      <c r="AN98" s="1023"/>
      <c r="AO98" s="1023"/>
      <c r="AP98" s="1023"/>
      <c r="AQ98" s="1023"/>
      <c r="AR98" s="1023"/>
      <c r="AS98" s="1023"/>
      <c r="AT98" s="1023"/>
      <c r="AU98" s="1023"/>
      <c r="AV98" s="1023"/>
      <c r="AW98" s="1023"/>
      <c r="AX98" s="1023"/>
      <c r="AY98" s="1023"/>
      <c r="AZ98" s="1023"/>
      <c r="BA98" s="1023"/>
      <c r="BB98" s="1023"/>
      <c r="BC98" s="1023"/>
      <c r="BD98" s="1023"/>
      <c r="BE98" s="1023"/>
      <c r="BF98" s="1023"/>
      <c r="BG98" s="1023"/>
      <c r="BH98" s="1023"/>
      <c r="BI98" s="1023"/>
      <c r="BJ98" s="328"/>
      <c r="BK98" s="328"/>
      <c r="BL98" s="1024">
        <f>BP98</f>
        <v>1.0317880468241942E-2</v>
      </c>
      <c r="BN98" s="355"/>
      <c r="BO98" s="226"/>
      <c r="BP98" s="1085">
        <f>CS48*(1+BQ103)</f>
        <v>1.0317880468241942E-2</v>
      </c>
      <c r="BQ98" s="1082">
        <f>BP98*G96</f>
        <v>8.9333512329229939E-2</v>
      </c>
      <c r="BR98" s="1078"/>
      <c r="BS98" s="1082"/>
      <c r="BT98" s="1106"/>
      <c r="BU98" s="375"/>
    </row>
    <row r="99" spans="2:73">
      <c r="B99" s="909"/>
      <c r="C99" s="490"/>
      <c r="D99" s="489"/>
      <c r="E99" s="1021" t="s">
        <v>956</v>
      </c>
      <c r="F99" s="489"/>
      <c r="G99" s="1019"/>
      <c r="H99" s="1019"/>
      <c r="I99" s="1019"/>
      <c r="J99" s="1019"/>
      <c r="K99" s="1019"/>
      <c r="L99" s="1019"/>
      <c r="M99" s="1019"/>
      <c r="N99" s="1019"/>
      <c r="O99" s="1019"/>
      <c r="P99" s="1019"/>
      <c r="Q99" s="1019"/>
      <c r="R99" s="1019"/>
      <c r="S99" s="1019"/>
      <c r="T99" s="1019"/>
      <c r="U99" s="1019"/>
      <c r="V99" s="1019"/>
      <c r="W99" s="1019"/>
      <c r="X99" s="1019"/>
      <c r="Y99" s="1019"/>
      <c r="Z99" s="1019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489"/>
      <c r="BK99" s="489"/>
      <c r="BL99" s="1020">
        <f>BR99</f>
        <v>1.3122727069212242E-3</v>
      </c>
      <c r="BN99" s="355"/>
      <c r="BO99" s="226"/>
      <c r="BP99" s="1086"/>
      <c r="BQ99" s="1087"/>
      <c r="BR99" s="1078">
        <f>CT48*(1+BS103)</f>
        <v>1.3122727069212242E-3</v>
      </c>
      <c r="BS99" s="1082">
        <f>BR99*G96</f>
        <v>1.1361822847617643E-2</v>
      </c>
      <c r="BT99" s="1106"/>
      <c r="BU99" s="375"/>
    </row>
    <row r="100" spans="2:73" ht="13.5" thickBot="1">
      <c r="B100" s="911"/>
      <c r="C100" s="912"/>
      <c r="D100" s="912"/>
      <c r="E100" s="1026" t="s">
        <v>957</v>
      </c>
      <c r="F100" s="912"/>
      <c r="G100" s="914"/>
      <c r="H100" s="914"/>
      <c r="I100" s="914"/>
      <c r="J100" s="914"/>
      <c r="K100" s="914"/>
      <c r="L100" s="914"/>
      <c r="M100" s="914"/>
      <c r="N100" s="914"/>
      <c r="O100" s="914"/>
      <c r="P100" s="914"/>
      <c r="Q100" s="914"/>
      <c r="R100" s="914"/>
      <c r="S100" s="914"/>
      <c r="T100" s="914"/>
      <c r="U100" s="914"/>
      <c r="V100" s="914"/>
      <c r="W100" s="914"/>
      <c r="X100" s="914"/>
      <c r="Y100" s="914"/>
      <c r="Z100" s="914"/>
      <c r="AA100" s="914"/>
      <c r="AB100" s="914"/>
      <c r="AC100" s="914"/>
      <c r="AD100" s="914"/>
      <c r="AE100" s="914"/>
      <c r="AF100" s="914"/>
      <c r="AG100" s="914"/>
      <c r="AH100" s="914"/>
      <c r="AI100" s="914"/>
      <c r="AJ100" s="914"/>
      <c r="AK100" s="914"/>
      <c r="AL100" s="914"/>
      <c r="AM100" s="914"/>
      <c r="AN100" s="914"/>
      <c r="AO100" s="914"/>
      <c r="AP100" s="914"/>
      <c r="AQ100" s="914"/>
      <c r="AR100" s="914"/>
      <c r="AS100" s="914"/>
      <c r="AT100" s="914"/>
      <c r="AU100" s="914"/>
      <c r="AV100" s="914"/>
      <c r="AW100" s="914"/>
      <c r="AX100" s="914"/>
      <c r="AY100" s="914"/>
      <c r="AZ100" s="914"/>
      <c r="BA100" s="914"/>
      <c r="BB100" s="914"/>
      <c r="BC100" s="914"/>
      <c r="BD100" s="914"/>
      <c r="BE100" s="914"/>
      <c r="BF100" s="914"/>
      <c r="BG100" s="914"/>
      <c r="BH100" s="914"/>
      <c r="BI100" s="914"/>
      <c r="BJ100" s="912"/>
      <c r="BK100" s="912"/>
      <c r="BL100" s="1025">
        <f>BT100</f>
        <v>1.184844760555872E-4</v>
      </c>
      <c r="BN100" s="367"/>
      <c r="BO100" s="1074"/>
      <c r="BP100" s="1088"/>
      <c r="BQ100" s="1089"/>
      <c r="BR100" s="1083"/>
      <c r="BS100" s="1084"/>
      <c r="BT100" s="1105">
        <f>CU48*(1+BU103)</f>
        <v>1.184844760555872E-4</v>
      </c>
      <c r="BU100" s="1084">
        <f>BT100*G96</f>
        <v>1.0258535592763713E-3</v>
      </c>
    </row>
    <row r="101" spans="2:73">
      <c r="B101" s="1073" t="s">
        <v>254</v>
      </c>
      <c r="C101" s="1071"/>
      <c r="D101" s="1071"/>
      <c r="E101" s="1073"/>
      <c r="F101" s="1071"/>
      <c r="G101" s="1072"/>
      <c r="H101" s="1072"/>
      <c r="I101" s="1072"/>
      <c r="J101" s="1072"/>
      <c r="K101" s="1072"/>
      <c r="L101" s="1072"/>
      <c r="M101" s="1072"/>
      <c r="N101" s="1072"/>
      <c r="O101" s="1072"/>
      <c r="P101" s="1072"/>
      <c r="Q101" s="1072"/>
      <c r="R101" s="1072"/>
      <c r="S101" s="1072"/>
      <c r="T101" s="1072"/>
      <c r="U101" s="1072"/>
      <c r="V101" s="1072"/>
      <c r="W101" s="1072"/>
      <c r="X101" s="1072"/>
      <c r="Y101" s="1072"/>
      <c r="Z101" s="1072"/>
      <c r="AA101" s="1072"/>
      <c r="AB101" s="1072"/>
      <c r="AC101" s="1072"/>
      <c r="AD101" s="1072"/>
      <c r="AE101" s="1072"/>
      <c r="AF101" s="1072"/>
      <c r="AG101" s="1072"/>
      <c r="AH101" s="1072"/>
      <c r="AI101" s="1072"/>
      <c r="AJ101" s="1072"/>
      <c r="AK101" s="1072"/>
      <c r="AL101" s="1072"/>
      <c r="AM101" s="1072"/>
      <c r="AN101" s="1072"/>
      <c r="AO101" s="1072"/>
      <c r="AP101" s="1072"/>
      <c r="AQ101" s="1072"/>
      <c r="AR101" s="1072"/>
      <c r="AS101" s="1072"/>
      <c r="AT101" s="1072"/>
      <c r="AU101" s="1072"/>
      <c r="AV101" s="1072"/>
      <c r="AW101" s="1072"/>
      <c r="AX101" s="1072"/>
      <c r="AY101" s="1072"/>
      <c r="AZ101" s="1072"/>
      <c r="BA101" s="1072"/>
      <c r="BB101" s="1072"/>
      <c r="BC101" s="1072"/>
      <c r="BD101" s="1072"/>
      <c r="BE101" s="1072"/>
      <c r="BF101" s="1072"/>
      <c r="BG101" s="1072"/>
      <c r="BH101" s="1072"/>
      <c r="BI101" s="1072"/>
      <c r="BJ101" s="1071"/>
      <c r="BK101" s="1071"/>
      <c r="BL101" s="1024"/>
      <c r="BN101" s="365" t="s">
        <v>946</v>
      </c>
      <c r="BO101" s="354">
        <f>'SHWLP-Apt'!AB27</f>
        <v>2.8697698162996939</v>
      </c>
      <c r="BP101" s="358"/>
      <c r="BQ101" s="359">
        <f>'SHWLP-Apt'!AB54</f>
        <v>2.4708350674698245</v>
      </c>
      <c r="BR101" s="358"/>
      <c r="BS101" s="359">
        <f>'SHWLP-Apt'!AC59</f>
        <v>0.34353539472387451</v>
      </c>
      <c r="BT101" s="358"/>
      <c r="BU101" s="359">
        <f>'SHWLP-Apt'!AC60</f>
        <v>7.078848738741389E-2</v>
      </c>
    </row>
    <row r="102" spans="2:73">
      <c r="B102" s="1073" t="s">
        <v>254</v>
      </c>
      <c r="C102" s="1071"/>
      <c r="D102" s="1071"/>
      <c r="E102" s="1073"/>
      <c r="F102" s="1071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072"/>
      <c r="V102" s="1072"/>
      <c r="W102" s="1072"/>
      <c r="X102" s="1072"/>
      <c r="Y102" s="1072"/>
      <c r="Z102" s="1072"/>
      <c r="AA102" s="1072"/>
      <c r="AB102" s="1072"/>
      <c r="AC102" s="1072"/>
      <c r="AD102" s="1072"/>
      <c r="AE102" s="1072"/>
      <c r="AF102" s="1072"/>
      <c r="AG102" s="1072"/>
      <c r="AH102" s="1072"/>
      <c r="AI102" s="1072"/>
      <c r="AJ102" s="1072"/>
      <c r="AK102" s="1072"/>
      <c r="AL102" s="1072"/>
      <c r="AM102" s="1072"/>
      <c r="AN102" s="1072"/>
      <c r="AO102" s="1072"/>
      <c r="AP102" s="1072"/>
      <c r="AQ102" s="1072"/>
      <c r="AR102" s="1072"/>
      <c r="AS102" s="1072"/>
      <c r="AT102" s="1072"/>
      <c r="AU102" s="1072"/>
      <c r="AV102" s="1072"/>
      <c r="AW102" s="1072"/>
      <c r="AX102" s="1072"/>
      <c r="AY102" s="1072"/>
      <c r="AZ102" s="1072"/>
      <c r="BA102" s="1072"/>
      <c r="BB102" s="1072"/>
      <c r="BC102" s="1072"/>
      <c r="BD102" s="1072"/>
      <c r="BE102" s="1072"/>
      <c r="BF102" s="1072"/>
      <c r="BG102" s="1072"/>
      <c r="BH102" s="1072"/>
      <c r="BI102" s="1072"/>
      <c r="BJ102" s="1071"/>
      <c r="BK102" s="1071"/>
      <c r="BL102" s="1024"/>
      <c r="BN102" s="1075" t="s">
        <v>938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073" t="s">
        <v>254</v>
      </c>
      <c r="C103" s="1071"/>
      <c r="D103" s="1071"/>
      <c r="E103" s="1073"/>
      <c r="F103" s="1071"/>
      <c r="G103" s="1072"/>
      <c r="H103" s="1072"/>
      <c r="I103" s="1072"/>
      <c r="J103" s="1072"/>
      <c r="K103" s="1072"/>
      <c r="L103" s="1072"/>
      <c r="M103" s="1072"/>
      <c r="N103" s="1072"/>
      <c r="O103" s="1072"/>
      <c r="P103" s="1072"/>
      <c r="Q103" s="1072"/>
      <c r="R103" s="1072"/>
      <c r="S103" s="1072"/>
      <c r="T103" s="1072"/>
      <c r="U103" s="1072"/>
      <c r="V103" s="1072"/>
      <c r="W103" s="1072"/>
      <c r="X103" s="1072"/>
      <c r="Y103" s="1072"/>
      <c r="Z103" s="1072"/>
      <c r="AA103" s="1072"/>
      <c r="AB103" s="1072"/>
      <c r="AC103" s="1072"/>
      <c r="AD103" s="1072"/>
      <c r="AE103" s="1072"/>
      <c r="AF103" s="1072"/>
      <c r="AG103" s="1072"/>
      <c r="AH103" s="1072"/>
      <c r="AI103" s="1072"/>
      <c r="AJ103" s="1072"/>
      <c r="AK103" s="1072"/>
      <c r="AL103" s="1072"/>
      <c r="AM103" s="1072"/>
      <c r="AN103" s="1072"/>
      <c r="AO103" s="1072"/>
      <c r="AP103" s="1072"/>
      <c r="AQ103" s="1072"/>
      <c r="AR103" s="1072"/>
      <c r="AS103" s="1072"/>
      <c r="AT103" s="1072"/>
      <c r="AU103" s="1072"/>
      <c r="AV103" s="1072"/>
      <c r="AW103" s="1072"/>
      <c r="AX103" s="1072"/>
      <c r="AY103" s="1072"/>
      <c r="AZ103" s="1072"/>
      <c r="BA103" s="1072"/>
      <c r="BB103" s="1072"/>
      <c r="BC103" s="1072"/>
      <c r="BD103" s="1072"/>
      <c r="BE103" s="1072"/>
      <c r="BF103" s="1072"/>
      <c r="BG103" s="1072"/>
      <c r="BH103" s="1072"/>
      <c r="BI103" s="1072"/>
      <c r="BJ103" s="1071"/>
      <c r="BK103" s="1071"/>
      <c r="BL103" s="1024"/>
      <c r="BN103" s="1076" t="s">
        <v>939</v>
      </c>
      <c r="BO103" s="1077">
        <f>((BO101-BO102)/BO102)</f>
        <v>0.53152035051037083</v>
      </c>
      <c r="BP103" s="355"/>
      <c r="BQ103" s="1077">
        <f>((BQ101-BQ102)/BQ102)</f>
        <v>0.20106538305205315</v>
      </c>
      <c r="BR103" s="355"/>
      <c r="BS103" s="1077">
        <f>((BS101-BS102)/BS102)</f>
        <v>-0.11607583777796689</v>
      </c>
      <c r="BT103" s="355"/>
      <c r="BU103" s="1077">
        <f>((BU101-BU102)/BU102)</f>
        <v>-0.1363759224142149</v>
      </c>
    </row>
    <row r="104" spans="2:73">
      <c r="B104" s="1073" t="s">
        <v>254</v>
      </c>
      <c r="C104" s="1071"/>
      <c r="D104" s="1071"/>
      <c r="E104" s="1073"/>
      <c r="F104" s="1071"/>
      <c r="G104" s="1072"/>
      <c r="H104" s="1072"/>
      <c r="I104" s="1072"/>
      <c r="J104" s="1072"/>
      <c r="K104" s="1072"/>
      <c r="L104" s="1072"/>
      <c r="M104" s="1072"/>
      <c r="N104" s="1072"/>
      <c r="O104" s="1072"/>
      <c r="P104" s="1072"/>
      <c r="Q104" s="1072"/>
      <c r="R104" s="1072"/>
      <c r="S104" s="1072"/>
      <c r="T104" s="1072"/>
      <c r="U104" s="1072"/>
      <c r="V104" s="1072"/>
      <c r="W104" s="1072"/>
      <c r="X104" s="1072"/>
      <c r="Y104" s="1072"/>
      <c r="Z104" s="1072"/>
      <c r="AA104" s="1072"/>
      <c r="AB104" s="1072"/>
      <c r="AC104" s="1072"/>
      <c r="AD104" s="1072"/>
      <c r="AE104" s="1072"/>
      <c r="AF104" s="1072"/>
      <c r="AG104" s="1072"/>
      <c r="AH104" s="1072"/>
      <c r="AI104" s="1072"/>
      <c r="AJ104" s="1072"/>
      <c r="AK104" s="1072"/>
      <c r="AL104" s="1072"/>
      <c r="AM104" s="1072"/>
      <c r="AN104" s="1072"/>
      <c r="AO104" s="1072"/>
      <c r="AP104" s="1072"/>
      <c r="AQ104" s="1072"/>
      <c r="AR104" s="1072"/>
      <c r="AS104" s="1072"/>
      <c r="AT104" s="1072"/>
      <c r="AU104" s="1072"/>
      <c r="AV104" s="1072"/>
      <c r="AW104" s="1072"/>
      <c r="AX104" s="1072"/>
      <c r="AY104" s="1072"/>
      <c r="AZ104" s="1072"/>
      <c r="BA104" s="1072"/>
      <c r="BB104" s="1072"/>
      <c r="BC104" s="1072"/>
      <c r="BD104" s="1072"/>
      <c r="BE104" s="1072"/>
      <c r="BF104" s="1072"/>
      <c r="BG104" s="1072"/>
      <c r="BH104" s="1072"/>
      <c r="BI104" s="1072"/>
      <c r="BJ104" s="1071"/>
      <c r="BK104" s="1071"/>
      <c r="BL104" s="1024"/>
      <c r="BN104" s="1075" t="s">
        <v>940</v>
      </c>
      <c r="BO104" s="1078">
        <f>SUM(BO56:BO96)</f>
        <v>2.8697698162996934</v>
      </c>
      <c r="BP104" s="355"/>
      <c r="BQ104" s="1082">
        <f>SUM(BQ56:BQ100)</f>
        <v>2.4708350674698245</v>
      </c>
      <c r="BR104" s="355"/>
      <c r="BS104" s="1082">
        <f t="shared" ref="BS104" si="31">SUM(BS56:BS100)</f>
        <v>0.34353539472387445</v>
      </c>
      <c r="BT104" s="355"/>
      <c r="BU104" s="1082">
        <f>SUM(BU56:BU100)</f>
        <v>7.078848738741389E-2</v>
      </c>
    </row>
    <row r="105" spans="2:73" ht="13.5" thickBot="1">
      <c r="B105" s="1073" t="s">
        <v>254</v>
      </c>
      <c r="C105" s="1071"/>
      <c r="D105" s="1071"/>
      <c r="E105" s="1073"/>
      <c r="F105" s="1071"/>
      <c r="G105" s="1072"/>
      <c r="H105" s="1072"/>
      <c r="I105" s="1072"/>
      <c r="J105" s="1072"/>
      <c r="K105" s="1072"/>
      <c r="L105" s="1072"/>
      <c r="M105" s="1072"/>
      <c r="N105" s="1072"/>
      <c r="O105" s="1072"/>
      <c r="P105" s="1072"/>
      <c r="Q105" s="1072"/>
      <c r="R105" s="1072"/>
      <c r="S105" s="1072"/>
      <c r="T105" s="1072"/>
      <c r="U105" s="1072"/>
      <c r="V105" s="1072"/>
      <c r="W105" s="1072"/>
      <c r="X105" s="1072"/>
      <c r="Y105" s="1072"/>
      <c r="Z105" s="1072"/>
      <c r="AA105" s="1072"/>
      <c r="AB105" s="1072"/>
      <c r="AC105" s="1072"/>
      <c r="AD105" s="1072"/>
      <c r="AE105" s="1072"/>
      <c r="AF105" s="1072"/>
      <c r="AG105" s="1072"/>
      <c r="AH105" s="1072"/>
      <c r="AI105" s="1072"/>
      <c r="AJ105" s="1072"/>
      <c r="AK105" s="1072"/>
      <c r="AL105" s="1072"/>
      <c r="AM105" s="1072"/>
      <c r="AN105" s="1072"/>
      <c r="AO105" s="1072"/>
      <c r="AP105" s="1072"/>
      <c r="AQ105" s="1072"/>
      <c r="AR105" s="1072"/>
      <c r="AS105" s="1072"/>
      <c r="AT105" s="1072"/>
      <c r="AU105" s="1072"/>
      <c r="AV105" s="1072"/>
      <c r="AW105" s="1072"/>
      <c r="AX105" s="1072"/>
      <c r="AY105" s="1072"/>
      <c r="AZ105" s="1072"/>
      <c r="BA105" s="1072"/>
      <c r="BB105" s="1072"/>
      <c r="BC105" s="1072"/>
      <c r="BD105" s="1072"/>
      <c r="BE105" s="1072"/>
      <c r="BF105" s="1072"/>
      <c r="BG105" s="1072"/>
      <c r="BH105" s="1072"/>
      <c r="BI105" s="1072"/>
      <c r="BJ105" s="1071"/>
      <c r="BK105" s="1071"/>
      <c r="BL105" s="1024"/>
      <c r="BN105" s="1079" t="s">
        <v>941</v>
      </c>
      <c r="BO105" s="1080">
        <f>((BO101-BO104)/BO104)</f>
        <v>1.5474732758276592E-16</v>
      </c>
      <c r="BP105" s="367"/>
      <c r="BQ105" s="1091">
        <f t="shared" ref="BQ105" si="32">((BQ101-BQ104)/BQ104)</f>
        <v>0</v>
      </c>
      <c r="BR105" s="367"/>
      <c r="BS105" s="1091">
        <f t="shared" ref="BS105" si="33">((BS101-BS104)/BS104)</f>
        <v>1.6158786571577688E-16</v>
      </c>
      <c r="BT105" s="367"/>
      <c r="BU105" s="1091">
        <f>((BU101-BU104)/BU104)</f>
        <v>0</v>
      </c>
    </row>
    <row r="106" spans="2:73" ht="15">
      <c r="B10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958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7">
        <f>ABS(CR69)*0.853224702081462*0.63908</f>
        <v>2.4058665241777602E-3</v>
      </c>
      <c r="BN106" s="1099">
        <f>ABS(CR69*DwellingStocks!Y18*(1+BO153))</f>
        <v>7.7312491229629566E-3</v>
      </c>
      <c r="BO106" s="1100">
        <f>BN106*G106</f>
        <v>0.28887388064095082</v>
      </c>
      <c r="BP106" s="1101"/>
      <c r="BQ106" s="1102"/>
      <c r="BR106" s="1101"/>
      <c r="BS106" s="1102"/>
      <c r="BT106" s="1100"/>
      <c r="BU106" s="1102"/>
    </row>
    <row r="107" spans="2:73">
      <c r="B107" s="909"/>
      <c r="C107" s="490"/>
      <c r="D107" s="489"/>
      <c r="E107" s="1021" t="s">
        <v>959</v>
      </c>
      <c r="F107" s="489"/>
      <c r="G107" s="1019"/>
      <c r="H107" s="1019"/>
      <c r="I107" s="1019"/>
      <c r="J107" s="1019"/>
      <c r="K107" s="1019"/>
      <c r="L107" s="1019"/>
      <c r="M107" s="1019"/>
      <c r="N107" s="1019"/>
      <c r="O107" s="1019"/>
      <c r="P107" s="1019"/>
      <c r="Q107" s="1019"/>
      <c r="R107" s="1019"/>
      <c r="S107" s="1019"/>
      <c r="T107" s="1019"/>
      <c r="U107" s="1019"/>
      <c r="V107" s="1019"/>
      <c r="W107" s="1019"/>
      <c r="X107" s="1019"/>
      <c r="Y107" s="1019"/>
      <c r="Z107" s="1019"/>
      <c r="AA107" s="1019"/>
      <c r="AB107" s="1019"/>
      <c r="AC107" s="1019"/>
      <c r="AD107" s="1019"/>
      <c r="AE107" s="1019"/>
      <c r="AF107" s="1019"/>
      <c r="AG107" s="1019"/>
      <c r="AH107" s="1019"/>
      <c r="AI107" s="1019"/>
      <c r="AJ107" s="1019"/>
      <c r="AK107" s="1019"/>
      <c r="AL107" s="1019"/>
      <c r="AM107" s="1019"/>
      <c r="AN107" s="1019"/>
      <c r="AO107" s="1019"/>
      <c r="AP107" s="1019"/>
      <c r="AQ107" s="1019"/>
      <c r="AR107" s="1019"/>
      <c r="AS107" s="1019"/>
      <c r="AT107" s="1019"/>
      <c r="AU107" s="1019"/>
      <c r="AV107" s="1019"/>
      <c r="AW107" s="1019"/>
      <c r="AX107" s="1019"/>
      <c r="AY107" s="1019"/>
      <c r="AZ107" s="1019"/>
      <c r="BA107" s="1019"/>
      <c r="BB107" s="1019"/>
      <c r="BC107" s="1019"/>
      <c r="BD107" s="1019"/>
      <c r="BE107" s="1019"/>
      <c r="BF107" s="1019"/>
      <c r="BG107" s="1019"/>
      <c r="BH107" s="1019"/>
      <c r="BI107" s="1019"/>
      <c r="BJ107" s="489"/>
      <c r="BK107" s="489"/>
      <c r="BL107" s="1020">
        <v>0</v>
      </c>
      <c r="BN107" s="1081"/>
      <c r="BO107" s="1078"/>
      <c r="BP107" s="1085"/>
      <c r="BQ107" s="1082"/>
      <c r="BR107" s="1085"/>
      <c r="BS107" s="1082"/>
      <c r="BT107" s="1078"/>
      <c r="BU107" s="1082"/>
    </row>
    <row r="108" spans="2:73">
      <c r="B108" s="910"/>
      <c r="C108" s="328"/>
      <c r="D108" s="328"/>
      <c r="E108" s="417" t="s">
        <v>960</v>
      </c>
      <c r="F108" s="328"/>
      <c r="G108" s="1023"/>
      <c r="H108" s="1023"/>
      <c r="I108" s="1023"/>
      <c r="J108" s="1023"/>
      <c r="K108" s="1023"/>
      <c r="L108" s="1023"/>
      <c r="M108" s="1023"/>
      <c r="N108" s="1023"/>
      <c r="O108" s="1023"/>
      <c r="P108" s="1023"/>
      <c r="Q108" s="1023"/>
      <c r="R108" s="1023"/>
      <c r="S108" s="1023"/>
      <c r="T108" s="1023"/>
      <c r="U108" s="1023"/>
      <c r="V108" s="1023"/>
      <c r="W108" s="1023"/>
      <c r="X108" s="1023"/>
      <c r="Y108" s="1023"/>
      <c r="Z108" s="1023"/>
      <c r="AA108" s="1023"/>
      <c r="AB108" s="1023"/>
      <c r="AC108" s="1023"/>
      <c r="AD108" s="1023"/>
      <c r="AE108" s="1023"/>
      <c r="AF108" s="1023"/>
      <c r="AG108" s="1023"/>
      <c r="AH108" s="1023"/>
      <c r="AI108" s="1023"/>
      <c r="AJ108" s="1023"/>
      <c r="AK108" s="1023"/>
      <c r="AL108" s="1023"/>
      <c r="AM108" s="1023"/>
      <c r="AN108" s="1023"/>
      <c r="AO108" s="1023"/>
      <c r="AP108" s="1023"/>
      <c r="AQ108" s="1023"/>
      <c r="AR108" s="1023"/>
      <c r="AS108" s="1023"/>
      <c r="AT108" s="1023"/>
      <c r="AU108" s="1023"/>
      <c r="AV108" s="1023"/>
      <c r="AW108" s="1023"/>
      <c r="AX108" s="1023"/>
      <c r="AY108" s="1023"/>
      <c r="AZ108" s="1023"/>
      <c r="BA108" s="1023"/>
      <c r="BB108" s="1023"/>
      <c r="BC108" s="1023"/>
      <c r="BD108" s="1023"/>
      <c r="BE108" s="1023"/>
      <c r="BF108" s="1023"/>
      <c r="BG108" s="1023"/>
      <c r="BH108" s="1023"/>
      <c r="BI108" s="1023"/>
      <c r="BJ108" s="328"/>
      <c r="BK108" s="328"/>
      <c r="BL108" s="1024">
        <f>CS69*0.742731884673138*0.63908</f>
        <v>4.2605415152040874E-3</v>
      </c>
      <c r="BN108" s="1081"/>
      <c r="BO108" s="1078"/>
      <c r="BP108" s="1085">
        <f>CS69*(1+BQ153)</f>
        <v>6.687436000545932E-3</v>
      </c>
      <c r="BQ108" s="1082">
        <f>BP108*G106</f>
        <v>0.24987237615689997</v>
      </c>
      <c r="BR108" s="1085"/>
      <c r="BS108" s="1082"/>
      <c r="BT108" s="1078"/>
      <c r="BU108" s="1082"/>
    </row>
    <row r="109" spans="2:73">
      <c r="B109" s="909"/>
      <c r="C109" s="490"/>
      <c r="D109" s="489"/>
      <c r="E109" s="1021" t="s">
        <v>961</v>
      </c>
      <c r="F109" s="489"/>
      <c r="G109" s="1019"/>
      <c r="H109" s="1019"/>
      <c r="I109" s="1019"/>
      <c r="J109" s="1019"/>
      <c r="K109" s="1019"/>
      <c r="L109" s="1019"/>
      <c r="M109" s="1019"/>
      <c r="N109" s="1019"/>
      <c r="O109" s="1019"/>
      <c r="P109" s="1019"/>
      <c r="Q109" s="1019"/>
      <c r="R109" s="1019"/>
      <c r="S109" s="1019"/>
      <c r="T109" s="1019"/>
      <c r="U109" s="1019"/>
      <c r="V109" s="1019"/>
      <c r="W109" s="1019"/>
      <c r="X109" s="1019"/>
      <c r="Y109" s="1019"/>
      <c r="Z109" s="1019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489"/>
      <c r="BK109" s="489"/>
      <c r="BL109" s="1020">
        <f>CT69*0.375703674683678*0.63908</f>
        <v>8.4666683429302956E-4</v>
      </c>
      <c r="BN109" s="1081"/>
      <c r="BO109" s="1078"/>
      <c r="BP109" s="1085"/>
      <c r="BQ109" s="1082"/>
      <c r="BR109" s="1085">
        <f>CT69*(1+BS153)</f>
        <v>1.3281850343852097E-3</v>
      </c>
      <c r="BS109" s="1082">
        <f>BR109*G106</f>
        <v>4.9626904914046782E-2</v>
      </c>
      <c r="BT109" s="1078"/>
      <c r="BU109" s="1082"/>
    </row>
    <row r="110" spans="2:73" ht="13.5" thickBot="1">
      <c r="B110" s="911"/>
      <c r="C110" s="912"/>
      <c r="D110" s="912"/>
      <c r="E110" s="1026" t="s">
        <v>962</v>
      </c>
      <c r="F110" s="912"/>
      <c r="G110" s="914"/>
      <c r="H110" s="914"/>
      <c r="I110" s="914"/>
      <c r="J110" s="914"/>
      <c r="K110" s="914"/>
      <c r="L110" s="914"/>
      <c r="M110" s="914"/>
      <c r="N110" s="914"/>
      <c r="O110" s="914"/>
      <c r="P110" s="914"/>
      <c r="Q110" s="914"/>
      <c r="R110" s="914"/>
      <c r="S110" s="914"/>
      <c r="T110" s="914"/>
      <c r="U110" s="914"/>
      <c r="V110" s="914"/>
      <c r="W110" s="914"/>
      <c r="X110" s="914"/>
      <c r="Y110" s="914"/>
      <c r="Z110" s="914"/>
      <c r="AA110" s="914"/>
      <c r="AB110" s="914"/>
      <c r="AC110" s="914"/>
      <c r="AD110" s="914"/>
      <c r="AE110" s="914"/>
      <c r="AF110" s="914"/>
      <c r="AG110" s="914"/>
      <c r="AH110" s="914"/>
      <c r="AI110" s="914"/>
      <c r="AJ110" s="914"/>
      <c r="AK110" s="914"/>
      <c r="AL110" s="914"/>
      <c r="AM110" s="914"/>
      <c r="AN110" s="914"/>
      <c r="AO110" s="914"/>
      <c r="AP110" s="914"/>
      <c r="AQ110" s="914"/>
      <c r="AR110" s="914"/>
      <c r="AS110" s="914"/>
      <c r="AT110" s="914"/>
      <c r="AU110" s="914"/>
      <c r="AV110" s="914"/>
      <c r="AW110" s="914"/>
      <c r="AX110" s="914"/>
      <c r="AY110" s="914"/>
      <c r="AZ110" s="914"/>
      <c r="BA110" s="914"/>
      <c r="BB110" s="914"/>
      <c r="BC110" s="914"/>
      <c r="BD110" s="914"/>
      <c r="BE110" s="914"/>
      <c r="BF110" s="914"/>
      <c r="BG110" s="914"/>
      <c r="BH110" s="914"/>
      <c r="BI110" s="914"/>
      <c r="BJ110" s="912"/>
      <c r="BK110" s="912"/>
      <c r="BL110" s="1025">
        <f>CU69*0.568571740836304*0.63908</f>
        <v>6.686799636959782E-4</v>
      </c>
      <c r="BN110" s="1103"/>
      <c r="BO110" s="1083"/>
      <c r="BP110" s="1104"/>
      <c r="BQ110" s="1084"/>
      <c r="BR110" s="1104"/>
      <c r="BS110" s="1084"/>
      <c r="BT110" s="1105">
        <f>CU69*(1+BU153)</f>
        <v>9.4845394364466017E-4</v>
      </c>
      <c r="BU110" s="1084">
        <f>BT110*G106</f>
        <v>3.5438461101463516E-2</v>
      </c>
    </row>
    <row r="111" spans="2:73" ht="15">
      <c r="B1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958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7">
        <f>ABS(CR70)*0.853224702081462</f>
        <v>2.071703416196638E-2</v>
      </c>
      <c r="BN111" s="1099">
        <f>ABS(CR70*DwellingStocks!Y19*(1+BO153))</f>
        <v>3.156506569056948E-2</v>
      </c>
      <c r="BO111" s="1100">
        <f>BN111*G111</f>
        <v>0.25841664593963509</v>
      </c>
      <c r="BP111" s="1101"/>
      <c r="BQ111" s="1102"/>
      <c r="BR111" s="1101"/>
      <c r="BS111" s="1102"/>
      <c r="BT111" s="1100"/>
      <c r="BU111" s="1102"/>
    </row>
    <row r="112" spans="2:73">
      <c r="B112" s="909"/>
      <c r="C112" s="490"/>
      <c r="D112" s="489"/>
      <c r="E112" s="1021" t="s">
        <v>959</v>
      </c>
      <c r="F112" s="48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19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489"/>
      <c r="BK112" s="489"/>
      <c r="BL112" s="1020">
        <v>0</v>
      </c>
      <c r="BN112" s="1081"/>
      <c r="BO112" s="1078"/>
      <c r="BP112" s="1085"/>
      <c r="BQ112" s="1082"/>
      <c r="BR112" s="1085"/>
      <c r="BS112" s="1082"/>
      <c r="BT112" s="1078"/>
      <c r="BU112" s="1082"/>
    </row>
    <row r="113" spans="2:73">
      <c r="B113" s="910"/>
      <c r="C113" s="328"/>
      <c r="D113" s="328"/>
      <c r="E113" s="417" t="s">
        <v>960</v>
      </c>
      <c r="F113" s="328"/>
      <c r="G113" s="1023"/>
      <c r="H113" s="1023"/>
      <c r="I113" s="1023"/>
      <c r="J113" s="1023"/>
      <c r="K113" s="1023"/>
      <c r="L113" s="1023"/>
      <c r="M113" s="1023"/>
      <c r="N113" s="1023"/>
      <c r="O113" s="1023"/>
      <c r="P113" s="1023"/>
      <c r="Q113" s="1023"/>
      <c r="R113" s="1023"/>
      <c r="S113" s="1023"/>
      <c r="T113" s="1023"/>
      <c r="U113" s="1023"/>
      <c r="V113" s="1023"/>
      <c r="W113" s="1023"/>
      <c r="X113" s="1023"/>
      <c r="Y113" s="1023"/>
      <c r="Z113" s="1023"/>
      <c r="AA113" s="1023"/>
      <c r="AB113" s="1023"/>
      <c r="AC113" s="1023"/>
      <c r="AD113" s="1023"/>
      <c r="AE113" s="1023"/>
      <c r="AF113" s="1023"/>
      <c r="AG113" s="1023"/>
      <c r="AH113" s="1023"/>
      <c r="AI113" s="1023"/>
      <c r="AJ113" s="1023"/>
      <c r="AK113" s="1023"/>
      <c r="AL113" s="1023"/>
      <c r="AM113" s="1023"/>
      <c r="AN113" s="1023"/>
      <c r="AO113" s="1023"/>
      <c r="AP113" s="1023"/>
      <c r="AQ113" s="1023"/>
      <c r="AR113" s="1023"/>
      <c r="AS113" s="1023"/>
      <c r="AT113" s="1023"/>
      <c r="AU113" s="1023"/>
      <c r="AV113" s="1023"/>
      <c r="AW113" s="1023"/>
      <c r="AX113" s="1023"/>
      <c r="AY113" s="1023"/>
      <c r="AZ113" s="1023"/>
      <c r="BA113" s="1023"/>
      <c r="BB113" s="1023"/>
      <c r="BC113" s="1023"/>
      <c r="BD113" s="1023"/>
      <c r="BE113" s="1023"/>
      <c r="BF113" s="1023"/>
      <c r="BG113" s="1023"/>
      <c r="BH113" s="1023"/>
      <c r="BI113" s="1023"/>
      <c r="BJ113" s="328"/>
      <c r="BK113" s="328"/>
      <c r="BL113" s="1024">
        <f>CS70*0.742731884673138</f>
        <v>8.8922350864476061E-3</v>
      </c>
      <c r="BN113" s="1081"/>
      <c r="BO113" s="1078"/>
      <c r="BP113" s="1085">
        <f>CS70*(1+BQ153)</f>
        <v>8.9199208266684486E-3</v>
      </c>
      <c r="BQ113" s="1082">
        <f>BP113*G111</f>
        <v>7.3025541738803559E-2</v>
      </c>
      <c r="BR113" s="1085"/>
      <c r="BS113" s="1082"/>
      <c r="BT113" s="1078"/>
      <c r="BU113" s="1082"/>
    </row>
    <row r="114" spans="2:73">
      <c r="B114" s="909"/>
      <c r="C114" s="490"/>
      <c r="D114" s="489"/>
      <c r="E114" s="1021" t="s">
        <v>961</v>
      </c>
      <c r="F114" s="489"/>
      <c r="G114" s="1019"/>
      <c r="H114" s="1019"/>
      <c r="I114" s="1019"/>
      <c r="J114" s="1019"/>
      <c r="K114" s="1019"/>
      <c r="L114" s="1019"/>
      <c r="M114" s="1019"/>
      <c r="N114" s="1019"/>
      <c r="O114" s="1019"/>
      <c r="P114" s="1019"/>
      <c r="Q114" s="1019"/>
      <c r="R114" s="1019"/>
      <c r="S114" s="1019"/>
      <c r="T114" s="1019"/>
      <c r="U114" s="1019"/>
      <c r="V114" s="1019"/>
      <c r="W114" s="1019"/>
      <c r="X114" s="1019"/>
      <c r="Y114" s="1019"/>
      <c r="Z114" s="1019"/>
      <c r="AA114" s="1019"/>
      <c r="AB114" s="1019"/>
      <c r="AC114" s="1019"/>
      <c r="AD114" s="1019"/>
      <c r="AE114" s="1019"/>
      <c r="AF114" s="1019"/>
      <c r="AG114" s="1019"/>
      <c r="AH114" s="1019"/>
      <c r="AI114" s="1019"/>
      <c r="AJ114" s="1019"/>
      <c r="AK114" s="1019"/>
      <c r="AL114" s="1019"/>
      <c r="AM114" s="1019"/>
      <c r="AN114" s="1019"/>
      <c r="AO114" s="1019"/>
      <c r="AP114" s="1019"/>
      <c r="AQ114" s="1019"/>
      <c r="AR114" s="1019"/>
      <c r="AS114" s="1019"/>
      <c r="AT114" s="1019"/>
      <c r="AU114" s="1019"/>
      <c r="AV114" s="1019"/>
      <c r="AW114" s="1019"/>
      <c r="AX114" s="1019"/>
      <c r="AY114" s="1019"/>
      <c r="AZ114" s="1019"/>
      <c r="BA114" s="1019"/>
      <c r="BB114" s="1019"/>
      <c r="BC114" s="1019"/>
      <c r="BD114" s="1019"/>
      <c r="BE114" s="1019"/>
      <c r="BF114" s="1019"/>
      <c r="BG114" s="1019"/>
      <c r="BH114" s="1019"/>
      <c r="BI114" s="1019"/>
      <c r="BJ114" s="489"/>
      <c r="BK114" s="489"/>
      <c r="BL114" s="1020">
        <f>CT70*0.375703674683678</f>
        <v>1.7683153930356794E-3</v>
      </c>
      <c r="BN114" s="1081"/>
      <c r="BO114" s="1078"/>
      <c r="BP114" s="1085"/>
      <c r="BQ114" s="1082"/>
      <c r="BR114" s="1085">
        <f>CT70*(1+BS153)</f>
        <v>1.7728050839754689E-3</v>
      </c>
      <c r="BS114" s="1082">
        <f>BR114*G111</f>
        <v>1.4513587527319623E-2</v>
      </c>
      <c r="BT114" s="1078"/>
      <c r="BU114" s="1082"/>
    </row>
    <row r="115" spans="2:73" ht="13.5" thickBot="1">
      <c r="B115" s="911"/>
      <c r="C115" s="912"/>
      <c r="D115" s="912"/>
      <c r="E115" s="1026" t="s">
        <v>962</v>
      </c>
      <c r="F115" s="912"/>
      <c r="G115" s="914"/>
      <c r="H115" s="914"/>
      <c r="I115" s="914"/>
      <c r="J115" s="914"/>
      <c r="K115" s="914"/>
      <c r="L115" s="914"/>
      <c r="M115" s="914"/>
      <c r="N115" s="914"/>
      <c r="O115" s="914"/>
      <c r="P115" s="914"/>
      <c r="Q115" s="914"/>
      <c r="R115" s="914"/>
      <c r="S115" s="914"/>
      <c r="T115" s="914"/>
      <c r="U115" s="914"/>
      <c r="V115" s="914"/>
      <c r="W115" s="914"/>
      <c r="X115" s="914"/>
      <c r="Y115" s="914"/>
      <c r="Z115" s="914"/>
      <c r="AA115" s="914"/>
      <c r="AB115" s="914"/>
      <c r="AC115" s="914"/>
      <c r="AD115" s="914"/>
      <c r="AE115" s="914"/>
      <c r="AF115" s="914"/>
      <c r="AG115" s="914"/>
      <c r="AH115" s="914"/>
      <c r="AI115" s="914"/>
      <c r="AJ115" s="914"/>
      <c r="AK115" s="914"/>
      <c r="AL115" s="914"/>
      <c r="AM115" s="914"/>
      <c r="AN115" s="914"/>
      <c r="AO115" s="914"/>
      <c r="AP115" s="914"/>
      <c r="AQ115" s="914"/>
      <c r="AR115" s="914"/>
      <c r="AS115" s="914"/>
      <c r="AT115" s="914"/>
      <c r="AU115" s="914"/>
      <c r="AV115" s="914"/>
      <c r="AW115" s="914"/>
      <c r="AX115" s="914"/>
      <c r="AY115" s="914"/>
      <c r="AZ115" s="914"/>
      <c r="BA115" s="914"/>
      <c r="BB115" s="914"/>
      <c r="BC115" s="914"/>
      <c r="BD115" s="914"/>
      <c r="BE115" s="914"/>
      <c r="BF115" s="914"/>
      <c r="BG115" s="914"/>
      <c r="BH115" s="914"/>
      <c r="BI115" s="914"/>
      <c r="BJ115" s="912"/>
      <c r="BK115" s="912"/>
      <c r="BL115" s="1025">
        <f>CU70*0.568571740836304</f>
        <v>7.5053716369545911E-4</v>
      </c>
      <c r="BN115" s="1103"/>
      <c r="BO115" s="1083"/>
      <c r="BP115" s="1104"/>
      <c r="BQ115" s="1084"/>
      <c r="BR115" s="1104"/>
      <c r="BS115" s="1084"/>
      <c r="BT115" s="1105">
        <f>CU70*(1+BU153)</f>
        <v>6.8033899582245429E-4</v>
      </c>
      <c r="BU115" s="1084">
        <f>BT115*G111</f>
        <v>5.5697942505756959E-3</v>
      </c>
    </row>
    <row r="116" spans="2:73" ht="15">
      <c r="B11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958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7">
        <f>ABS(CR71)*0.853224702081462</f>
        <v>3.3083652738783227E-2</v>
      </c>
      <c r="BN116" s="1099">
        <f>ABS(CR71*DwellingStocks!Y20*(1+BO153))</f>
        <v>5.0407199400233145E-2</v>
      </c>
      <c r="BO116" s="1100">
        <f>BN116*G116</f>
        <v>0.95646121057173905</v>
      </c>
      <c r="BP116" s="1101"/>
      <c r="BQ116" s="1102"/>
      <c r="BR116" s="1101"/>
      <c r="BS116" s="1102"/>
      <c r="BT116" s="1100"/>
      <c r="BU116" s="1102"/>
    </row>
    <row r="117" spans="2:73">
      <c r="B117" s="909"/>
      <c r="C117" s="490"/>
      <c r="D117" s="489"/>
      <c r="E117" s="1021" t="s">
        <v>959</v>
      </c>
      <c r="F117" s="489"/>
      <c r="G117" s="1019"/>
      <c r="H117" s="1019"/>
      <c r="I117" s="1019"/>
      <c r="J117" s="1019"/>
      <c r="K117" s="1019"/>
      <c r="L117" s="1019"/>
      <c r="M117" s="1019"/>
      <c r="N117" s="1019"/>
      <c r="O117" s="1019"/>
      <c r="P117" s="1019"/>
      <c r="Q117" s="1019"/>
      <c r="R117" s="1019"/>
      <c r="S117" s="1019"/>
      <c r="T117" s="1019"/>
      <c r="U117" s="1019"/>
      <c r="V117" s="1019"/>
      <c r="W117" s="1019"/>
      <c r="X117" s="1019"/>
      <c r="Y117" s="1019"/>
      <c r="Z117" s="1019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489"/>
      <c r="BK117" s="489"/>
      <c r="BL117" s="1020">
        <v>0</v>
      </c>
      <c r="BN117" s="1081"/>
      <c r="BO117" s="1078"/>
      <c r="BP117" s="1085"/>
      <c r="BQ117" s="1082"/>
      <c r="BR117" s="1085"/>
      <c r="BS117" s="1082"/>
      <c r="BT117" s="1078"/>
      <c r="BU117" s="1082"/>
    </row>
    <row r="118" spans="2:73">
      <c r="B118" s="910"/>
      <c r="C118" s="328"/>
      <c r="D118" s="328"/>
      <c r="E118" s="417" t="s">
        <v>960</v>
      </c>
      <c r="F118" s="328"/>
      <c r="G118" s="1023"/>
      <c r="H118" s="1023"/>
      <c r="I118" s="1023"/>
      <c r="J118" s="1023"/>
      <c r="K118" s="1023"/>
      <c r="L118" s="1023"/>
      <c r="M118" s="1023"/>
      <c r="N118" s="1023"/>
      <c r="O118" s="1023"/>
      <c r="P118" s="1023"/>
      <c r="Q118" s="1023"/>
      <c r="R118" s="1023"/>
      <c r="S118" s="1023"/>
      <c r="T118" s="1023"/>
      <c r="U118" s="1023"/>
      <c r="V118" s="1023"/>
      <c r="W118" s="1023"/>
      <c r="X118" s="1023"/>
      <c r="Y118" s="1023"/>
      <c r="Z118" s="1023"/>
      <c r="AA118" s="1023"/>
      <c r="AB118" s="1023"/>
      <c r="AC118" s="1023"/>
      <c r="AD118" s="1023"/>
      <c r="AE118" s="1023"/>
      <c r="AF118" s="1023"/>
      <c r="AG118" s="1023"/>
      <c r="AH118" s="1023"/>
      <c r="AI118" s="1023"/>
      <c r="AJ118" s="1023"/>
      <c r="AK118" s="1023"/>
      <c r="AL118" s="1023"/>
      <c r="AM118" s="1023"/>
      <c r="AN118" s="1023"/>
      <c r="AO118" s="1023"/>
      <c r="AP118" s="1023"/>
      <c r="AQ118" s="1023"/>
      <c r="AR118" s="1023"/>
      <c r="AS118" s="1023"/>
      <c r="AT118" s="1023"/>
      <c r="AU118" s="1023"/>
      <c r="AV118" s="1023"/>
      <c r="AW118" s="1023"/>
      <c r="AX118" s="1023"/>
      <c r="AY118" s="1023"/>
      <c r="AZ118" s="1023"/>
      <c r="BA118" s="1023"/>
      <c r="BB118" s="1023"/>
      <c r="BC118" s="1023"/>
      <c r="BD118" s="1023"/>
      <c r="BE118" s="1023"/>
      <c r="BF118" s="1023"/>
      <c r="BG118" s="1023"/>
      <c r="BH118" s="1023"/>
      <c r="BI118" s="1023"/>
      <c r="BJ118" s="328"/>
      <c r="BK118" s="328"/>
      <c r="BL118" s="1024">
        <f>CS71*0.742731884673138</f>
        <v>1.1723646251772786E-2</v>
      </c>
      <c r="BN118" s="1081"/>
      <c r="BO118" s="1078"/>
      <c r="BP118" s="1085">
        <f>CS71*(1+BQ153)</f>
        <v>1.1760147516236916E-2</v>
      </c>
      <c r="BQ118" s="1082">
        <f>BP118*G116</f>
        <v>0.2231452067108923</v>
      </c>
      <c r="BR118" s="1085"/>
      <c r="BS118" s="1082"/>
      <c r="BT118" s="1078"/>
      <c r="BU118" s="1082"/>
    </row>
    <row r="119" spans="2:73">
      <c r="B119" s="909"/>
      <c r="C119" s="490"/>
      <c r="D119" s="489"/>
      <c r="E119" s="1021" t="s">
        <v>961</v>
      </c>
      <c r="F119" s="489"/>
      <c r="G119" s="1019"/>
      <c r="H119" s="1019"/>
      <c r="I119" s="1019"/>
      <c r="J119" s="1019"/>
      <c r="K119" s="1019"/>
      <c r="L119" s="1019"/>
      <c r="M119" s="1019"/>
      <c r="N119" s="1019"/>
      <c r="O119" s="1019"/>
      <c r="P119" s="1019"/>
      <c r="Q119" s="1019"/>
      <c r="R119" s="1019"/>
      <c r="S119" s="1019"/>
      <c r="T119" s="1019"/>
      <c r="U119" s="1019"/>
      <c r="V119" s="1019"/>
      <c r="W119" s="1019"/>
      <c r="X119" s="1019"/>
      <c r="Y119" s="1019"/>
      <c r="Z119" s="1019"/>
      <c r="AA119" s="1019"/>
      <c r="AB119" s="1019"/>
      <c r="AC119" s="1019"/>
      <c r="AD119" s="1019"/>
      <c r="AE119" s="1019"/>
      <c r="AF119" s="1019"/>
      <c r="AG119" s="1019"/>
      <c r="AH119" s="1019"/>
      <c r="AI119" s="1019"/>
      <c r="AJ119" s="1019"/>
      <c r="AK119" s="1019"/>
      <c r="AL119" s="1019"/>
      <c r="AM119" s="1019"/>
      <c r="AN119" s="1019"/>
      <c r="AO119" s="1019"/>
      <c r="AP119" s="1019"/>
      <c r="AQ119" s="1019"/>
      <c r="AR119" s="1019"/>
      <c r="AS119" s="1019"/>
      <c r="AT119" s="1019"/>
      <c r="AU119" s="1019"/>
      <c r="AV119" s="1019"/>
      <c r="AW119" s="1019"/>
      <c r="AX119" s="1019"/>
      <c r="AY119" s="1019"/>
      <c r="AZ119" s="1019"/>
      <c r="BA119" s="1019"/>
      <c r="BB119" s="1019"/>
      <c r="BC119" s="1019"/>
      <c r="BD119" s="1019"/>
      <c r="BE119" s="1019"/>
      <c r="BF119" s="1019"/>
      <c r="BG119" s="1019"/>
      <c r="BH119" s="1019"/>
      <c r="BI119" s="1019"/>
      <c r="BJ119" s="489"/>
      <c r="BK119" s="489"/>
      <c r="BL119" s="1020">
        <f>CT71*0.375703674683678</f>
        <v>2.004768212400896E-3</v>
      </c>
      <c r="BN119" s="1081"/>
      <c r="BO119" s="1078"/>
      <c r="BP119" s="1085"/>
      <c r="BQ119" s="1082"/>
      <c r="BR119" s="1085">
        <f>CT71*(1+BS153)</f>
        <v>2.0098582487796113E-3</v>
      </c>
      <c r="BS119" s="1082">
        <f>BR119*G116</f>
        <v>3.8136446312794975E-2</v>
      </c>
      <c r="BT119" s="1078"/>
      <c r="BU119" s="1082"/>
    </row>
    <row r="120" spans="2:73" ht="13.5" thickBot="1">
      <c r="B120" s="911"/>
      <c r="C120" s="912"/>
      <c r="D120" s="912"/>
      <c r="E120" s="1026" t="s">
        <v>962</v>
      </c>
      <c r="F120" s="912"/>
      <c r="G120" s="914"/>
      <c r="H120" s="914"/>
      <c r="I120" s="914"/>
      <c r="J120" s="914"/>
      <c r="K120" s="914"/>
      <c r="L120" s="914"/>
      <c r="M120" s="914"/>
      <c r="N120" s="914"/>
      <c r="O120" s="914"/>
      <c r="P120" s="914"/>
      <c r="Q120" s="914"/>
      <c r="R120" s="914"/>
      <c r="S120" s="914"/>
      <c r="T120" s="914"/>
      <c r="U120" s="914"/>
      <c r="V120" s="914"/>
      <c r="W120" s="914"/>
      <c r="X120" s="914"/>
      <c r="Y120" s="914"/>
      <c r="Z120" s="914"/>
      <c r="AA120" s="914"/>
      <c r="AB120" s="914"/>
      <c r="AC120" s="914"/>
      <c r="AD120" s="914"/>
      <c r="AE120" s="914"/>
      <c r="AF120" s="914"/>
      <c r="AG120" s="914"/>
      <c r="AH120" s="914"/>
      <c r="AI120" s="914"/>
      <c r="AJ120" s="914"/>
      <c r="AK120" s="914"/>
      <c r="AL120" s="914"/>
      <c r="AM120" s="914"/>
      <c r="AN120" s="914"/>
      <c r="AO120" s="914"/>
      <c r="AP120" s="914"/>
      <c r="AQ120" s="914"/>
      <c r="AR120" s="914"/>
      <c r="AS120" s="914"/>
      <c r="AT120" s="914"/>
      <c r="AU120" s="914"/>
      <c r="AV120" s="914"/>
      <c r="AW120" s="914"/>
      <c r="AX120" s="914"/>
      <c r="AY120" s="914"/>
      <c r="AZ120" s="914"/>
      <c r="BA120" s="914"/>
      <c r="BB120" s="914"/>
      <c r="BC120" s="914"/>
      <c r="BD120" s="914"/>
      <c r="BE120" s="914"/>
      <c r="BF120" s="914"/>
      <c r="BG120" s="914"/>
      <c r="BH120" s="914"/>
      <c r="BI120" s="914"/>
      <c r="BJ120" s="912"/>
      <c r="BK120" s="912"/>
      <c r="BL120" s="1025">
        <f>CU71*0.568571740836304</f>
        <v>5.911548427780883E-4</v>
      </c>
      <c r="BN120" s="1103"/>
      <c r="BO120" s="1083"/>
      <c r="BP120" s="1104"/>
      <c r="BQ120" s="1084"/>
      <c r="BR120" s="1104"/>
      <c r="BS120" s="1084"/>
      <c r="BT120" s="1105">
        <f>CU71*(1+BU153)</f>
        <v>5.3586379404713645E-4</v>
      </c>
      <c r="BU120" s="1084">
        <f>BT120*G116</f>
        <v>1.0167851800025189E-2</v>
      </c>
    </row>
    <row r="121" spans="2:73" ht="15">
      <c r="B12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958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7">
        <f>ABS(CR72)*0.853224702081462</f>
        <v>3.8234291164306322E-2</v>
      </c>
      <c r="BN121" s="1099">
        <f>ABS(CR72*DwellingStocks!Y21*(1+BO153))</f>
        <v>5.8254859397265095E-2</v>
      </c>
      <c r="BO121" s="1100">
        <f>BN121*G121</f>
        <v>3.1777495040528283</v>
      </c>
      <c r="BP121" s="1101"/>
      <c r="BQ121" s="1102"/>
      <c r="BR121" s="1101"/>
      <c r="BS121" s="1102"/>
      <c r="BT121" s="1100"/>
      <c r="BU121" s="1102"/>
    </row>
    <row r="122" spans="2:73">
      <c r="B122" s="909"/>
      <c r="C122" s="490"/>
      <c r="D122" s="489"/>
      <c r="E122" s="1021" t="s">
        <v>959</v>
      </c>
      <c r="F122" s="489"/>
      <c r="G122" s="1019"/>
      <c r="H122" s="1019"/>
      <c r="I122" s="1019"/>
      <c r="J122" s="1019"/>
      <c r="K122" s="1019"/>
      <c r="L122" s="1019"/>
      <c r="M122" s="1019"/>
      <c r="N122" s="1019"/>
      <c r="O122" s="1019"/>
      <c r="P122" s="1019"/>
      <c r="Q122" s="1019"/>
      <c r="R122" s="1019"/>
      <c r="S122" s="1019"/>
      <c r="T122" s="1019"/>
      <c r="U122" s="1019"/>
      <c r="V122" s="1019"/>
      <c r="W122" s="1019"/>
      <c r="X122" s="1019"/>
      <c r="Y122" s="1019"/>
      <c r="Z122" s="1019"/>
      <c r="AA122" s="1019"/>
      <c r="AB122" s="1019"/>
      <c r="AC122" s="1019"/>
      <c r="AD122" s="1019"/>
      <c r="AE122" s="1019"/>
      <c r="AF122" s="1019"/>
      <c r="AG122" s="1019"/>
      <c r="AH122" s="1019"/>
      <c r="AI122" s="1019"/>
      <c r="AJ122" s="1019"/>
      <c r="AK122" s="1019"/>
      <c r="AL122" s="1019"/>
      <c r="AM122" s="1019"/>
      <c r="AN122" s="1019"/>
      <c r="AO122" s="1019"/>
      <c r="AP122" s="1019"/>
      <c r="AQ122" s="1019"/>
      <c r="AR122" s="1019"/>
      <c r="AS122" s="1019"/>
      <c r="AT122" s="1019"/>
      <c r="AU122" s="1019"/>
      <c r="AV122" s="1019"/>
      <c r="AW122" s="1019"/>
      <c r="AX122" s="1019"/>
      <c r="AY122" s="1019"/>
      <c r="AZ122" s="1019"/>
      <c r="BA122" s="1019"/>
      <c r="BB122" s="1019"/>
      <c r="BC122" s="1019"/>
      <c r="BD122" s="1019"/>
      <c r="BE122" s="1019"/>
      <c r="BF122" s="1019"/>
      <c r="BG122" s="1019"/>
      <c r="BH122" s="1019"/>
      <c r="BI122" s="1019"/>
      <c r="BJ122" s="489"/>
      <c r="BK122" s="489"/>
      <c r="BL122" s="1020">
        <v>0</v>
      </c>
      <c r="BN122" s="1081"/>
      <c r="BO122" s="1078"/>
      <c r="BP122" s="1085"/>
      <c r="BQ122" s="1082"/>
      <c r="BR122" s="1085"/>
      <c r="BS122" s="1082"/>
      <c r="BT122" s="1078"/>
      <c r="BU122" s="1082"/>
    </row>
    <row r="123" spans="2:73">
      <c r="B123" s="910"/>
      <c r="C123" s="328"/>
      <c r="D123" s="328"/>
      <c r="E123" s="417" t="s">
        <v>960</v>
      </c>
      <c r="F123" s="328"/>
      <c r="G123" s="1023"/>
      <c r="H123" s="1023"/>
      <c r="I123" s="1023"/>
      <c r="J123" s="1023"/>
      <c r="K123" s="1023"/>
      <c r="L123" s="1023"/>
      <c r="M123" s="1023"/>
      <c r="N123" s="1023"/>
      <c r="O123" s="1023"/>
      <c r="P123" s="1023"/>
      <c r="Q123" s="1023"/>
      <c r="R123" s="1023"/>
      <c r="S123" s="1023"/>
      <c r="T123" s="1023"/>
      <c r="U123" s="1023"/>
      <c r="V123" s="1023"/>
      <c r="W123" s="1023"/>
      <c r="X123" s="1023"/>
      <c r="Y123" s="1023"/>
      <c r="Z123" s="1023"/>
      <c r="AA123" s="1023"/>
      <c r="AB123" s="1023"/>
      <c r="AC123" s="1023"/>
      <c r="AD123" s="1023"/>
      <c r="AE123" s="1023"/>
      <c r="AF123" s="1023"/>
      <c r="AG123" s="1023"/>
      <c r="AH123" s="1023"/>
      <c r="AI123" s="1023"/>
      <c r="AJ123" s="1023"/>
      <c r="AK123" s="1023"/>
      <c r="AL123" s="1023"/>
      <c r="AM123" s="1023"/>
      <c r="AN123" s="1023"/>
      <c r="AO123" s="1023"/>
      <c r="AP123" s="1023"/>
      <c r="AQ123" s="1023"/>
      <c r="AR123" s="1023"/>
      <c r="AS123" s="1023"/>
      <c r="AT123" s="1023"/>
      <c r="AU123" s="1023"/>
      <c r="AV123" s="1023"/>
      <c r="AW123" s="1023"/>
      <c r="AX123" s="1023"/>
      <c r="AY123" s="1023"/>
      <c r="AZ123" s="1023"/>
      <c r="BA123" s="1023"/>
      <c r="BB123" s="1023"/>
      <c r="BC123" s="1023"/>
      <c r="BD123" s="1023"/>
      <c r="BE123" s="1023"/>
      <c r="BF123" s="1023"/>
      <c r="BG123" s="1023"/>
      <c r="BH123" s="1023"/>
      <c r="BI123" s="1023"/>
      <c r="BJ123" s="328"/>
      <c r="BK123" s="328"/>
      <c r="BL123" s="1024">
        <f>CS72*0.742731884673138</f>
        <v>1.3255956176612656E-2</v>
      </c>
      <c r="BN123" s="1081"/>
      <c r="BO123" s="1078"/>
      <c r="BP123" s="1085">
        <f>CS72*(1+BQ153)</f>
        <v>1.3297228247753005E-2</v>
      </c>
      <c r="BQ123" s="1082">
        <f>BP123*G121</f>
        <v>0.72535168579529941</v>
      </c>
      <c r="BR123" s="1085"/>
      <c r="BS123" s="1082"/>
      <c r="BT123" s="1078"/>
      <c r="BU123" s="1082"/>
    </row>
    <row r="124" spans="2:73">
      <c r="B124" s="909"/>
      <c r="C124" s="490"/>
      <c r="D124" s="489"/>
      <c r="E124" s="1021" t="s">
        <v>961</v>
      </c>
      <c r="F124" s="489"/>
      <c r="G124" s="1019"/>
      <c r="H124" s="1019"/>
      <c r="I124" s="1019"/>
      <c r="J124" s="1019"/>
      <c r="K124" s="1019"/>
      <c r="L124" s="1019"/>
      <c r="M124" s="1019"/>
      <c r="N124" s="1019"/>
      <c r="O124" s="1019"/>
      <c r="P124" s="1019"/>
      <c r="Q124" s="1019"/>
      <c r="R124" s="1019"/>
      <c r="S124" s="1019"/>
      <c r="T124" s="1019"/>
      <c r="U124" s="1019"/>
      <c r="V124" s="1019"/>
      <c r="W124" s="1019"/>
      <c r="X124" s="1019"/>
      <c r="Y124" s="1019"/>
      <c r="Z124" s="1019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489"/>
      <c r="BK124" s="489"/>
      <c r="BL124" s="1020">
        <f>CT72*0.375703674683678</f>
        <v>1.9617916456053579E-3</v>
      </c>
      <c r="BN124" s="1081"/>
      <c r="BO124" s="1078"/>
      <c r="BP124" s="1085"/>
      <c r="BQ124" s="1082"/>
      <c r="BR124" s="1085">
        <f>CT72*(1+BS153)</f>
        <v>1.9667725659839948E-3</v>
      </c>
      <c r="BS124" s="1082">
        <f>BR124*G121</f>
        <v>0.10728565154572778</v>
      </c>
      <c r="BT124" s="1078"/>
      <c r="BU124" s="1082"/>
    </row>
    <row r="125" spans="2:73" ht="13.5" thickBot="1">
      <c r="B125" s="911"/>
      <c r="C125" s="912"/>
      <c r="D125" s="912"/>
      <c r="E125" s="1026" t="s">
        <v>962</v>
      </c>
      <c r="F125" s="912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14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4"/>
      <c r="BI125" s="914"/>
      <c r="BJ125" s="912"/>
      <c r="BK125" s="912"/>
      <c r="BL125" s="1025">
        <f>CU72*0.568571740836304</f>
        <v>5.1352659953481268E-4</v>
      </c>
      <c r="BN125" s="1103"/>
      <c r="BO125" s="1083"/>
      <c r="BP125" s="1104"/>
      <c r="BQ125" s="1084"/>
      <c r="BR125" s="1104"/>
      <c r="BS125" s="1084"/>
      <c r="BT125" s="1105">
        <f>CU71*(1+BU153)</f>
        <v>5.3586379404713645E-4</v>
      </c>
      <c r="BU125" s="1084">
        <f>BT125*G121</f>
        <v>2.923088173916524E-2</v>
      </c>
    </row>
    <row r="126" spans="2:73" ht="15">
      <c r="B12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958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7">
        <f>ABS(CR73)*0.853224702081462</f>
        <v>4.3300799885821681E-2</v>
      </c>
      <c r="BN126" s="1099">
        <f>ABS(CR73*DwellingStocks!Y22*(1+BO153))</f>
        <v>4.2956263630045545E-2</v>
      </c>
      <c r="BO126" s="1100">
        <f>BN126*G126</f>
        <v>11.373332402140607</v>
      </c>
      <c r="BP126" s="1101"/>
      <c r="BQ126" s="1102"/>
      <c r="BR126" s="1101"/>
      <c r="BS126" s="1102"/>
      <c r="BT126" s="1100"/>
      <c r="BU126" s="1102"/>
    </row>
    <row r="127" spans="2:73">
      <c r="B127" s="909"/>
      <c r="C127" s="490"/>
      <c r="D127" s="489"/>
      <c r="E127" s="1021" t="s">
        <v>959</v>
      </c>
      <c r="F127" s="489"/>
      <c r="G127" s="1019"/>
      <c r="H127" s="1019"/>
      <c r="I127" s="1019"/>
      <c r="J127" s="1019"/>
      <c r="K127" s="1019"/>
      <c r="L127" s="1019"/>
      <c r="M127" s="1019"/>
      <c r="N127" s="1019"/>
      <c r="O127" s="1019"/>
      <c r="P127" s="1019"/>
      <c r="Q127" s="1019"/>
      <c r="R127" s="1019"/>
      <c r="S127" s="1019"/>
      <c r="T127" s="1019"/>
      <c r="U127" s="1019"/>
      <c r="V127" s="1019"/>
      <c r="W127" s="1019"/>
      <c r="X127" s="1019"/>
      <c r="Y127" s="1019"/>
      <c r="Z127" s="1019"/>
      <c r="AA127" s="1019"/>
      <c r="AB127" s="1019"/>
      <c r="AC127" s="1019"/>
      <c r="AD127" s="1019"/>
      <c r="AE127" s="1019"/>
      <c r="AF127" s="1019"/>
      <c r="AG127" s="1019"/>
      <c r="AH127" s="1019"/>
      <c r="AI127" s="1019"/>
      <c r="AJ127" s="1019"/>
      <c r="AK127" s="1019"/>
      <c r="AL127" s="1019"/>
      <c r="AM127" s="1019"/>
      <c r="AN127" s="1019"/>
      <c r="AO127" s="1019"/>
      <c r="AP127" s="1019"/>
      <c r="AQ127" s="1019"/>
      <c r="AR127" s="1019"/>
      <c r="AS127" s="1019"/>
      <c r="AT127" s="1019"/>
      <c r="AU127" s="1019"/>
      <c r="AV127" s="1019"/>
      <c r="AW127" s="1019"/>
      <c r="AX127" s="1019"/>
      <c r="AY127" s="1019"/>
      <c r="AZ127" s="1019"/>
      <c r="BA127" s="1019"/>
      <c r="BB127" s="1019"/>
      <c r="BC127" s="1019"/>
      <c r="BD127" s="1019"/>
      <c r="BE127" s="1019"/>
      <c r="BF127" s="1019"/>
      <c r="BG127" s="1019"/>
      <c r="BH127" s="1019"/>
      <c r="BI127" s="1019"/>
      <c r="BJ127" s="489"/>
      <c r="BK127" s="489"/>
      <c r="BL127" s="1020">
        <v>0</v>
      </c>
      <c r="BN127" s="1081"/>
      <c r="BO127" s="1078"/>
      <c r="BP127" s="1085"/>
      <c r="BQ127" s="1082"/>
      <c r="BR127" s="1085"/>
      <c r="BS127" s="1082"/>
      <c r="BT127" s="1078"/>
      <c r="BU127" s="1082"/>
    </row>
    <row r="128" spans="2:73">
      <c r="B128" s="910"/>
      <c r="C128" s="328"/>
      <c r="D128" s="328"/>
      <c r="E128" s="417" t="s">
        <v>960</v>
      </c>
      <c r="F128" s="328"/>
      <c r="G128" s="1023"/>
      <c r="H128" s="1023"/>
      <c r="I128" s="1023"/>
      <c r="J128" s="1023"/>
      <c r="K128" s="1023"/>
      <c r="L128" s="1023"/>
      <c r="M128" s="1023"/>
      <c r="N128" s="1023"/>
      <c r="O128" s="1023"/>
      <c r="P128" s="1023"/>
      <c r="Q128" s="1023"/>
      <c r="R128" s="1023"/>
      <c r="S128" s="1023"/>
      <c r="T128" s="1023"/>
      <c r="U128" s="1023"/>
      <c r="V128" s="1023"/>
      <c r="W128" s="1023"/>
      <c r="X128" s="1023"/>
      <c r="Y128" s="1023"/>
      <c r="Z128" s="1023"/>
      <c r="AA128" s="1023"/>
      <c r="AB128" s="1023"/>
      <c r="AC128" s="1023"/>
      <c r="AD128" s="1023"/>
      <c r="AE128" s="1023"/>
      <c r="AF128" s="1023"/>
      <c r="AG128" s="1023"/>
      <c r="AH128" s="1023"/>
      <c r="AI128" s="1023"/>
      <c r="AJ128" s="1023"/>
      <c r="AK128" s="1023"/>
      <c r="AL128" s="1023"/>
      <c r="AM128" s="1023"/>
      <c r="AN128" s="1023"/>
      <c r="AO128" s="1023"/>
      <c r="AP128" s="1023"/>
      <c r="AQ128" s="1023"/>
      <c r="AR128" s="1023"/>
      <c r="AS128" s="1023"/>
      <c r="AT128" s="1023"/>
      <c r="AU128" s="1023"/>
      <c r="AV128" s="1023"/>
      <c r="AW128" s="1023"/>
      <c r="AX128" s="1023"/>
      <c r="AY128" s="1023"/>
      <c r="AZ128" s="1023"/>
      <c r="BA128" s="1023"/>
      <c r="BB128" s="1023"/>
      <c r="BC128" s="1023"/>
      <c r="BD128" s="1023"/>
      <c r="BE128" s="1023"/>
      <c r="BF128" s="1023"/>
      <c r="BG128" s="1023"/>
      <c r="BH128" s="1023"/>
      <c r="BI128" s="1023"/>
      <c r="BJ128" s="328"/>
      <c r="BK128" s="328"/>
      <c r="BL128" s="1024">
        <f>CS73*0.742731884673138</f>
        <v>1.4139525083172063E-2</v>
      </c>
      <c r="BN128" s="1081"/>
      <c r="BO128" s="1078"/>
      <c r="BP128" s="1085">
        <f>CS73*(1+BQ153)</f>
        <v>1.4183548122879528E-2</v>
      </c>
      <c r="BQ128" s="1082">
        <f>BP128*G126</f>
        <v>3.7553128184648696</v>
      </c>
      <c r="BR128" s="1085"/>
      <c r="BS128" s="1082"/>
      <c r="BT128" s="1078"/>
      <c r="BU128" s="1082"/>
    </row>
    <row r="129" spans="2:73">
      <c r="B129" s="909"/>
      <c r="C129" s="490"/>
      <c r="D129" s="489"/>
      <c r="E129" s="1021" t="s">
        <v>961</v>
      </c>
      <c r="F129" s="489"/>
      <c r="G129" s="1019"/>
      <c r="H129" s="1019"/>
      <c r="I129" s="1019"/>
      <c r="J129" s="1019"/>
      <c r="K129" s="1019"/>
      <c r="L129" s="1019"/>
      <c r="M129" s="1019"/>
      <c r="N129" s="1019"/>
      <c r="O129" s="1019"/>
      <c r="P129" s="1019"/>
      <c r="Q129" s="1019"/>
      <c r="R129" s="1019"/>
      <c r="S129" s="1019"/>
      <c r="T129" s="1019"/>
      <c r="U129" s="1019"/>
      <c r="V129" s="1019"/>
      <c r="W129" s="1019"/>
      <c r="X129" s="1019"/>
      <c r="Y129" s="1019"/>
      <c r="Z129" s="1019"/>
      <c r="AA129" s="1019"/>
      <c r="AB129" s="1019"/>
      <c r="AC129" s="1019"/>
      <c r="AD129" s="1019"/>
      <c r="AE129" s="1019"/>
      <c r="AF129" s="1019"/>
      <c r="AG129" s="1019"/>
      <c r="AH129" s="1019"/>
      <c r="AI129" s="1019"/>
      <c r="AJ129" s="1019"/>
      <c r="AK129" s="1019"/>
      <c r="AL129" s="1019"/>
      <c r="AM129" s="1019"/>
      <c r="AN129" s="1019"/>
      <c r="AO129" s="1019"/>
      <c r="AP129" s="1019"/>
      <c r="AQ129" s="1019"/>
      <c r="AR129" s="1019"/>
      <c r="AS129" s="1019"/>
      <c r="AT129" s="1019"/>
      <c r="AU129" s="1019"/>
      <c r="AV129" s="1019"/>
      <c r="AW129" s="1019"/>
      <c r="AX129" s="1019"/>
      <c r="AY129" s="1019"/>
      <c r="AZ129" s="1019"/>
      <c r="BA129" s="1019"/>
      <c r="BB129" s="1019"/>
      <c r="BC129" s="1019"/>
      <c r="BD129" s="1019"/>
      <c r="BE129" s="1019"/>
      <c r="BF129" s="1019"/>
      <c r="BG129" s="1019"/>
      <c r="BH129" s="1019"/>
      <c r="BI129" s="1019"/>
      <c r="BJ129" s="489"/>
      <c r="BK129" s="489"/>
      <c r="BL129" s="1020">
        <f>CT73*0.375703674683678</f>
        <v>1.7035279711745406E-3</v>
      </c>
      <c r="BN129" s="1081"/>
      <c r="BO129" s="1078"/>
      <c r="BP129" s="1085"/>
      <c r="BQ129" s="1082"/>
      <c r="BR129" s="1085">
        <f>CT73*(1+BS153)</f>
        <v>1.707853169116029E-3</v>
      </c>
      <c r="BS129" s="1082">
        <f>BR129*G126</f>
        <v>0.45218043062804569</v>
      </c>
      <c r="BT129" s="1078"/>
      <c r="BU129" s="1082"/>
    </row>
    <row r="130" spans="2:73" ht="13.5" thickBot="1">
      <c r="B130" s="911"/>
      <c r="C130" s="912"/>
      <c r="D130" s="912"/>
      <c r="E130" s="1026" t="s">
        <v>962</v>
      </c>
      <c r="F130" s="912"/>
      <c r="G130" s="914"/>
      <c r="H130" s="914"/>
      <c r="I130" s="914"/>
      <c r="J130" s="914"/>
      <c r="K130" s="914"/>
      <c r="L130" s="914"/>
      <c r="M130" s="914"/>
      <c r="N130" s="914"/>
      <c r="O130" s="914"/>
      <c r="P130" s="914"/>
      <c r="Q130" s="914"/>
      <c r="R130" s="914"/>
      <c r="S130" s="914"/>
      <c r="T130" s="914"/>
      <c r="U130" s="914"/>
      <c r="V130" s="914"/>
      <c r="W130" s="914"/>
      <c r="X130" s="914"/>
      <c r="Y130" s="914"/>
      <c r="Z130" s="914"/>
      <c r="AA130" s="914"/>
      <c r="AB130" s="914"/>
      <c r="AC130" s="914"/>
      <c r="AD130" s="914"/>
      <c r="AE130" s="914"/>
      <c r="AF130" s="914"/>
      <c r="AG130" s="914"/>
      <c r="AH130" s="914"/>
      <c r="AI130" s="914"/>
      <c r="AJ130" s="914"/>
      <c r="AK130" s="914"/>
      <c r="AL130" s="914"/>
      <c r="AM130" s="914"/>
      <c r="AN130" s="914"/>
      <c r="AO130" s="914"/>
      <c r="AP130" s="914"/>
      <c r="AQ130" s="914"/>
      <c r="AR130" s="914"/>
      <c r="AS130" s="914"/>
      <c r="AT130" s="914"/>
      <c r="AU130" s="914"/>
      <c r="AV130" s="914"/>
      <c r="AW130" s="914"/>
      <c r="AX130" s="914"/>
      <c r="AY130" s="914"/>
      <c r="AZ130" s="914"/>
      <c r="BA130" s="914"/>
      <c r="BB130" s="914"/>
      <c r="BC130" s="914"/>
      <c r="BD130" s="914"/>
      <c r="BE130" s="914"/>
      <c r="BF130" s="914"/>
      <c r="BG130" s="914"/>
      <c r="BH130" s="914"/>
      <c r="BI130" s="914"/>
      <c r="BJ130" s="912"/>
      <c r="BK130" s="912"/>
      <c r="BL130" s="1025">
        <f>CU73*0.568571740836304</f>
        <v>4.7564031426238504E-4</v>
      </c>
      <c r="BN130" s="1103"/>
      <c r="BO130" s="1083"/>
      <c r="BP130" s="1104"/>
      <c r="BQ130" s="1084"/>
      <c r="BR130" s="1104"/>
      <c r="BS130" s="1084"/>
      <c r="BT130" s="1105">
        <f>CU72*(1+BU153)</f>
        <v>4.6549616455421338E-4</v>
      </c>
      <c r="BU130" s="1084">
        <f>BT130*G126</f>
        <v>0.12324727906953199</v>
      </c>
    </row>
    <row r="131" spans="2:73" ht="15">
      <c r="B13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958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7">
        <f>ABS(CR74)*0.853224702081462</f>
        <v>4.8901598340165373E-2</v>
      </c>
      <c r="BN131" s="1099">
        <f>ABS(CR74*DwellingStocks!Y23*(1+BO153))</f>
        <v>5.032483276632424E-2</v>
      </c>
      <c r="BO131" s="1100">
        <f>BN131*G131</f>
        <v>8.4034518162227254</v>
      </c>
      <c r="BP131" s="1101"/>
      <c r="BQ131" s="1102"/>
      <c r="BR131" s="1101"/>
      <c r="BS131" s="1102"/>
      <c r="BT131" s="1100"/>
      <c r="BU131" s="1102"/>
    </row>
    <row r="132" spans="2:73">
      <c r="B132" s="909"/>
      <c r="C132" s="490"/>
      <c r="D132" s="489"/>
      <c r="E132" s="1021" t="s">
        <v>959</v>
      </c>
      <c r="F132" s="489"/>
      <c r="G132" s="1019"/>
      <c r="H132" s="1019"/>
      <c r="I132" s="1019"/>
      <c r="J132" s="1019"/>
      <c r="K132" s="1019"/>
      <c r="L132" s="1019"/>
      <c r="M132" s="1019"/>
      <c r="N132" s="1019"/>
      <c r="O132" s="1019"/>
      <c r="P132" s="1019"/>
      <c r="Q132" s="1019"/>
      <c r="R132" s="1019"/>
      <c r="S132" s="1019"/>
      <c r="T132" s="1019"/>
      <c r="U132" s="1019"/>
      <c r="V132" s="1019"/>
      <c r="W132" s="1019"/>
      <c r="X132" s="1019"/>
      <c r="Y132" s="1019"/>
      <c r="Z132" s="1019"/>
      <c r="AA132" s="1019"/>
      <c r="AB132" s="1019"/>
      <c r="AC132" s="1019"/>
      <c r="AD132" s="1019"/>
      <c r="AE132" s="1019"/>
      <c r="AF132" s="1019"/>
      <c r="AG132" s="1019"/>
      <c r="AH132" s="1019"/>
      <c r="AI132" s="1019"/>
      <c r="AJ132" s="1019"/>
      <c r="AK132" s="1019"/>
      <c r="AL132" s="1019"/>
      <c r="AM132" s="1019"/>
      <c r="AN132" s="1019"/>
      <c r="AO132" s="1019"/>
      <c r="AP132" s="1019"/>
      <c r="AQ132" s="1019"/>
      <c r="AR132" s="1019"/>
      <c r="AS132" s="1019"/>
      <c r="AT132" s="1019"/>
      <c r="AU132" s="1019"/>
      <c r="AV132" s="1019"/>
      <c r="AW132" s="1019"/>
      <c r="AX132" s="1019"/>
      <c r="AY132" s="1019"/>
      <c r="AZ132" s="1019"/>
      <c r="BA132" s="1019"/>
      <c r="BB132" s="1019"/>
      <c r="BC132" s="1019"/>
      <c r="BD132" s="1019"/>
      <c r="BE132" s="1019"/>
      <c r="BF132" s="1019"/>
      <c r="BG132" s="1019"/>
      <c r="BH132" s="1019"/>
      <c r="BI132" s="1019"/>
      <c r="BJ132" s="489"/>
      <c r="BK132" s="489"/>
      <c r="BL132" s="1020">
        <v>0</v>
      </c>
      <c r="BN132" s="1081"/>
      <c r="BO132" s="1078"/>
      <c r="BP132" s="1085"/>
      <c r="BQ132" s="1082"/>
      <c r="BR132" s="1085"/>
      <c r="BS132" s="1082"/>
      <c r="BT132" s="1078"/>
      <c r="BU132" s="1082"/>
    </row>
    <row r="133" spans="2:73">
      <c r="B133" s="910"/>
      <c r="C133" s="328"/>
      <c r="D133" s="328"/>
      <c r="E133" s="417" t="s">
        <v>960</v>
      </c>
      <c r="F133" s="328"/>
      <c r="G133" s="1023"/>
      <c r="H133" s="1023"/>
      <c r="I133" s="1023"/>
      <c r="J133" s="1023"/>
      <c r="K133" s="1023"/>
      <c r="L133" s="1023"/>
      <c r="M133" s="1023"/>
      <c r="N133" s="1023"/>
      <c r="O133" s="1023"/>
      <c r="P133" s="1023"/>
      <c r="Q133" s="1023"/>
      <c r="R133" s="1023"/>
      <c r="S133" s="1023"/>
      <c r="T133" s="1023"/>
      <c r="U133" s="1023"/>
      <c r="V133" s="1023"/>
      <c r="W133" s="1023"/>
      <c r="X133" s="1023"/>
      <c r="Y133" s="1023"/>
      <c r="Z133" s="1023"/>
      <c r="AA133" s="1023"/>
      <c r="AB133" s="1023"/>
      <c r="AC133" s="1023"/>
      <c r="AD133" s="1023"/>
      <c r="AE133" s="1023"/>
      <c r="AF133" s="1023"/>
      <c r="AG133" s="1023"/>
      <c r="AH133" s="1023"/>
      <c r="AI133" s="1023"/>
      <c r="AJ133" s="1023"/>
      <c r="AK133" s="1023"/>
      <c r="AL133" s="1023"/>
      <c r="AM133" s="1023"/>
      <c r="AN133" s="1023"/>
      <c r="AO133" s="1023"/>
      <c r="AP133" s="1023"/>
      <c r="AQ133" s="1023"/>
      <c r="AR133" s="1023"/>
      <c r="AS133" s="1023"/>
      <c r="AT133" s="1023"/>
      <c r="AU133" s="1023"/>
      <c r="AV133" s="1023"/>
      <c r="AW133" s="1023"/>
      <c r="AX133" s="1023"/>
      <c r="AY133" s="1023"/>
      <c r="AZ133" s="1023"/>
      <c r="BA133" s="1023"/>
      <c r="BB133" s="1023"/>
      <c r="BC133" s="1023"/>
      <c r="BD133" s="1023"/>
      <c r="BE133" s="1023"/>
      <c r="BF133" s="1023"/>
      <c r="BG133" s="1023"/>
      <c r="BH133" s="1023"/>
      <c r="BI133" s="1023"/>
      <c r="BJ133" s="328"/>
      <c r="BK133" s="328"/>
      <c r="BL133" s="1024">
        <f>CS74*0.742731884673138</f>
        <v>1.4303829274544932E-2</v>
      </c>
      <c r="BN133" s="1081"/>
      <c r="BO133" s="1078"/>
      <c r="BP133" s="1085">
        <f>CS74*(1+BQ153)</f>
        <v>1.4348363871033715E-2</v>
      </c>
      <c r="BQ133" s="1082">
        <f>BP133*G131</f>
        <v>2.3959500271315011</v>
      </c>
      <c r="BR133" s="1085"/>
      <c r="BS133" s="1082"/>
      <c r="BT133" s="1078"/>
      <c r="BU133" s="1082"/>
    </row>
    <row r="134" spans="2:73">
      <c r="B134" s="909"/>
      <c r="C134" s="490"/>
      <c r="D134" s="489"/>
      <c r="E134" s="1021" t="s">
        <v>961</v>
      </c>
      <c r="F134" s="489"/>
      <c r="G134" s="1019"/>
      <c r="H134" s="1019"/>
      <c r="I134" s="1019"/>
      <c r="J134" s="1019"/>
      <c r="K134" s="1019"/>
      <c r="L134" s="1019"/>
      <c r="M134" s="1019"/>
      <c r="N134" s="1019"/>
      <c r="O134" s="1019"/>
      <c r="P134" s="1019"/>
      <c r="Q134" s="1019"/>
      <c r="R134" s="1019"/>
      <c r="S134" s="1019"/>
      <c r="T134" s="1019"/>
      <c r="U134" s="1019"/>
      <c r="V134" s="1019"/>
      <c r="W134" s="1019"/>
      <c r="X134" s="1019"/>
      <c r="Y134" s="1019"/>
      <c r="Z134" s="1019"/>
      <c r="AA134" s="1019"/>
      <c r="AB134" s="1019"/>
      <c r="AC134" s="1019"/>
      <c r="AD134" s="1019"/>
      <c r="AE134" s="1019"/>
      <c r="AF134" s="1019"/>
      <c r="AG134" s="1019"/>
      <c r="AH134" s="1019"/>
      <c r="AI134" s="1019"/>
      <c r="AJ134" s="1019"/>
      <c r="AK134" s="1019"/>
      <c r="AL134" s="1019"/>
      <c r="AM134" s="1019"/>
      <c r="AN134" s="1019"/>
      <c r="AO134" s="1019"/>
      <c r="AP134" s="1019"/>
      <c r="AQ134" s="1019"/>
      <c r="AR134" s="1019"/>
      <c r="AS134" s="1019"/>
      <c r="AT134" s="1019"/>
      <c r="AU134" s="1019"/>
      <c r="AV134" s="1019"/>
      <c r="AW134" s="1019"/>
      <c r="AX134" s="1019"/>
      <c r="AY134" s="1019"/>
      <c r="AZ134" s="1019"/>
      <c r="BA134" s="1019"/>
      <c r="BB134" s="1019"/>
      <c r="BC134" s="1019"/>
      <c r="BD134" s="1019"/>
      <c r="BE134" s="1019"/>
      <c r="BF134" s="1019"/>
      <c r="BG134" s="1019"/>
      <c r="BH134" s="1019"/>
      <c r="BI134" s="1019"/>
      <c r="BJ134" s="489"/>
      <c r="BK134" s="489"/>
      <c r="BL134" s="1020">
        <f>CT74*0.375703674683678</f>
        <v>1.3931982012489457E-3</v>
      </c>
      <c r="BN134" s="1081"/>
      <c r="BO134" s="1078"/>
      <c r="BP134" s="1085"/>
      <c r="BQ134" s="1082"/>
      <c r="BR134" s="1085">
        <f>CT74*(1+BS153)</f>
        <v>1.3967354827577269E-3</v>
      </c>
      <c r="BS134" s="1082">
        <f>BR134*G131</f>
        <v>0.23323275377513891</v>
      </c>
      <c r="BT134" s="1078"/>
      <c r="BU134" s="1082"/>
    </row>
    <row r="135" spans="2:73" ht="13.5" thickBot="1">
      <c r="B135" s="911"/>
      <c r="C135" s="912"/>
      <c r="D135" s="912"/>
      <c r="E135" s="1026" t="s">
        <v>962</v>
      </c>
      <c r="F135" s="912"/>
      <c r="G135" s="914"/>
      <c r="H135" s="914"/>
      <c r="I135" s="914"/>
      <c r="J135" s="914"/>
      <c r="K135" s="914"/>
      <c r="L135" s="914"/>
      <c r="M135" s="914"/>
      <c r="N135" s="914"/>
      <c r="O135" s="914"/>
      <c r="P135" s="914"/>
      <c r="Q135" s="914"/>
      <c r="R135" s="914"/>
      <c r="S135" s="914"/>
      <c r="T135" s="914"/>
      <c r="U135" s="914"/>
      <c r="V135" s="914"/>
      <c r="W135" s="914"/>
      <c r="X135" s="914"/>
      <c r="Y135" s="914"/>
      <c r="Z135" s="914"/>
      <c r="AA135" s="914"/>
      <c r="AB135" s="914"/>
      <c r="AC135" s="914"/>
      <c r="AD135" s="914"/>
      <c r="AE135" s="914"/>
      <c r="AF135" s="914"/>
      <c r="AG135" s="914"/>
      <c r="AH135" s="914"/>
      <c r="AI135" s="914"/>
      <c r="AJ135" s="914"/>
      <c r="AK135" s="914"/>
      <c r="AL135" s="914"/>
      <c r="AM135" s="914"/>
      <c r="AN135" s="914"/>
      <c r="AO135" s="914"/>
      <c r="AP135" s="914"/>
      <c r="AQ135" s="914"/>
      <c r="AR135" s="914"/>
      <c r="AS135" s="914"/>
      <c r="AT135" s="914"/>
      <c r="AU135" s="914"/>
      <c r="AV135" s="914"/>
      <c r="AW135" s="914"/>
      <c r="AX135" s="914"/>
      <c r="AY135" s="914"/>
      <c r="AZ135" s="914"/>
      <c r="BA135" s="914"/>
      <c r="BB135" s="914"/>
      <c r="BC135" s="914"/>
      <c r="BD135" s="914"/>
      <c r="BE135" s="914"/>
      <c r="BF135" s="914"/>
      <c r="BG135" s="914"/>
      <c r="BH135" s="914"/>
      <c r="BI135" s="914"/>
      <c r="BJ135" s="912"/>
      <c r="BK135" s="912"/>
      <c r="BL135" s="1025">
        <f>CU74*0.568571740836304</f>
        <v>4.620421675097221E-4</v>
      </c>
      <c r="BN135" s="1103"/>
      <c r="BO135" s="1083"/>
      <c r="BP135" s="1104"/>
      <c r="BQ135" s="1084"/>
      <c r="BR135" s="1104"/>
      <c r="BS135" s="1084"/>
      <c r="BT135" s="1105">
        <f>CU73*(1+BU153)</f>
        <v>4.3115340509540902E-4</v>
      </c>
      <c r="BU135" s="1084">
        <f>BT135*G131</f>
        <v>7.1995805369951288E-2</v>
      </c>
    </row>
    <row r="136" spans="2:73" ht="15">
      <c r="B13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958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7">
        <f>ABS(CR75)*0.853224702081462</f>
        <v>6.0316400230437453E-2</v>
      </c>
      <c r="BN136" s="1099">
        <f>ABS(CR75*DwellingStocks!Y24*(1+BO153))</f>
        <v>6.321591769829861E-2</v>
      </c>
      <c r="BO136" s="1100">
        <f>BN136*G136</f>
        <v>4.7308821411539395</v>
      </c>
      <c r="BP136" s="1101"/>
      <c r="BQ136" s="1102"/>
      <c r="BR136" s="1101"/>
      <c r="BS136" s="1102"/>
      <c r="BT136" s="1100"/>
      <c r="BU136" s="1102"/>
    </row>
    <row r="137" spans="2:73">
      <c r="B137" s="909"/>
      <c r="C137" s="490"/>
      <c r="D137" s="489"/>
      <c r="E137" s="1021" t="s">
        <v>959</v>
      </c>
      <c r="F137" s="489"/>
      <c r="G137" s="1019"/>
      <c r="H137" s="1019"/>
      <c r="I137" s="1019"/>
      <c r="J137" s="1019"/>
      <c r="K137" s="1019"/>
      <c r="L137" s="1019"/>
      <c r="M137" s="1019"/>
      <c r="N137" s="1019"/>
      <c r="O137" s="1019"/>
      <c r="P137" s="1019"/>
      <c r="Q137" s="1019"/>
      <c r="R137" s="1019"/>
      <c r="S137" s="1019"/>
      <c r="T137" s="1019"/>
      <c r="U137" s="1019"/>
      <c r="V137" s="1019"/>
      <c r="W137" s="1019"/>
      <c r="X137" s="1019"/>
      <c r="Y137" s="1019"/>
      <c r="Z137" s="1019"/>
      <c r="AA137" s="1019"/>
      <c r="AB137" s="1019"/>
      <c r="AC137" s="1019"/>
      <c r="AD137" s="1019"/>
      <c r="AE137" s="1019"/>
      <c r="AF137" s="1019"/>
      <c r="AG137" s="1019"/>
      <c r="AH137" s="1019"/>
      <c r="AI137" s="1019"/>
      <c r="AJ137" s="1019"/>
      <c r="AK137" s="1019"/>
      <c r="AL137" s="1019"/>
      <c r="AM137" s="1019"/>
      <c r="AN137" s="1019"/>
      <c r="AO137" s="1019"/>
      <c r="AP137" s="1019"/>
      <c r="AQ137" s="1019"/>
      <c r="AR137" s="1019"/>
      <c r="AS137" s="1019"/>
      <c r="AT137" s="1019"/>
      <c r="AU137" s="1019"/>
      <c r="AV137" s="1019"/>
      <c r="AW137" s="1019"/>
      <c r="AX137" s="1019"/>
      <c r="AY137" s="1019"/>
      <c r="AZ137" s="1019"/>
      <c r="BA137" s="1019"/>
      <c r="BB137" s="1019"/>
      <c r="BC137" s="1019"/>
      <c r="BD137" s="1019"/>
      <c r="BE137" s="1019"/>
      <c r="BF137" s="1019"/>
      <c r="BG137" s="1019"/>
      <c r="BH137" s="1019"/>
      <c r="BI137" s="1019"/>
      <c r="BJ137" s="489"/>
      <c r="BK137" s="489"/>
      <c r="BL137" s="1020">
        <v>0</v>
      </c>
      <c r="BN137" s="1081"/>
      <c r="BO137" s="1078"/>
      <c r="BP137" s="1085"/>
      <c r="BQ137" s="1082"/>
      <c r="BR137" s="1085"/>
      <c r="BS137" s="1082"/>
      <c r="BT137" s="1078"/>
      <c r="BU137" s="1082"/>
    </row>
    <row r="138" spans="2:73">
      <c r="B138" s="910"/>
      <c r="C138" s="328"/>
      <c r="D138" s="328"/>
      <c r="E138" s="417" t="s">
        <v>960</v>
      </c>
      <c r="F138" s="328"/>
      <c r="G138" s="1023"/>
      <c r="H138" s="1023"/>
      <c r="I138" s="1023"/>
      <c r="J138" s="1023"/>
      <c r="K138" s="1023"/>
      <c r="L138" s="1023"/>
      <c r="M138" s="1023"/>
      <c r="N138" s="1023"/>
      <c r="O138" s="1023"/>
      <c r="P138" s="1023"/>
      <c r="Q138" s="1023"/>
      <c r="R138" s="1023"/>
      <c r="S138" s="1023"/>
      <c r="T138" s="1023"/>
      <c r="U138" s="1023"/>
      <c r="V138" s="1023"/>
      <c r="W138" s="1023"/>
      <c r="X138" s="1023"/>
      <c r="Y138" s="1023"/>
      <c r="Z138" s="1023"/>
      <c r="AA138" s="1023"/>
      <c r="AB138" s="1023"/>
      <c r="AC138" s="1023"/>
      <c r="AD138" s="1023"/>
      <c r="AE138" s="1023"/>
      <c r="AF138" s="1023"/>
      <c r="AG138" s="1023"/>
      <c r="AH138" s="1023"/>
      <c r="AI138" s="1023"/>
      <c r="AJ138" s="1023"/>
      <c r="AK138" s="1023"/>
      <c r="AL138" s="1023"/>
      <c r="AM138" s="1023"/>
      <c r="AN138" s="1023"/>
      <c r="AO138" s="1023"/>
      <c r="AP138" s="1023"/>
      <c r="AQ138" s="1023"/>
      <c r="AR138" s="1023"/>
      <c r="AS138" s="1023"/>
      <c r="AT138" s="1023"/>
      <c r="AU138" s="1023"/>
      <c r="AV138" s="1023"/>
      <c r="AW138" s="1023"/>
      <c r="AX138" s="1023"/>
      <c r="AY138" s="1023"/>
      <c r="AZ138" s="1023"/>
      <c r="BA138" s="1023"/>
      <c r="BB138" s="1023"/>
      <c r="BC138" s="1023"/>
      <c r="BD138" s="1023"/>
      <c r="BE138" s="1023"/>
      <c r="BF138" s="1023"/>
      <c r="BG138" s="1023"/>
      <c r="BH138" s="1023"/>
      <c r="BI138" s="1023"/>
      <c r="BJ138" s="328"/>
      <c r="BK138" s="328"/>
      <c r="BL138" s="1024">
        <f>CS75*0.742731884673138</f>
        <v>1.4351733209498384E-2</v>
      </c>
      <c r="BN138" s="1081"/>
      <c r="BO138" s="1078"/>
      <c r="BP138" s="1085">
        <f>CS75*(1+BQ153)</f>
        <v>1.4396416953629552E-2</v>
      </c>
      <c r="BQ138" s="1082">
        <f>BP138*G136</f>
        <v>1.0773829494587073</v>
      </c>
      <c r="BR138" s="1085"/>
      <c r="BS138" s="1082"/>
      <c r="BT138" s="1078"/>
      <c r="BU138" s="1082"/>
    </row>
    <row r="139" spans="2:73">
      <c r="B139" s="909"/>
      <c r="C139" s="490"/>
      <c r="D139" s="489"/>
      <c r="E139" s="1021" t="s">
        <v>961</v>
      </c>
      <c r="F139" s="489"/>
      <c r="G139" s="1019"/>
      <c r="H139" s="1019"/>
      <c r="I139" s="1019"/>
      <c r="J139" s="1019"/>
      <c r="K139" s="1019"/>
      <c r="L139" s="1019"/>
      <c r="M139" s="1019"/>
      <c r="N139" s="1019"/>
      <c r="O139" s="1019"/>
      <c r="P139" s="1019"/>
      <c r="Q139" s="1019"/>
      <c r="R139" s="1019"/>
      <c r="S139" s="1019"/>
      <c r="T139" s="1019"/>
      <c r="U139" s="1019"/>
      <c r="V139" s="1019"/>
      <c r="W139" s="1019"/>
      <c r="X139" s="1019"/>
      <c r="Y139" s="1019"/>
      <c r="Z139" s="1019"/>
      <c r="AA139" s="1019"/>
      <c r="AB139" s="1019"/>
      <c r="AC139" s="1019"/>
      <c r="AD139" s="1019"/>
      <c r="AE139" s="1019"/>
      <c r="AF139" s="1019"/>
      <c r="AG139" s="1019"/>
      <c r="AH139" s="1019"/>
      <c r="AI139" s="1019"/>
      <c r="AJ139" s="1019"/>
      <c r="AK139" s="1019"/>
      <c r="AL139" s="1019"/>
      <c r="AM139" s="1019"/>
      <c r="AN139" s="1019"/>
      <c r="AO139" s="1019"/>
      <c r="AP139" s="1019"/>
      <c r="AQ139" s="1019"/>
      <c r="AR139" s="1019"/>
      <c r="AS139" s="1019"/>
      <c r="AT139" s="1019"/>
      <c r="AU139" s="1019"/>
      <c r="AV139" s="1019"/>
      <c r="AW139" s="1019"/>
      <c r="AX139" s="1019"/>
      <c r="AY139" s="1019"/>
      <c r="AZ139" s="1019"/>
      <c r="BA139" s="1019"/>
      <c r="BB139" s="1019"/>
      <c r="BC139" s="1019"/>
      <c r="BD139" s="1019"/>
      <c r="BE139" s="1019"/>
      <c r="BF139" s="1019"/>
      <c r="BG139" s="1019"/>
      <c r="BH139" s="1019"/>
      <c r="BI139" s="1019"/>
      <c r="BJ139" s="489"/>
      <c r="BK139" s="489"/>
      <c r="BL139" s="1020">
        <f>CT75*0.375703674683678</f>
        <v>1.2866536750593203E-3</v>
      </c>
      <c r="BN139" s="1081"/>
      <c r="BO139" s="1078"/>
      <c r="BP139" s="1085"/>
      <c r="BQ139" s="1082"/>
      <c r="BR139" s="1085">
        <f>CT75*(1+BS153)</f>
        <v>1.2899204437422779E-3</v>
      </c>
      <c r="BS139" s="1082">
        <f>BR139*G136</f>
        <v>9.6533623381598849E-2</v>
      </c>
      <c r="BT139" s="1078"/>
      <c r="BU139" s="1082"/>
    </row>
    <row r="140" spans="2:73" ht="13.5" thickBot="1">
      <c r="B140" s="911"/>
      <c r="C140" s="912"/>
      <c r="D140" s="912"/>
      <c r="E140" s="1026" t="s">
        <v>962</v>
      </c>
      <c r="F140" s="912"/>
      <c r="G140" s="914"/>
      <c r="H140" s="914"/>
      <c r="I140" s="914"/>
      <c r="J140" s="914"/>
      <c r="K140" s="914"/>
      <c r="L140" s="914"/>
      <c r="M140" s="914"/>
      <c r="N140" s="914"/>
      <c r="O140" s="914"/>
      <c r="P140" s="914"/>
      <c r="Q140" s="914"/>
      <c r="R140" s="914"/>
      <c r="S140" s="914"/>
      <c r="T140" s="914"/>
      <c r="U140" s="914"/>
      <c r="V140" s="914"/>
      <c r="W140" s="914"/>
      <c r="X140" s="914"/>
      <c r="Y140" s="914"/>
      <c r="Z140" s="914"/>
      <c r="AA140" s="914"/>
      <c r="AB140" s="914"/>
      <c r="AC140" s="914"/>
      <c r="AD140" s="914"/>
      <c r="AE140" s="914"/>
      <c r="AF140" s="914"/>
      <c r="AG140" s="914"/>
      <c r="AH140" s="914"/>
      <c r="AI140" s="914"/>
      <c r="AJ140" s="914"/>
      <c r="AK140" s="914"/>
      <c r="AL140" s="914"/>
      <c r="AM140" s="914"/>
      <c r="AN140" s="914"/>
      <c r="AO140" s="914"/>
      <c r="AP140" s="914"/>
      <c r="AQ140" s="914"/>
      <c r="AR140" s="914"/>
      <c r="AS140" s="914"/>
      <c r="AT140" s="914"/>
      <c r="AU140" s="914"/>
      <c r="AV140" s="914"/>
      <c r="AW140" s="914"/>
      <c r="AX140" s="914"/>
      <c r="AY140" s="914"/>
      <c r="AZ140" s="914"/>
      <c r="BA140" s="914"/>
      <c r="BB140" s="914"/>
      <c r="BC140" s="914"/>
      <c r="BD140" s="914"/>
      <c r="BE140" s="914"/>
      <c r="BF140" s="914"/>
      <c r="BG140" s="914"/>
      <c r="BH140" s="914"/>
      <c r="BI140" s="914"/>
      <c r="BJ140" s="912"/>
      <c r="BK140" s="912"/>
      <c r="BL140" s="1025">
        <f>CU75*0.568571740836304</f>
        <v>4.317396430081587E-4</v>
      </c>
      <c r="BN140" s="1103"/>
      <c r="BO140" s="1083"/>
      <c r="BP140" s="1104"/>
      <c r="BQ140" s="1084"/>
      <c r="BR140" s="1104"/>
      <c r="BS140" s="1084"/>
      <c r="BT140" s="1105">
        <f>CU74*(1+BU153)</f>
        <v>4.1882710074400058E-4</v>
      </c>
      <c r="BU140" s="1084">
        <f>BT140*G136</f>
        <v>3.1343714103740712E-2</v>
      </c>
    </row>
    <row r="141" spans="2:73" ht="15">
      <c r="B14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958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7">
        <f>ABS(CR76)*0.853224702081462</f>
        <v>7.2534210143308783E-2</v>
      </c>
      <c r="BN141" s="1099">
        <f>ABS(CR76*DwellingStocks!Y25*(1+BO153))</f>
        <v>7.724469826612157E-2</v>
      </c>
      <c r="BO141" s="1100">
        <f>BN141*G141</f>
        <v>2.8865376377571397</v>
      </c>
      <c r="BP141" s="1101"/>
      <c r="BQ141" s="1102"/>
      <c r="BR141" s="1101"/>
      <c r="BS141" s="1102"/>
      <c r="BT141" s="1100"/>
      <c r="BU141" s="1102"/>
    </row>
    <row r="142" spans="2:73">
      <c r="B142" s="909"/>
      <c r="C142" s="490"/>
      <c r="D142" s="489"/>
      <c r="E142" s="1021" t="s">
        <v>959</v>
      </c>
      <c r="F142" s="489"/>
      <c r="G142" s="1019"/>
      <c r="H142" s="1019"/>
      <c r="I142" s="1019"/>
      <c r="J142" s="1019"/>
      <c r="K142" s="1019"/>
      <c r="L142" s="1019"/>
      <c r="M142" s="1019"/>
      <c r="N142" s="1019"/>
      <c r="O142" s="1019"/>
      <c r="P142" s="1019"/>
      <c r="Q142" s="1019"/>
      <c r="R142" s="1019"/>
      <c r="S142" s="1019"/>
      <c r="T142" s="1019"/>
      <c r="U142" s="1019"/>
      <c r="V142" s="1019"/>
      <c r="W142" s="1019"/>
      <c r="X142" s="1019"/>
      <c r="Y142" s="1019"/>
      <c r="Z142" s="1019"/>
      <c r="AA142" s="1019"/>
      <c r="AB142" s="1019"/>
      <c r="AC142" s="1019"/>
      <c r="AD142" s="1019"/>
      <c r="AE142" s="1019"/>
      <c r="AF142" s="1019"/>
      <c r="AG142" s="1019"/>
      <c r="AH142" s="1019"/>
      <c r="AI142" s="1019"/>
      <c r="AJ142" s="1019"/>
      <c r="AK142" s="1019"/>
      <c r="AL142" s="1019"/>
      <c r="AM142" s="1019"/>
      <c r="AN142" s="1019"/>
      <c r="AO142" s="1019"/>
      <c r="AP142" s="1019"/>
      <c r="AQ142" s="1019"/>
      <c r="AR142" s="1019"/>
      <c r="AS142" s="1019"/>
      <c r="AT142" s="1019"/>
      <c r="AU142" s="1019"/>
      <c r="AV142" s="1019"/>
      <c r="AW142" s="1019"/>
      <c r="AX142" s="1019"/>
      <c r="AY142" s="1019"/>
      <c r="AZ142" s="1019"/>
      <c r="BA142" s="1019"/>
      <c r="BB142" s="1019"/>
      <c r="BC142" s="1019"/>
      <c r="BD142" s="1019"/>
      <c r="BE142" s="1019"/>
      <c r="BF142" s="1019"/>
      <c r="BG142" s="1019"/>
      <c r="BH142" s="1019"/>
      <c r="BI142" s="1019"/>
      <c r="BJ142" s="489"/>
      <c r="BK142" s="489"/>
      <c r="BL142" s="1020">
        <v>0</v>
      </c>
      <c r="BN142" s="1081"/>
      <c r="BO142" s="1078"/>
      <c r="BP142" s="1085"/>
      <c r="BQ142" s="1082"/>
      <c r="BR142" s="1085"/>
      <c r="BS142" s="1082"/>
      <c r="BT142" s="1078"/>
      <c r="BU142" s="1082"/>
    </row>
    <row r="143" spans="2:73">
      <c r="B143" s="910"/>
      <c r="C143" s="328"/>
      <c r="D143" s="328"/>
      <c r="E143" s="417" t="s">
        <v>960</v>
      </c>
      <c r="F143" s="328"/>
      <c r="G143" s="1023"/>
      <c r="H143" s="1023"/>
      <c r="I143" s="1023"/>
      <c r="J143" s="1023"/>
      <c r="K143" s="1023"/>
      <c r="L143" s="1023"/>
      <c r="M143" s="1023"/>
      <c r="N143" s="1023"/>
      <c r="O143" s="1023"/>
      <c r="P143" s="1023"/>
      <c r="Q143" s="1023"/>
      <c r="R143" s="1023"/>
      <c r="S143" s="1023"/>
      <c r="T143" s="1023"/>
      <c r="U143" s="1023"/>
      <c r="V143" s="1023"/>
      <c r="W143" s="1023"/>
      <c r="X143" s="1023"/>
      <c r="Y143" s="1023"/>
      <c r="Z143" s="1023"/>
      <c r="AA143" s="1023"/>
      <c r="AB143" s="1023"/>
      <c r="AC143" s="1023"/>
      <c r="AD143" s="1023"/>
      <c r="AE143" s="1023"/>
      <c r="AF143" s="1023"/>
      <c r="AG143" s="1023"/>
      <c r="AH143" s="1023"/>
      <c r="AI143" s="1023"/>
      <c r="AJ143" s="1023"/>
      <c r="AK143" s="1023"/>
      <c r="AL143" s="1023"/>
      <c r="AM143" s="1023"/>
      <c r="AN143" s="1023"/>
      <c r="AO143" s="1023"/>
      <c r="AP143" s="1023"/>
      <c r="AQ143" s="1023"/>
      <c r="AR143" s="1023"/>
      <c r="AS143" s="1023"/>
      <c r="AT143" s="1023"/>
      <c r="AU143" s="1023"/>
      <c r="AV143" s="1023"/>
      <c r="AW143" s="1023"/>
      <c r="AX143" s="1023"/>
      <c r="AY143" s="1023"/>
      <c r="AZ143" s="1023"/>
      <c r="BA143" s="1023"/>
      <c r="BB143" s="1023"/>
      <c r="BC143" s="1023"/>
      <c r="BD143" s="1023"/>
      <c r="BE143" s="1023"/>
      <c r="BF143" s="1023"/>
      <c r="BG143" s="1023"/>
      <c r="BH143" s="1023"/>
      <c r="BI143" s="1023"/>
      <c r="BJ143" s="328"/>
      <c r="BK143" s="328"/>
      <c r="BL143" s="1024">
        <f>CS76*0.742731884673138</f>
        <v>1.4431449095148411E-2</v>
      </c>
      <c r="BN143" s="1081"/>
      <c r="BO143" s="1078"/>
      <c r="BP143" s="1085">
        <f>CS76*(1+BQ153)</f>
        <v>1.4476381032594321E-2</v>
      </c>
      <c r="BQ143" s="1082">
        <f>BP143*G141</f>
        <v>0.5409642298703119</v>
      </c>
      <c r="BR143" s="1085"/>
      <c r="BS143" s="1082"/>
      <c r="BT143" s="1078"/>
      <c r="BU143" s="1082"/>
    </row>
    <row r="144" spans="2:73">
      <c r="B144" s="909"/>
      <c r="C144" s="490"/>
      <c r="D144" s="489"/>
      <c r="E144" s="1021" t="s">
        <v>961</v>
      </c>
      <c r="F144" s="489"/>
      <c r="G144" s="1019"/>
      <c r="H144" s="1019"/>
      <c r="I144" s="1019"/>
      <c r="J144" s="1019"/>
      <c r="K144" s="1019"/>
      <c r="L144" s="1019"/>
      <c r="M144" s="1019"/>
      <c r="N144" s="1019"/>
      <c r="O144" s="1019"/>
      <c r="P144" s="1019"/>
      <c r="Q144" s="1019"/>
      <c r="R144" s="1019"/>
      <c r="S144" s="1019"/>
      <c r="T144" s="1019"/>
      <c r="U144" s="1019"/>
      <c r="V144" s="1019"/>
      <c r="W144" s="1019"/>
      <c r="X144" s="1019"/>
      <c r="Y144" s="1019"/>
      <c r="Z144" s="1019"/>
      <c r="AA144" s="1019"/>
      <c r="AB144" s="1019"/>
      <c r="AC144" s="1019"/>
      <c r="AD144" s="1019"/>
      <c r="AE144" s="1019"/>
      <c r="AF144" s="1019"/>
      <c r="AG144" s="1019"/>
      <c r="AH144" s="1019"/>
      <c r="AI144" s="1019"/>
      <c r="AJ144" s="1019"/>
      <c r="AK144" s="1019"/>
      <c r="AL144" s="1019"/>
      <c r="AM144" s="1019"/>
      <c r="AN144" s="1019"/>
      <c r="AO144" s="1019"/>
      <c r="AP144" s="1019"/>
      <c r="AQ144" s="1019"/>
      <c r="AR144" s="1019"/>
      <c r="AS144" s="1019"/>
      <c r="AT144" s="1019"/>
      <c r="AU144" s="1019"/>
      <c r="AV144" s="1019"/>
      <c r="AW144" s="1019"/>
      <c r="AX144" s="1019"/>
      <c r="AY144" s="1019"/>
      <c r="AZ144" s="1019"/>
      <c r="BA144" s="1019"/>
      <c r="BB144" s="1019"/>
      <c r="BC144" s="1019"/>
      <c r="BD144" s="1019"/>
      <c r="BE144" s="1019"/>
      <c r="BF144" s="1019"/>
      <c r="BG144" s="1019"/>
      <c r="BH144" s="1019"/>
      <c r="BI144" s="1019"/>
      <c r="BJ144" s="489"/>
      <c r="BK144" s="489"/>
      <c r="BL144" s="1020">
        <f>CT76*0.375703674683678</f>
        <v>1.2249928868643262E-3</v>
      </c>
      <c r="BN144" s="1081"/>
      <c r="BO144" s="1078"/>
      <c r="BP144" s="1085"/>
      <c r="BQ144" s="1082"/>
      <c r="BR144" s="1085">
        <f>CT76*(1+BS153)</f>
        <v>1.2281031009625134E-3</v>
      </c>
      <c r="BS144" s="1082">
        <f>BR144*G141</f>
        <v>4.5892674883155356E-2</v>
      </c>
      <c r="BT144" s="1078"/>
      <c r="BU144" s="1082"/>
    </row>
    <row r="145" spans="2:73" ht="13.5" thickBot="1">
      <c r="B145" s="911"/>
      <c r="C145" s="912"/>
      <c r="D145" s="912"/>
      <c r="E145" s="1026" t="s">
        <v>962</v>
      </c>
      <c r="F145" s="912"/>
      <c r="G145" s="914"/>
      <c r="H145" s="914"/>
      <c r="I145" s="914"/>
      <c r="J145" s="914"/>
      <c r="K145" s="914"/>
      <c r="L145" s="914"/>
      <c r="M145" s="914"/>
      <c r="N145" s="914"/>
      <c r="O145" s="914"/>
      <c r="P145" s="914"/>
      <c r="Q145" s="914"/>
      <c r="R145" s="914"/>
      <c r="S145" s="914"/>
      <c r="T145" s="914"/>
      <c r="U145" s="914"/>
      <c r="V145" s="914"/>
      <c r="W145" s="914"/>
      <c r="X145" s="914"/>
      <c r="Y145" s="914"/>
      <c r="Z145" s="914"/>
      <c r="AA145" s="914"/>
      <c r="AB145" s="914"/>
      <c r="AC145" s="914"/>
      <c r="AD145" s="914"/>
      <c r="AE145" s="914"/>
      <c r="AF145" s="914"/>
      <c r="AG145" s="914"/>
      <c r="AH145" s="914"/>
      <c r="AI145" s="914"/>
      <c r="AJ145" s="914"/>
      <c r="AK145" s="914"/>
      <c r="AL145" s="914"/>
      <c r="AM145" s="914"/>
      <c r="AN145" s="914"/>
      <c r="AO145" s="914"/>
      <c r="AP145" s="914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14"/>
      <c r="BC145" s="914"/>
      <c r="BD145" s="914"/>
      <c r="BE145" s="914"/>
      <c r="BF145" s="914"/>
      <c r="BG145" s="914"/>
      <c r="BH145" s="914"/>
      <c r="BI145" s="914"/>
      <c r="BJ145" s="912"/>
      <c r="BK145" s="912"/>
      <c r="BL145" s="1025">
        <f>CU76*0.568571740836304</f>
        <v>4.1119730191954164E-4</v>
      </c>
      <c r="BN145" s="1103"/>
      <c r="BO145" s="1083"/>
      <c r="BP145" s="1104"/>
      <c r="BQ145" s="1084"/>
      <c r="BR145" s="1104"/>
      <c r="BS145" s="1084"/>
      <c r="BT145" s="1105">
        <f>CU75*(1+BU153)</f>
        <v>3.9135878859704321E-4</v>
      </c>
      <c r="BU145" s="1084">
        <f>BT145*G141</f>
        <v>1.4624587816506015E-2</v>
      </c>
    </row>
    <row r="146" spans="2:73" ht="15">
      <c r="B146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958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7">
        <f>ABS(CR77)*0.853224702081462</f>
        <v>9.572100774137017E-2</v>
      </c>
      <c r="BN146" s="1099">
        <f>ABS(CR77*DwellingStocks!Y26*(1+BO153))</f>
        <v>8.119086129400431E-2</v>
      </c>
      <c r="BO146" s="1100">
        <f>BN146*G146</f>
        <v>5.3966896830332418</v>
      </c>
      <c r="BP146" s="1101"/>
      <c r="BQ146" s="1102"/>
      <c r="BR146" s="1101"/>
      <c r="BS146" s="1102"/>
      <c r="BT146" s="1100"/>
      <c r="BU146" s="1102"/>
    </row>
    <row r="147" spans="2:73">
      <c r="B147" s="909"/>
      <c r="C147" s="490"/>
      <c r="D147" s="489"/>
      <c r="E147" s="1021" t="s">
        <v>959</v>
      </c>
      <c r="F147" s="489"/>
      <c r="G147" s="1019"/>
      <c r="H147" s="1019"/>
      <c r="I147" s="1019"/>
      <c r="J147" s="1019"/>
      <c r="K147" s="1019"/>
      <c r="L147" s="1019"/>
      <c r="M147" s="1019"/>
      <c r="N147" s="1019"/>
      <c r="O147" s="1019"/>
      <c r="P147" s="1019"/>
      <c r="Q147" s="1019"/>
      <c r="R147" s="1019"/>
      <c r="S147" s="1019"/>
      <c r="T147" s="1019"/>
      <c r="U147" s="1019"/>
      <c r="V147" s="1019"/>
      <c r="W147" s="1019"/>
      <c r="X147" s="1019"/>
      <c r="Y147" s="1019"/>
      <c r="Z147" s="1019"/>
      <c r="AA147" s="1019"/>
      <c r="AB147" s="1019"/>
      <c r="AC147" s="1019"/>
      <c r="AD147" s="1019"/>
      <c r="AE147" s="1019"/>
      <c r="AF147" s="1019"/>
      <c r="AG147" s="1019"/>
      <c r="AH147" s="1019"/>
      <c r="AI147" s="1019"/>
      <c r="AJ147" s="1019"/>
      <c r="AK147" s="1019"/>
      <c r="AL147" s="1019"/>
      <c r="AM147" s="1019"/>
      <c r="AN147" s="1019"/>
      <c r="AO147" s="1019"/>
      <c r="AP147" s="1019"/>
      <c r="AQ147" s="1019"/>
      <c r="AR147" s="1019"/>
      <c r="AS147" s="1019"/>
      <c r="AT147" s="1019"/>
      <c r="AU147" s="1019"/>
      <c r="AV147" s="1019"/>
      <c r="AW147" s="1019"/>
      <c r="AX147" s="1019"/>
      <c r="AY147" s="1019"/>
      <c r="AZ147" s="1019"/>
      <c r="BA147" s="1019"/>
      <c r="BB147" s="1019"/>
      <c r="BC147" s="1019"/>
      <c r="BD147" s="1019"/>
      <c r="BE147" s="1019"/>
      <c r="BF147" s="1019"/>
      <c r="BG147" s="1019"/>
      <c r="BH147" s="1019"/>
      <c r="BI147" s="1019"/>
      <c r="BJ147" s="489"/>
      <c r="BK147" s="489"/>
      <c r="BL147" s="1020">
        <v>0</v>
      </c>
      <c r="BN147" s="1081"/>
      <c r="BO147" s="1078"/>
      <c r="BP147" s="1085"/>
      <c r="BQ147" s="1082"/>
      <c r="BR147" s="1085"/>
      <c r="BS147" s="1082"/>
      <c r="BT147" s="1078"/>
      <c r="BU147" s="1082"/>
    </row>
    <row r="148" spans="2:73">
      <c r="B148" s="910"/>
      <c r="C148" s="328"/>
      <c r="D148" s="328"/>
      <c r="E148" s="417" t="s">
        <v>960</v>
      </c>
      <c r="F148" s="328"/>
      <c r="G148" s="1023"/>
      <c r="H148" s="1023"/>
      <c r="I148" s="1023"/>
      <c r="J148" s="1023"/>
      <c r="K148" s="1023"/>
      <c r="L148" s="1023"/>
      <c r="M148" s="1023"/>
      <c r="N148" s="1023"/>
      <c r="O148" s="1023"/>
      <c r="P148" s="1023"/>
      <c r="Q148" s="1023"/>
      <c r="R148" s="1023"/>
      <c r="S148" s="1023"/>
      <c r="T148" s="1023"/>
      <c r="U148" s="1023"/>
      <c r="V148" s="1023"/>
      <c r="W148" s="1023"/>
      <c r="X148" s="1023"/>
      <c r="Y148" s="1023"/>
      <c r="Z148" s="1023"/>
      <c r="AA148" s="1023"/>
      <c r="AB148" s="1023"/>
      <c r="AC148" s="1023"/>
      <c r="AD148" s="1023"/>
      <c r="AE148" s="1023"/>
      <c r="AF148" s="1023"/>
      <c r="AG148" s="1023"/>
      <c r="AH148" s="1023"/>
      <c r="AI148" s="1023"/>
      <c r="AJ148" s="1023"/>
      <c r="AK148" s="1023"/>
      <c r="AL148" s="1023"/>
      <c r="AM148" s="1023"/>
      <c r="AN148" s="1023"/>
      <c r="AO148" s="1023"/>
      <c r="AP148" s="1023"/>
      <c r="AQ148" s="1023"/>
      <c r="AR148" s="1023"/>
      <c r="AS148" s="1023"/>
      <c r="AT148" s="1023"/>
      <c r="AU148" s="1023"/>
      <c r="AV148" s="1023"/>
      <c r="AW148" s="1023"/>
      <c r="AX148" s="1023"/>
      <c r="AY148" s="1023"/>
      <c r="AZ148" s="1023"/>
      <c r="BA148" s="1023"/>
      <c r="BB148" s="1023"/>
      <c r="BC148" s="1023"/>
      <c r="BD148" s="1023"/>
      <c r="BE148" s="1023"/>
      <c r="BF148" s="1023"/>
      <c r="BG148" s="1023"/>
      <c r="BH148" s="1023"/>
      <c r="BI148" s="1023"/>
      <c r="BJ148" s="328"/>
      <c r="BK148" s="328"/>
      <c r="BL148" s="1024">
        <f>CS77*0.742731884673138</f>
        <v>1.3140678240923184E-2</v>
      </c>
      <c r="BN148" s="1081"/>
      <c r="BO148" s="1078"/>
      <c r="BP148" s="1085">
        <f>CS77*(1+BQ153)</f>
        <v>1.3181591397240695E-2</v>
      </c>
      <c r="BQ148" s="1082">
        <f>BP148*G146</f>
        <v>0.87616952407797433</v>
      </c>
      <c r="BR148" s="1085"/>
      <c r="BS148" s="1082"/>
      <c r="BT148" s="1078"/>
      <c r="BU148" s="1082"/>
    </row>
    <row r="149" spans="2:73">
      <c r="B149" s="909"/>
      <c r="C149" s="490"/>
      <c r="D149" s="489"/>
      <c r="E149" s="1021" t="s">
        <v>961</v>
      </c>
      <c r="F149" s="489"/>
      <c r="G149" s="1019"/>
      <c r="H149" s="1019"/>
      <c r="I149" s="1019"/>
      <c r="J149" s="1019"/>
      <c r="K149" s="1019"/>
      <c r="L149" s="1019"/>
      <c r="M149" s="1019"/>
      <c r="N149" s="1019"/>
      <c r="O149" s="1019"/>
      <c r="P149" s="1019"/>
      <c r="Q149" s="1019"/>
      <c r="R149" s="1019"/>
      <c r="S149" s="1019"/>
      <c r="T149" s="1019"/>
      <c r="U149" s="1019"/>
      <c r="V149" s="1019"/>
      <c r="W149" s="1019"/>
      <c r="X149" s="1019"/>
      <c r="Y149" s="1019"/>
      <c r="Z149" s="1019"/>
      <c r="AA149" s="1019"/>
      <c r="AB149" s="1019"/>
      <c r="AC149" s="1019"/>
      <c r="AD149" s="1019"/>
      <c r="AE149" s="1019"/>
      <c r="AF149" s="1019"/>
      <c r="AG149" s="1019"/>
      <c r="AH149" s="1019"/>
      <c r="AI149" s="1019"/>
      <c r="AJ149" s="1019"/>
      <c r="AK149" s="1019"/>
      <c r="AL149" s="1019"/>
      <c r="AM149" s="1019"/>
      <c r="AN149" s="1019"/>
      <c r="AO149" s="1019"/>
      <c r="AP149" s="1019"/>
      <c r="AQ149" s="1019"/>
      <c r="AR149" s="1019"/>
      <c r="AS149" s="1019"/>
      <c r="AT149" s="1019"/>
      <c r="AU149" s="1019"/>
      <c r="AV149" s="1019"/>
      <c r="AW149" s="1019"/>
      <c r="AX149" s="1019"/>
      <c r="AY149" s="1019"/>
      <c r="AZ149" s="1019"/>
      <c r="BA149" s="1019"/>
      <c r="BB149" s="1019"/>
      <c r="BC149" s="1019"/>
      <c r="BD149" s="1019"/>
      <c r="BE149" s="1019"/>
      <c r="BF149" s="1019"/>
      <c r="BG149" s="1019"/>
      <c r="BH149" s="1019"/>
      <c r="BI149" s="1019"/>
      <c r="BJ149" s="489"/>
      <c r="BK149" s="489"/>
      <c r="BL149" s="1020">
        <f>CT77*0.375703674683678</f>
        <v>1.0814863114877928E-3</v>
      </c>
      <c r="BN149" s="1081"/>
      <c r="BO149" s="1078"/>
      <c r="BP149" s="1085"/>
      <c r="BQ149" s="1082"/>
      <c r="BR149" s="1085">
        <f>CT77*(1+BS153)</f>
        <v>1.0842321674099412E-3</v>
      </c>
      <c r="BS149" s="1082">
        <f>BR149*G146</f>
        <v>7.2068019215681081E-2</v>
      </c>
      <c r="BT149" s="1078"/>
      <c r="BU149" s="1082"/>
    </row>
    <row r="150" spans="2:73" ht="13.5" thickBot="1">
      <c r="B150" s="911"/>
      <c r="C150" s="912"/>
      <c r="D150" s="912"/>
      <c r="E150" s="1026" t="s">
        <v>962</v>
      </c>
      <c r="F150" s="912"/>
      <c r="G150" s="914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4"/>
      <c r="Z150" s="914"/>
      <c r="AA150" s="914"/>
      <c r="AB150" s="914"/>
      <c r="AC150" s="914"/>
      <c r="AD150" s="914"/>
      <c r="AE150" s="914"/>
      <c r="AF150" s="914"/>
      <c r="AG150" s="914"/>
      <c r="AH150" s="914"/>
      <c r="AI150" s="914"/>
      <c r="AJ150" s="914"/>
      <c r="AK150" s="914"/>
      <c r="AL150" s="914"/>
      <c r="AM150" s="914"/>
      <c r="AN150" s="914"/>
      <c r="AO150" s="914"/>
      <c r="AP150" s="914"/>
      <c r="AQ150" s="914"/>
      <c r="AR150" s="914"/>
      <c r="AS150" s="914"/>
      <c r="AT150" s="914"/>
      <c r="AU150" s="914"/>
      <c r="AV150" s="914"/>
      <c r="AW150" s="914"/>
      <c r="AX150" s="914"/>
      <c r="AY150" s="914"/>
      <c r="AZ150" s="914"/>
      <c r="BA150" s="914"/>
      <c r="BB150" s="914"/>
      <c r="BC150" s="914"/>
      <c r="BD150" s="914"/>
      <c r="BE150" s="914"/>
      <c r="BF150" s="914"/>
      <c r="BG150" s="914"/>
      <c r="BH150" s="914"/>
      <c r="BI150" s="914"/>
      <c r="BJ150" s="912"/>
      <c r="BK150" s="912"/>
      <c r="BL150" s="1025">
        <f>CU77*0.568571740836304</f>
        <v>3.0143313414421959E-4</v>
      </c>
      <c r="BN150" s="1103"/>
      <c r="BO150" s="1083"/>
      <c r="BP150" s="1104"/>
      <c r="BQ150" s="1084"/>
      <c r="BR150" s="1104"/>
      <c r="BS150" s="1084"/>
      <c r="BT150" s="1105">
        <f>CU76*(1+BU153)</f>
        <v>3.7273778435621528E-4</v>
      </c>
      <c r="BU150" s="1084">
        <f>BT150*G146</f>
        <v>2.4775573546728748E-2</v>
      </c>
    </row>
    <row r="151" spans="2:73">
      <c r="BN151" s="365" t="s">
        <v>947</v>
      </c>
      <c r="BO151" s="354">
        <f>'SHWLP-Det'!AB27</f>
        <v>37.472394921512809</v>
      </c>
      <c r="BP151" s="358"/>
      <c r="BQ151" s="359">
        <f>'SHWLP-Det'!AB54</f>
        <v>9.9171743594052604</v>
      </c>
      <c r="BR151" s="358"/>
      <c r="BS151" s="359">
        <f>'SHWLP-Det'!AB59</f>
        <v>1.1094700921835092</v>
      </c>
      <c r="BT151" s="358"/>
      <c r="BU151" s="359">
        <f>'SHWLP-Det'!AB60</f>
        <v>0.34639394879768842</v>
      </c>
    </row>
    <row r="152" spans="2:73">
      <c r="BN152" s="1075" t="s">
        <v>938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6" t="s">
        <v>939</v>
      </c>
      <c r="BO153" s="1077">
        <f>((BO151-BO152)/BO152)</f>
        <v>0.29999755560868524</v>
      </c>
      <c r="BP153" s="355"/>
      <c r="BQ153" s="1077">
        <f>((BQ151-BQ152)/BQ152)</f>
        <v>-0.25495563912567187</v>
      </c>
      <c r="BR153" s="355"/>
      <c r="BS153" s="1077">
        <f>((BS151-BS152)/BS152)</f>
        <v>-0.62334242682574947</v>
      </c>
      <c r="BT153" s="355"/>
      <c r="BU153" s="1077">
        <f>((BU151-BU152)/BU152)</f>
        <v>-0.4846070975233493</v>
      </c>
    </row>
    <row r="154" spans="2:73">
      <c r="BN154" s="1075" t="s">
        <v>940</v>
      </c>
      <c r="BO154" s="1078">
        <f>SUM(BO106:BO146)</f>
        <v>37.472394921512809</v>
      </c>
      <c r="BP154" s="355"/>
      <c r="BQ154" s="1082">
        <f>SUM(BQ106:BQ150)</f>
        <v>9.9171743594052604</v>
      </c>
      <c r="BR154" s="355"/>
      <c r="BS154" s="1082">
        <f t="shared" ref="BS154" si="34">SUM(BS106:BS150)</f>
        <v>1.109470092183509</v>
      </c>
      <c r="BT154" s="355"/>
      <c r="BU154" s="1082">
        <f>SUM(BU106:BU150)</f>
        <v>0.34639394879768837</v>
      </c>
    </row>
    <row r="155" spans="2:73" ht="13.5" thickBot="1">
      <c r="BN155" s="1079" t="s">
        <v>941</v>
      </c>
      <c r="BO155" s="1080">
        <f>((BO151-BO154)/BO154)</f>
        <v>0</v>
      </c>
      <c r="BP155" s="367"/>
      <c r="BQ155" s="1091">
        <f t="shared" ref="BQ155" si="35">((BQ151-BQ154)/BQ154)</f>
        <v>0</v>
      </c>
      <c r="BR155" s="367"/>
      <c r="BS155" s="1091">
        <f t="shared" ref="BS155" si="36">((BS151-BS154)/BS154)</f>
        <v>2.0013572829893337E-16</v>
      </c>
      <c r="BT155" s="367"/>
      <c r="BU155" s="1091">
        <f>((BU151-BU154)/BU154)</f>
        <v>1.602543907707786E-16</v>
      </c>
    </row>
    <row r="160" spans="2:73">
      <c r="BQ160" s="1070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CR38:CU38"/>
    <mergeCell ref="CF53:CQ53"/>
    <mergeCell ref="CR53:CU53"/>
    <mergeCell ref="CF67:CQ67"/>
    <mergeCell ref="CR67:CU67"/>
    <mergeCell ref="CF6:CJ6"/>
    <mergeCell ref="BN3:BO3"/>
    <mergeCell ref="BP3:BQ3"/>
    <mergeCell ref="BT3:BU3"/>
    <mergeCell ref="BW39:CA39"/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H33:CJ33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826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827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1126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0.1184242491778002</v>
      </c>
      <c r="AJ5" s="870">
        <v>10</v>
      </c>
      <c r="AK5" s="429">
        <f>31.536*(AN5/1000)</f>
        <v>5.6764799999999994E-3</v>
      </c>
      <c r="AL5" s="867">
        <f t="shared" ref="AL5:AL13" si="1">AM5*AH5</f>
        <v>1.1544546193487999</v>
      </c>
      <c r="AM5" s="871">
        <f>RSD_Balance!S29</f>
        <v>1.4430682741859997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1126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2">INDEX($Q$20:$T$45,MATCH(I3,$P$20:$P$45,0),MATCH($A$6,$Q$19:$T$19,0))/1000*$J$20</f>
        <v>363.6657135862946</v>
      </c>
      <c r="J6" s="876">
        <f t="shared" si="2"/>
        <v>57.532604209150506</v>
      </c>
      <c r="K6" s="876">
        <f t="shared" si="2"/>
        <v>26.67554672745489</v>
      </c>
      <c r="L6" s="876">
        <f t="shared" si="2"/>
        <v>22.190560229102278</v>
      </c>
      <c r="M6" s="876">
        <f t="shared" si="2"/>
        <v>11.502054197783362</v>
      </c>
      <c r="N6" s="876">
        <f t="shared" si="2"/>
        <v>35.056536355891573</v>
      </c>
      <c r="O6" s="876">
        <f t="shared" si="2"/>
        <v>50.722700762477196</v>
      </c>
      <c r="P6" s="876">
        <f t="shared" si="2"/>
        <v>20.778706689273303</v>
      </c>
      <c r="Q6" s="876">
        <f t="shared" si="2"/>
        <v>24.266015962339928</v>
      </c>
      <c r="R6" s="876">
        <f t="shared" si="2"/>
        <v>41.687379497716293</v>
      </c>
      <c r="S6" s="876">
        <f t="shared" si="2"/>
        <v>38.103449106292494</v>
      </c>
      <c r="T6" s="876">
        <f t="shared" si="2"/>
        <v>33.263010145013681</v>
      </c>
      <c r="U6" s="876">
        <f t="shared" si="2"/>
        <v>150.49963369773778</v>
      </c>
      <c r="V6" s="876">
        <f t="shared" si="2"/>
        <v>41.715142061114641</v>
      </c>
      <c r="W6" s="876">
        <f t="shared" si="2"/>
        <v>54.569468882345284</v>
      </c>
      <c r="X6" s="876">
        <f t="shared" si="2"/>
        <v>45.002727440993318</v>
      </c>
      <c r="Y6" s="876">
        <f t="shared" si="2"/>
        <v>33.475033172924292</v>
      </c>
      <c r="Z6" s="876">
        <f t="shared" si="2"/>
        <v>70.457181024761525</v>
      </c>
      <c r="AA6" s="876">
        <f t="shared" si="2"/>
        <v>9.3964250397301647</v>
      </c>
      <c r="AB6" s="876">
        <f t="shared" si="2"/>
        <v>37.458564643792307</v>
      </c>
      <c r="AC6" s="876">
        <f t="shared" si="2"/>
        <v>18.311577134811976</v>
      </c>
      <c r="AD6" s="876">
        <f t="shared" si="2"/>
        <v>19.017436530337076</v>
      </c>
      <c r="AE6" s="876">
        <f t="shared" si="2"/>
        <v>20.563983903312387</v>
      </c>
      <c r="AF6" s="876">
        <f t="shared" si="2"/>
        <v>44.783817621544834</v>
      </c>
      <c r="AG6" s="876">
        <f t="shared" si="2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3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1126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4">AR7</f>
        <v>R-RSDCK_GAS_X0</v>
      </c>
      <c r="D7" s="866" t="str">
        <f t="shared" ref="D7:D8" si="5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6">INDEX($Q$20:$T$45,MATCH(I3,$P$20:$P$45,0),MATCH($A$7,$Q$19:$T$19,0))/1000*$J$21</f>
        <v>109.11552812889853</v>
      </c>
      <c r="J7" s="871">
        <f t="shared" si="6"/>
        <v>17.262283075863039</v>
      </c>
      <c r="K7" s="871">
        <f t="shared" si="6"/>
        <v>8.003824008013515</v>
      </c>
      <c r="L7" s="871">
        <f t="shared" si="6"/>
        <v>6.6581330282599378</v>
      </c>
      <c r="M7" s="871">
        <f t="shared" si="6"/>
        <v>3.4511164277259621</v>
      </c>
      <c r="N7" s="871">
        <f t="shared" si="6"/>
        <v>10.518485345018242</v>
      </c>
      <c r="O7" s="871">
        <f t="shared" si="6"/>
        <v>15.21901591228359</v>
      </c>
      <c r="P7" s="871">
        <f t="shared" si="6"/>
        <v>6.2345155716680685</v>
      </c>
      <c r="Q7" s="871">
        <f t="shared" si="6"/>
        <v>7.280859999706033</v>
      </c>
      <c r="R7" s="871">
        <f t="shared" si="6"/>
        <v>12.508026630681409</v>
      </c>
      <c r="S7" s="871">
        <f t="shared" si="6"/>
        <v>11.432691665553818</v>
      </c>
      <c r="T7" s="871">
        <f t="shared" si="6"/>
        <v>9.9803494900236949</v>
      </c>
      <c r="U7" s="871">
        <f t="shared" si="6"/>
        <v>45.156434606359113</v>
      </c>
      <c r="V7" s="871">
        <f t="shared" si="6"/>
        <v>12.516356606959757</v>
      </c>
      <c r="W7" s="871">
        <f t="shared" si="6"/>
        <v>16.373213625478829</v>
      </c>
      <c r="X7" s="871">
        <f t="shared" si="6"/>
        <v>13.502775182020683</v>
      </c>
      <c r="Y7" s="871">
        <f t="shared" si="6"/>
        <v>10.043965618247078</v>
      </c>
      <c r="Z7" s="871">
        <f t="shared" si="6"/>
        <v>21.140218147526781</v>
      </c>
      <c r="AA7" s="871">
        <f t="shared" si="6"/>
        <v>2.8193361167397208</v>
      </c>
      <c r="AB7" s="871">
        <f t="shared" si="6"/>
        <v>11.239198283915215</v>
      </c>
      <c r="AC7" s="871">
        <f t="shared" si="6"/>
        <v>5.4942694218654902</v>
      </c>
      <c r="AD7" s="871">
        <f t="shared" si="6"/>
        <v>5.7060579349148233</v>
      </c>
      <c r="AE7" s="871">
        <f t="shared" si="6"/>
        <v>6.1700893986302452</v>
      </c>
      <c r="AF7" s="871">
        <f t="shared" si="6"/>
        <v>13.437092716862869</v>
      </c>
      <c r="AG7" s="871">
        <f t="shared" si="6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3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1126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4"/>
        <v>R-RSDCK_LPG_X0</v>
      </c>
      <c r="D8" s="874" t="str">
        <f t="shared" si="5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 t="shared" ref="I8:AG8" si="7">INDEX($Q$20:$T$45,MATCH(I3,$P$20:$P$45,0),MATCH($A$8,$Q$19:$T$19,0))/1000*$J$22</f>
        <v>6.4323847512166159</v>
      </c>
      <c r="J8" s="876">
        <f t="shared" si="7"/>
        <v>1.0176154423887032</v>
      </c>
      <c r="K8" s="876">
        <f t="shared" si="7"/>
        <v>0.47182721271118944</v>
      </c>
      <c r="L8" s="876">
        <f t="shared" si="7"/>
        <v>0.39249842893083425</v>
      </c>
      <c r="M8" s="876">
        <f t="shared" si="7"/>
        <v>0.20344408412846607</v>
      </c>
      <c r="N8" s="876">
        <f t="shared" si="7"/>
        <v>0.62006706010958446</v>
      </c>
      <c r="O8" s="876">
        <f t="shared" si="7"/>
        <v>0.89716438678693666</v>
      </c>
      <c r="P8" s="876">
        <f t="shared" si="7"/>
        <v>0.36752608526117975</v>
      </c>
      <c r="Q8" s="876">
        <f t="shared" si="7"/>
        <v>0.42920832296689959</v>
      </c>
      <c r="R8" s="876">
        <f t="shared" si="7"/>
        <v>0.73735096320995652</v>
      </c>
      <c r="S8" s="876">
        <f t="shared" si="7"/>
        <v>0.67395972686854666</v>
      </c>
      <c r="T8" s="876">
        <f t="shared" si="7"/>
        <v>0.58834383127948831</v>
      </c>
      <c r="U8" s="876">
        <f t="shared" si="7"/>
        <v>2.6619819045198505</v>
      </c>
      <c r="V8" s="876">
        <f t="shared" si="7"/>
        <v>0.73784201717184128</v>
      </c>
      <c r="W8" s="876">
        <f t="shared" si="7"/>
        <v>0.9652045997388079</v>
      </c>
      <c r="X8" s="876">
        <f t="shared" si="7"/>
        <v>0.79599161246173733</v>
      </c>
      <c r="Y8" s="876">
        <f t="shared" si="7"/>
        <v>0.59209401624520774</v>
      </c>
      <c r="Z8" s="876">
        <f t="shared" si="7"/>
        <v>1.2462205808957643</v>
      </c>
      <c r="AA8" s="876">
        <f t="shared" si="7"/>
        <v>0.16620049370468928</v>
      </c>
      <c r="AB8" s="876">
        <f t="shared" si="7"/>
        <v>0.66255324880940902</v>
      </c>
      <c r="AC8" s="876">
        <f t="shared" si="7"/>
        <v>0.32388840941625252</v>
      </c>
      <c r="AD8" s="876">
        <f t="shared" si="7"/>
        <v>0.33637338955777812</v>
      </c>
      <c r="AE8" s="876">
        <f t="shared" si="7"/>
        <v>0.36372814797274738</v>
      </c>
      <c r="AF8" s="876">
        <f t="shared" si="7"/>
        <v>0.79211961647227247</v>
      </c>
      <c r="AG8" s="876">
        <f t="shared" si="7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3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1126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8">AR9</f>
        <v>R-RSDCW_X0</v>
      </c>
      <c r="D9" s="866" t="str">
        <f t="shared" si="8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6.7898200716610627E-3</v>
      </c>
      <c r="AJ9" s="870">
        <v>10</v>
      </c>
      <c r="AK9" s="878">
        <f t="shared" si="3"/>
        <v>6.9379200000000002E-2</v>
      </c>
      <c r="AL9" s="867">
        <f t="shared" si="1"/>
        <v>0.78876799986757473</v>
      </c>
      <c r="AM9" s="871">
        <f>RSD_Balance!T29</f>
        <v>1.1268114283822497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1126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8"/>
        <v>R-RSDCD_X0</v>
      </c>
      <c r="D10" s="874" t="str">
        <f t="shared" si="8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1.1986994780412655E-2</v>
      </c>
      <c r="AJ10" s="874">
        <v>10</v>
      </c>
      <c r="AK10" s="873">
        <f t="shared" si="3"/>
        <v>7.8840000000000007E-2</v>
      </c>
      <c r="AL10" s="873">
        <f t="shared" si="1"/>
        <v>1.0516931653096222</v>
      </c>
      <c r="AM10" s="876">
        <f>RSD_Balance!U26</f>
        <v>1.7528219421827038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1126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8"/>
        <v>R-RSDDW_X0</v>
      </c>
      <c r="D11" s="866" t="str">
        <f t="shared" si="8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1.101051903512605E-2</v>
      </c>
      <c r="AJ11" s="870">
        <v>10</v>
      </c>
      <c r="AK11" s="878">
        <f t="shared" si="3"/>
        <v>6.9379200000000002E-2</v>
      </c>
      <c r="AL11" s="867">
        <f t="shared" si="1"/>
        <v>0.8487865212712199</v>
      </c>
      <c r="AM11" s="871">
        <f>RSD_Balance!V29</f>
        <v>1.2125521732445999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1126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8"/>
        <v>R-RSDOE_X0</v>
      </c>
      <c r="D12" s="874" t="str">
        <f t="shared" si="8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3"/>
        <v>5.6764799999999994E-3</v>
      </c>
      <c r="AL12" s="873">
        <f t="shared" si="1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1126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8"/>
        <v>R-RSDOA_X0</v>
      </c>
      <c r="D13" s="866" t="str">
        <f t="shared" si="8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3"/>
        <v>5.6764799999999994E-3</v>
      </c>
      <c r="AL13" s="867">
        <f t="shared" si="1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9"/>
      <c r="I15" s="1119"/>
      <c r="J15" s="1119"/>
      <c r="K15" s="1119"/>
      <c r="L15" s="1119"/>
      <c r="M15" s="1119"/>
      <c r="N15" s="1119"/>
      <c r="O15" s="1119"/>
      <c r="P15" s="1119"/>
      <c r="Q15" s="1119"/>
      <c r="R15" s="1119"/>
      <c r="S15" s="1119"/>
      <c r="T15" s="1119"/>
      <c r="U15" s="1119"/>
      <c r="V15" s="1119"/>
      <c r="W15" s="1119"/>
      <c r="X15" s="1119"/>
      <c r="Y15" s="1119"/>
      <c r="Z15" s="1119"/>
      <c r="AA15" s="1119"/>
      <c r="AB15" s="1119"/>
      <c r="AC15" s="1119"/>
      <c r="AD15" s="1119"/>
      <c r="AE15" s="1119"/>
      <c r="AF15" s="1119"/>
      <c r="AG15" s="1119"/>
      <c r="AH15" s="1119"/>
      <c r="AI15" s="1119"/>
    </row>
    <row r="16" spans="1:49">
      <c r="H16" s="1119"/>
      <c r="I16" s="1119"/>
      <c r="J16" s="1119"/>
      <c r="K16" s="1119"/>
      <c r="L16" s="1119"/>
      <c r="M16" s="1119"/>
      <c r="N16" s="1119"/>
      <c r="O16" s="1119"/>
      <c r="P16" s="1119"/>
      <c r="Q16" s="1119"/>
      <c r="R16" s="1119"/>
      <c r="S16" s="1119"/>
      <c r="T16" s="1119"/>
      <c r="U16" s="1119"/>
      <c r="V16" s="1119"/>
      <c r="W16" s="1119"/>
      <c r="X16" s="1119"/>
      <c r="Y16" s="1119"/>
      <c r="Z16" s="1119"/>
      <c r="AA16" s="1119"/>
      <c r="AB16" s="1119"/>
      <c r="AC16" s="1119"/>
      <c r="AD16" s="1119"/>
      <c r="AE16" s="1119"/>
      <c r="AF16" s="1119"/>
      <c r="AG16" s="1119"/>
      <c r="AH16" s="1119"/>
      <c r="AI16" s="1119"/>
    </row>
    <row r="17" spans="2:20" ht="19.5" thickBot="1">
      <c r="B17" s="1257" t="s">
        <v>613</v>
      </c>
      <c r="C17" s="1257"/>
      <c r="D17" s="1257"/>
      <c r="E17" s="1257"/>
      <c r="F17" s="1257"/>
      <c r="G17" s="1257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63">
        <v>2018</v>
      </c>
      <c r="R18" s="1264"/>
      <c r="S18" s="1265"/>
    </row>
    <row r="19" spans="2:20" ht="21.75" thickBot="1">
      <c r="B19" s="69" t="s">
        <v>277</v>
      </c>
      <c r="C19" s="69"/>
      <c r="D19" s="69"/>
      <c r="E19" s="66" t="s">
        <v>764</v>
      </c>
      <c r="F19" s="66"/>
      <c r="G19" s="66"/>
      <c r="H19" s="401"/>
      <c r="I19" s="1258" t="s">
        <v>819</v>
      </c>
      <c r="J19" s="1259"/>
      <c r="L19" s="268"/>
      <c r="M19"/>
      <c r="P19" s="1134" t="s">
        <v>760</v>
      </c>
      <c r="Q19" s="1134" t="s">
        <v>953</v>
      </c>
      <c r="R19" s="1134" t="s">
        <v>948</v>
      </c>
      <c r="S19" s="1134" t="s">
        <v>958</v>
      </c>
      <c r="T19" s="1295" t="s">
        <v>1126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3" t="s">
        <v>858</v>
      </c>
      <c r="J20" s="977">
        <v>0.75888</v>
      </c>
      <c r="L20" s="268"/>
      <c r="M20"/>
      <c r="P20" s="1289" t="s">
        <v>661</v>
      </c>
      <c r="Q20" s="1289">
        <v>1272.084432974631</v>
      </c>
      <c r="R20" s="1290">
        <v>9017.3696255538798</v>
      </c>
      <c r="S20" s="1291">
        <v>10817.00516141598</v>
      </c>
      <c r="T20" s="1291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1.1544546193487999</v>
      </c>
      <c r="G21" s="400" t="s">
        <v>275</v>
      </c>
      <c r="H21" s="401"/>
      <c r="I21" s="974" t="s">
        <v>845</v>
      </c>
      <c r="J21" s="976">
        <v>0.22769700000000001</v>
      </c>
      <c r="L21" s="268"/>
      <c r="M21"/>
      <c r="P21" s="1140" t="s">
        <v>662</v>
      </c>
      <c r="Q21" s="1140">
        <v>1271.052567009926</v>
      </c>
      <c r="R21" s="1129">
        <v>7706.8792520168045</v>
      </c>
      <c r="S21" s="1144">
        <v>18119.875348525962</v>
      </c>
      <c r="T21" s="1144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5" t="s">
        <v>769</v>
      </c>
      <c r="J22" s="978">
        <v>1.3422788999999999E-2</v>
      </c>
      <c r="L22" s="268"/>
      <c r="M22"/>
      <c r="P22" s="1139" t="s">
        <v>663</v>
      </c>
      <c r="Q22" s="1139">
        <v>2491.2235846235253</v>
      </c>
      <c r="R22" s="1128">
        <v>15118.989670799881</v>
      </c>
      <c r="S22" s="1143">
        <v>26221.499459384846</v>
      </c>
      <c r="T22" s="1143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0.78876799986757473</v>
      </c>
      <c r="G23" s="400" t="s">
        <v>275</v>
      </c>
      <c r="H23" s="401"/>
      <c r="I23" s="401"/>
      <c r="L23" s="268"/>
      <c r="M23"/>
      <c r="P23" s="1140" t="s">
        <v>664</v>
      </c>
      <c r="Q23" s="1140">
        <v>18164.569738528382</v>
      </c>
      <c r="R23" s="1129">
        <v>91446.903647123108</v>
      </c>
      <c r="S23" s="1144">
        <v>88706.618668082694</v>
      </c>
      <c r="T23" s="1144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1.0516931653096222</v>
      </c>
      <c r="G24" s="398" t="s">
        <v>275</v>
      </c>
      <c r="H24" s="401"/>
      <c r="I24" s="401"/>
      <c r="L24" s="268"/>
      <c r="M24"/>
      <c r="P24" s="1139" t="s">
        <v>665</v>
      </c>
      <c r="Q24" s="1139">
        <v>2392.9923596273825</v>
      </c>
      <c r="R24" s="1128">
        <v>15881.582138278784</v>
      </c>
      <c r="S24" s="1143">
        <v>40738.467908725754</v>
      </c>
      <c r="T24" s="1143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0.8487865212712199</v>
      </c>
      <c r="G25" s="400" t="s">
        <v>275</v>
      </c>
      <c r="H25" s="401"/>
      <c r="I25" s="401"/>
      <c r="L25" s="268"/>
      <c r="M25"/>
      <c r="P25" s="1140" t="s">
        <v>666</v>
      </c>
      <c r="Q25" s="1140">
        <v>123314.67820831671</v>
      </c>
      <c r="R25" s="1129">
        <v>299739.87494657928</v>
      </c>
      <c r="S25" s="1144">
        <v>56159.174425610254</v>
      </c>
      <c r="T25" s="1144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9" t="s">
        <v>667</v>
      </c>
      <c r="Q26" s="1139">
        <v>9881.5892011882625</v>
      </c>
      <c r="R26" s="1128">
        <v>27589.465054026703</v>
      </c>
      <c r="S26" s="1143">
        <v>55372.585087977008</v>
      </c>
      <c r="T26" s="1143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40" t="s">
        <v>668</v>
      </c>
      <c r="Q27" s="1140">
        <v>2906.0721193547802</v>
      </c>
      <c r="R27" s="1129">
        <v>15686.699374231552</v>
      </c>
      <c r="S27" s="1144">
        <v>36376.580790193235</v>
      </c>
      <c r="T27" s="1144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9" t="s">
        <v>669</v>
      </c>
      <c r="Q28" s="1139">
        <v>7363.7968231969135</v>
      </c>
      <c r="R28" s="1128">
        <v>38144.204386107944</v>
      </c>
      <c r="S28" s="1143">
        <v>30304.517514538838</v>
      </c>
      <c r="T28" s="1143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40" t="s">
        <v>670</v>
      </c>
      <c r="Q29" s="1140">
        <v>1751.3817529766175</v>
      </c>
      <c r="R29" s="1129">
        <v>12508.441600918088</v>
      </c>
      <c r="S29" s="1144">
        <v>20891.382011189213</v>
      </c>
      <c r="T29" s="1144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9" t="s">
        <v>671</v>
      </c>
      <c r="Q30" s="1139">
        <v>1434.9997251520253</v>
      </c>
      <c r="R30" s="1128">
        <v>11510.58391452228</v>
      </c>
      <c r="S30" s="1143">
        <v>16295.614216511489</v>
      </c>
      <c r="T30" s="1143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40" t="s">
        <v>672</v>
      </c>
      <c r="Q31" s="1140">
        <v>543.02409251525864</v>
      </c>
      <c r="R31" s="1129">
        <v>2737.7793125602311</v>
      </c>
      <c r="S31" s="1144">
        <v>9101.1608576935432</v>
      </c>
      <c r="T31" s="1144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9" t="s">
        <v>673</v>
      </c>
      <c r="Q32" s="1139">
        <v>7461.1258002920376</v>
      </c>
      <c r="R32" s="1128">
        <v>31695.949118274744</v>
      </c>
      <c r="S32" s="1143">
        <v>32750.827361563519</v>
      </c>
      <c r="T32" s="1143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40" t="s">
        <v>674</v>
      </c>
      <c r="Q33" s="1140">
        <v>691.43208570294928</v>
      </c>
      <c r="R33" s="1129">
        <v>4746.2770797513549</v>
      </c>
      <c r="S33" s="1144">
        <v>9718.9087422298653</v>
      </c>
      <c r="T33" s="1144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9" t="s">
        <v>675</v>
      </c>
      <c r="Q34" s="1139">
        <v>3038.8153054039785</v>
      </c>
      <c r="R34" s="1128">
        <v>24289.540001760251</v>
      </c>
      <c r="S34" s="1143">
        <v>18866.743201020949</v>
      </c>
      <c r="T34" s="1143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40" t="s">
        <v>676</v>
      </c>
      <c r="Q35" s="1140">
        <v>2141.3166117916521</v>
      </c>
      <c r="R35" s="1129">
        <v>12519.701036831018</v>
      </c>
      <c r="S35" s="1144">
        <v>34699.30894292317</v>
      </c>
      <c r="T35" s="1144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9" t="s">
        <v>677</v>
      </c>
      <c r="Q36" s="1139">
        <v>5411.4225176697691</v>
      </c>
      <c r="R36" s="1128">
        <v>27103.374443441171</v>
      </c>
      <c r="S36" s="1143">
        <v>34324.09820344366</v>
      </c>
      <c r="T36" s="1143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40" t="s">
        <v>678</v>
      </c>
      <c r="Q37" s="1140">
        <v>1027.5356632394301</v>
      </c>
      <c r="R37" s="1129">
        <v>6619.1242565355706</v>
      </c>
      <c r="S37" s="1144">
        <v>14155.109041449583</v>
      </c>
      <c r="T37" s="1144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9" t="s">
        <v>679</v>
      </c>
      <c r="Q38" s="1139">
        <v>1175.2936766265591</v>
      </c>
      <c r="R38" s="1128">
        <v>10239.258420802398</v>
      </c>
      <c r="S38" s="1143">
        <v>15966.202026112715</v>
      </c>
      <c r="T38" s="1143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40" t="s">
        <v>680</v>
      </c>
      <c r="Q39" s="1140">
        <v>676.45175529921289</v>
      </c>
      <c r="R39" s="1129">
        <v>5372.2948402948405</v>
      </c>
      <c r="S39" s="1144">
        <v>18080.993461874819</v>
      </c>
      <c r="T39" s="1144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9" t="s">
        <v>681</v>
      </c>
      <c r="Q40" s="1139">
        <v>1676.0939551367242</v>
      </c>
      <c r="R40" s="1128">
        <v>8889.5641738149861</v>
      </c>
      <c r="S40" s="1143">
        <v>14494.215013491199</v>
      </c>
      <c r="T40" s="1143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40" t="s">
        <v>682</v>
      </c>
      <c r="Q41" s="1140">
        <v>2382.2341251096568</v>
      </c>
      <c r="R41" s="1129">
        <v>21954.232438086234</v>
      </c>
      <c r="S41" s="1144">
        <v>34965.040184897764</v>
      </c>
      <c r="T41" s="1144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9" t="s">
        <v>683</v>
      </c>
      <c r="Q42" s="1139">
        <v>3199.1719442467102</v>
      </c>
      <c r="R42" s="1128">
        <v>21769.226916806354</v>
      </c>
      <c r="S42" s="1143">
        <v>19142.703253806059</v>
      </c>
      <c r="T42" s="1143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40" t="s">
        <v>684</v>
      </c>
      <c r="Q43" s="1140">
        <v>2888.9605821519499</v>
      </c>
      <c r="R43" s="1129">
        <v>12264.197780781444</v>
      </c>
      <c r="S43" s="1144">
        <v>16822.932669034672</v>
      </c>
      <c r="T43" s="1144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9" t="s">
        <v>685</v>
      </c>
      <c r="Q44" s="1139">
        <v>2668.9797196485479</v>
      </c>
      <c r="R44" s="1128">
        <v>18385.501077566361</v>
      </c>
      <c r="S44" s="1143">
        <v>33878.287885206948</v>
      </c>
      <c r="T44" s="1143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292" t="s">
        <v>686</v>
      </c>
      <c r="Q45" s="1292">
        <v>4513.1911767694201</v>
      </c>
      <c r="R45" s="1293">
        <v>23167.339151815657</v>
      </c>
      <c r="S45" s="1294">
        <v>22529.580764463226</v>
      </c>
      <c r="T45" s="1294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60" t="s">
        <v>637</v>
      </c>
      <c r="C4" s="1261"/>
      <c r="D4" s="1261"/>
      <c r="E4" s="1261"/>
      <c r="F4" s="1261"/>
      <c r="G4" s="1262"/>
      <c r="H4" s="1260" t="s">
        <v>638</v>
      </c>
      <c r="I4" s="1261"/>
      <c r="J4" s="126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R7*DwellingStocks!$I$28/1000</f>
        <v>0.4572805315810558</v>
      </c>
      <c r="T7" s="485">
        <f>(S7*1000)/(E7+E14+E16)*DwellingStocks!$Z$27+1.0376</f>
        <v>2.2304833867748837</v>
      </c>
      <c r="U7" s="853">
        <f>(G7+G14+G16)/300</f>
        <v>0.59018803418803423</v>
      </c>
      <c r="V7" s="853">
        <f>AB7/S7/X7</f>
        <v>0.40654789002485747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8.7941180137151742E-2</v>
      </c>
      <c r="AC7" s="432">
        <f>IF(((D7+I7+D14+I14+D16+I16)*$B$2)&lt;=0,0,((D7+I7+D14+I14+D16+I16)*T7*$B$2))</f>
        <v>0.14900535938201287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R8*DwellingStocks!$I$28/1000</f>
        <v>4.7142322843407814E-3</v>
      </c>
      <c r="T8" s="436">
        <f>(S8*1000)/E8*DwellingStocks!$Z$27</f>
        <v>1.1928833867748834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2.155091755748787E-5</v>
      </c>
      <c r="AC8" s="439">
        <f>IF(((D8+I8)*$B$2)&lt;=0,0,((D8+I8)*T8*$B$2))</f>
        <v>2.3945463952764301E-5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R9*DwellingStocks!$I$28/1000</f>
        <v>1.5714107614469271E-3</v>
      </c>
      <c r="T9" s="429">
        <f>(S9*1000)/E9*DwellingStocks!$Z$27</f>
        <v>1.1928833867748834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1.5459768692602489E-8</v>
      </c>
      <c r="AC9" s="432">
        <f>IF(((D9+I9)*$B$2)&lt;=0,0,((D9+I9)*T9*$B$2))</f>
        <v>1.717752076955832E-8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(R10)*DwellingStocks!$I$28/1000</f>
        <v>2.9951089113178426</v>
      </c>
      <c r="T10" s="436">
        <f>(S10*1000)/(E10+E11)*DwellingStocks!$Z$27+0.5284</f>
        <v>1.7212833867748834</v>
      </c>
      <c r="U10" s="855">
        <f>(G10+G11)/200</f>
        <v>0.80677902621722841</v>
      </c>
      <c r="V10" s="855">
        <f t="shared" si="3"/>
        <v>4.7559865677763651E-2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6.7383118242536427E-2</v>
      </c>
      <c r="AC10" s="439">
        <f>IF(((D10+I10+D11+I11)*T10*$B$2)&lt;=0,0,((D10+I10+D11+I11)*T10*$B$2))</f>
        <v>8.3521157656363337E-2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(R11)*DwellingStocks!$I$28/1000</f>
        <v>68.762860658712412</v>
      </c>
      <c r="T11" s="429">
        <f>(S11*1000)/(E25)*DwellingStocks!$Z$27-0.67619</f>
        <v>0.70575965580849165</v>
      </c>
      <c r="U11" s="853">
        <f>(G25)/100</f>
        <v>1</v>
      </c>
      <c r="V11" s="853">
        <f t="shared" si="3"/>
        <v>1.3931119040234956E-2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0.45314563930634366</v>
      </c>
      <c r="AC11" s="432">
        <f>IF(((D25+I25)*T11*$B$2)&lt;=0,0,((D25+I25)*T11*$B$2))</f>
        <v>0.45314563930634366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R12*DwellingStocks!$I$28/1000</f>
        <v>32.358993251158786</v>
      </c>
      <c r="T12" s="436">
        <f>((S12)*1000)/E12*DwellingStocks!$Z$27+0.392</f>
        <v>1.3161971640450041</v>
      </c>
      <c r="U12" s="855">
        <f>G12/100</f>
        <v>3.0701960784313722</v>
      </c>
      <c r="V12" s="855">
        <f t="shared" si="3"/>
        <v>0.18130269923092618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0.92507273838853943</v>
      </c>
      <c r="AC12" s="439">
        <f>IF(((D12+I12)*T12*$B$2)&lt;=0,0,((D12+I12)*T12*$B$2))</f>
        <v>0.30130738062214535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0.18204129685580445</v>
      </c>
      <c r="AB13" s="432"/>
      <c r="AC13" s="432">
        <f>RSD_Balance!F22</f>
        <v>0.16840144098220003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R14*DwellingStocks!$I$28/1000</f>
        <v>6.1646444171562944</v>
      </c>
      <c r="T14" s="436">
        <f>(S14*1000)/E13*DwellingStocks!$Z$27+0.16818</f>
        <v>1.3610633867748834</v>
      </c>
      <c r="U14" s="855">
        <f>G13/100</f>
        <v>0.81016216216216219</v>
      </c>
      <c r="V14" s="855">
        <f>AB14/S14/X14</f>
        <v>7.5994529972598868E-2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0.22160942675208639</v>
      </c>
      <c r="AC14" s="439">
        <f>IF(((D13+I13)*$B$2)&lt;=0,0,((D13+I13)*T14*$B$2))</f>
        <v>0.27353712269239377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R16*DwellingStocks!$I$28/1000</f>
        <v>86.29402196485799</v>
      </c>
      <c r="T16" s="436">
        <f>(S16*1000)/E15*DwellingStocks!$Z$27</f>
        <v>1.1928833867748834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1.0457600131312632</v>
      </c>
      <c r="AC16" s="439">
        <f>IF(((D15+I15)*$B$2)&lt;=0,0,((D15+I15)*T16*$B$2))</f>
        <v>1.290633418103742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R18*DwellingStocks!$I$28/1000</f>
        <v>2.199975066025698E-2</v>
      </c>
      <c r="T18" s="436">
        <f>(S18*1000)/(E17+E18)*DwellingStocks!$Z$27</f>
        <v>1.1928833867748834</v>
      </c>
      <c r="U18" s="855">
        <f>(G17+G18)/200</f>
        <v>0.52500000000000002</v>
      </c>
      <c r="V18" s="855">
        <f>AB18/S18/X18</f>
        <v>0.16174374769495573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1.6832286957131736E-3</v>
      </c>
      <c r="AC18" s="439">
        <f>IF(((D17+I17)+D18+I18*$B$2)&lt;=0,0,((D17+I17+D18+I18)*T18*$B$2))</f>
        <v>3.2061498965965211E-3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R20*DwellingStocks!$I$28/1000</f>
        <v>0.688277913513754</v>
      </c>
      <c r="T20" s="436">
        <f>(S20*1000)/E19*DwellingStocks!$Z$27-0.19617</f>
        <v>0.99671338677488341</v>
      </c>
      <c r="U20" s="855">
        <f>G19/100</f>
        <v>0.58177777777777773</v>
      </c>
      <c r="V20" s="855">
        <f>SUM(AB20:AB22)/S20/X20</f>
        <v>0.14274595375996391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9.0162768001196547E-3</v>
      </c>
      <c r="AC20" s="439">
        <f>IF(((D19+I19)*$B$2)&lt;=0,0,((D19+I19)*T20*$B$2))*Y20</f>
        <v>1.5497801986454717E-2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3.457788628499496E-2</v>
      </c>
      <c r="AC21" s="432">
        <f>IF(((D19+I19)*$B$2)&lt;=0,0,((D19+I19)*T20*$B$2))*Y21</f>
        <v>5.9434869473826334E-2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2.8814905237495802E-3</v>
      </c>
      <c r="AC22" s="439">
        <f>IF(((D19+I19)*$B$2)&lt;=0,0,((D19+I19)*T20*$B$2))*Y22</f>
        <v>4.9529057894855278E-3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R23*DwellingStocks!$I$28/1000</f>
        <v>0.29385381239057534</v>
      </c>
      <c r="T23" s="429">
        <f>(S23*1000)/(E20+E21+E22+E23)*DwellingStocks!$Z$27+0.1866</f>
        <v>1.3794833867748832</v>
      </c>
      <c r="U23" s="853">
        <f>(G21+G22+G23)/300</f>
        <v>0.6880451127819549</v>
      </c>
      <c r="V23" s="853">
        <f>AB23/S23/X23</f>
        <v>3.6221240391349489E-2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5.0349193006200468E-3</v>
      </c>
      <c r="AC23" s="432">
        <f>IF(((D20+I20+D21+I21+D22+I22+D23+I23)*$B$2)&lt;=0,0,((D20+I20+D21+I21+D22+I22+D23+I23)*T23*$B$2))</f>
        <v>7.3177168285702785E-3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R24*DwellingStocks!$I$28/1000</f>
        <v>13.776558145605208</v>
      </c>
      <c r="T24" s="436">
        <f>(S24*1000)/E24*DwellingStocks!$Z$27</f>
        <v>1.1928833867748831</v>
      </c>
      <c r="U24" s="855">
        <f>G24/100</f>
        <v>0.39838442187649958</v>
      </c>
      <c r="V24" s="855">
        <f>AB24/S24/X24</f>
        <v>2.4002855672672629E-3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1.5642332359249667E-2</v>
      </c>
      <c r="AC24" s="439">
        <f>IF(((D24+I24)*$B$2)&lt;=0,0,((D24+I24)*T24*$B$2))</f>
        <v>3.9264417733931474E-2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211.81988499999997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2.8697698162996939</v>
      </c>
      <c r="AC27" s="420">
        <f>SUM(AC6:AC25)</f>
        <v>2.8492493430955395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60" t="s">
        <v>637</v>
      </c>
      <c r="C28" s="1261"/>
      <c r="D28" s="1261"/>
      <c r="E28" s="1261"/>
      <c r="F28" s="1261"/>
      <c r="G28" s="1262"/>
      <c r="H28" s="1260" t="s">
        <v>638</v>
      </c>
      <c r="I28" s="1261"/>
      <c r="J28" s="1262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R33*DwellingStocks!$I$28/1000</f>
        <v>7.4753378518186447E-2</v>
      </c>
      <c r="T33" s="485">
        <f>IFERROR((S33*1000)/(E31+E38+E40),0)+1.0376</f>
        <v>1.3503756423355082</v>
      </c>
      <c r="U33" s="853">
        <f t="shared" ref="U33:U38" si="6">U7</f>
        <v>0.59018803418803423</v>
      </c>
      <c r="V33" s="853">
        <f>IFERROR(AB33/S33/X33,0)</f>
        <v>0.42342871317737096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2.9946011838699049E-3</v>
      </c>
      <c r="AC33" s="432">
        <f>IF(((D31+I31+D38+I38+D40+I40)*$B$2)&lt;=0,0,((D31+I31+D38+I38+D40+I40)*T33*$B$2))</f>
        <v>5.0739781398479239E-3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R34*DwellingStocks!$I$28/1000</f>
        <v>6.3155349662338423E-3</v>
      </c>
      <c r="T34" s="436">
        <f>IFERROR((S34*1000)/E32,0)</f>
        <v>1.5788837415584607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4.484320340634475E-5</v>
      </c>
      <c r="AC34" s="439">
        <f>IF(((D32+I32)*$B$2)&lt;=0,0,((D32+I32)*T34*$B$2))</f>
        <v>4.9825781562605275E-5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R35*DwellingStocks!$I$28/1000</f>
        <v>4.7366512246753822E-3</v>
      </c>
      <c r="T35" s="429">
        <f>IFERROR((S35*1000)/E33,0)</f>
        <v>1.5788837415584609</v>
      </c>
      <c r="U35" s="856">
        <f t="shared" si="6"/>
        <v>0.9</v>
      </c>
      <c r="V35" s="853">
        <f t="shared" si="10"/>
        <v>9.042237442922374E-2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4.0520535498705998E-5</v>
      </c>
      <c r="AC35" s="432">
        <f>IF(((D33+I33)*$B$2)&lt;=0,0,((D33+I33)*T35*$B$2))</f>
        <v>4.5022817220784442E-5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(R36)*DwellingStocks!$I$28/1000</f>
        <v>2.736751366785751</v>
      </c>
      <c r="T36" s="436">
        <f>IFERROR((S36*1000)/(E34+E35),0)+0.5284</f>
        <v>1.9500890217068836</v>
      </c>
      <c r="U36" s="855">
        <f t="shared" si="6"/>
        <v>0.80677902621722841</v>
      </c>
      <c r="V36" s="855">
        <f t="shared" si="10"/>
        <v>0.12792665468435152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3.3122586919048298E-2</v>
      </c>
      <c r="AC36" s="439">
        <f>IF(((D34+I34+D35+I35)*$B$2)&lt;=0,0,((D34+I34+D35+I35)*T36*$B$2))</f>
        <v>4.1055339619265108E-2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R37*DwellingStocks!$I$28/1000</f>
        <v>68.770090313236921</v>
      </c>
      <c r="T37" s="429">
        <f>IFERROR((S37*1000)/E49,0)-0.67619</f>
        <v>1.1444731979571356</v>
      </c>
      <c r="U37" s="853">
        <f t="shared" si="6"/>
        <v>1</v>
      </c>
      <c r="V37" s="853">
        <f t="shared" si="10"/>
        <v>5.3377456313566309E-2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0.34728444386398838</v>
      </c>
      <c r="AC37" s="432">
        <f>IF(((D49+I49)*$B$2)&lt;=0,0,((D49+I49)*T37*$B$2))</f>
        <v>0.34728444386398838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R38*DwellingStocks!$I$28/1000</f>
        <v>32.202195528498059</v>
      </c>
      <c r="T38" s="436">
        <f>IFERROR((S38*1000)/E36,0)+0.392</f>
        <v>1.6042951296351338</v>
      </c>
      <c r="U38" s="855">
        <f t="shared" si="6"/>
        <v>3.0701960784313722</v>
      </c>
      <c r="V38" s="855">
        <f t="shared" si="10"/>
        <v>1.4717633763921263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1.4946175630079022</v>
      </c>
      <c r="AC38" s="439">
        <f>IF(((D49+I49)*$B$2)&lt;=0,0,((D49+I49)*T38*$B$2))</f>
        <v>0.4868150192451336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0.21072257405249342</v>
      </c>
      <c r="AB39" s="438"/>
      <c r="AC39" s="439">
        <f>RSD_Balance!I22</f>
        <v>0.31494966010108993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R40*DwellingStocks!$I$28/1000</f>
        <v>5.706631684657216</v>
      </c>
      <c r="T40" s="485">
        <f>IFERROR((S40*1000)/E37,0)-0.1727</f>
        <v>1.3266777416335302</v>
      </c>
      <c r="U40" s="853">
        <f>U14</f>
        <v>0.81016216216216219</v>
      </c>
      <c r="V40" s="853">
        <f t="shared" si="10"/>
        <v>0.11252568167857148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6.075182903123727E-2</v>
      </c>
      <c r="AC40" s="432">
        <f>IF(((D37+I37)*$B$2)&lt;=0,0,((D37+I37)*T40*$B$2))</f>
        <v>7.4987245601673969E-2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R42*DwellingStocks!$I$28/1000</f>
        <v>85.744985195480268</v>
      </c>
      <c r="T42" s="485">
        <f>IFERROR((S42*1000)/E39,0)-0.66693</f>
        <v>0.90640134911613557</v>
      </c>
      <c r="U42" s="853">
        <f>U16</f>
        <v>0.81026881720430111</v>
      </c>
      <c r="V42" s="853">
        <f>AB42/S42/X42</f>
        <v>0.18193649115344726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0.49196606992746078</v>
      </c>
      <c r="AC42" s="432">
        <f>IF(((D39+I39)*$B$2)&lt;=0,0,((D39+I39)*T42*$B$2))</f>
        <v>0.60716401702944534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R44*DwellingStocks!$I$28/1000</f>
        <v>2.0525488640259989E-2</v>
      </c>
      <c r="T44" s="429">
        <f>(S44*1000)/(E42+E41)</f>
        <v>1.5788837415584607</v>
      </c>
      <c r="U44" s="853">
        <f>U18</f>
        <v>0.52500000000000002</v>
      </c>
      <c r="V44" s="853">
        <f>AB44/S44/X44</f>
        <v>9.0627195293291177E-2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1.7598672376439533E-4</v>
      </c>
      <c r="AC44" s="432">
        <f>IF(((D41+I41+D42+I42)*$B$2)&lt;=0,0,((D41+I41+D42+I42)*T44*$B$2))</f>
        <v>3.3521280717027679E-4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R46*DwellingStocks!$I$28/1000</f>
        <v>0.61576465920779966</v>
      </c>
      <c r="T46" s="436">
        <f>(S46*1000)/E43-0.19617</f>
        <v>1.3827137415584607</v>
      </c>
      <c r="U46" s="854">
        <f>U20</f>
        <v>0.58177777777777773</v>
      </c>
      <c r="V46" s="855">
        <f>SUM(AB46:AB48)/S46/X46</f>
        <v>8.6738193212473141E-2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9.802903391632051E-4</v>
      </c>
      <c r="AC46" s="439">
        <f>IF(((D43+I43)*$B$2)&lt;=0,0,((D43+I43)*T46*$B$2))*Y46</f>
        <v>1.6849910337029881E-3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3.7594639811207452E-3</v>
      </c>
      <c r="AC47" s="432">
        <f>IF(((D43+I43)*$B$2)&lt;=0,0,((D43+I43)*T46*$B$2))*Y47</f>
        <v>6.4620274694588828E-3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3.132886650933954E-4</v>
      </c>
      <c r="AC48" s="439">
        <f>IF(((D43+I43)*$B$2)&lt;=0,0,((D43+I43)*T46*$B$2))*Y48</f>
        <v>5.3850228912157353E-4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R49*DwellingStocks!$I$28/1000</f>
        <v>0.27946242225584755</v>
      </c>
      <c r="T49" s="429">
        <f>(S49*1000)/(E47+E44+E45+E46)+0.1866</f>
        <v>1.765483741558461</v>
      </c>
      <c r="U49" s="853">
        <f>U23</f>
        <v>0.6880451127819549</v>
      </c>
      <c r="V49" s="853">
        <f>AB49/S49/X49</f>
        <v>9.9394310243560213E-2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2.6279240223338282E-3</v>
      </c>
      <c r="AC49" s="432">
        <f>IF(((D44+I44+D45+I45+D46+I46+D47+I47)*$B$2)&lt;=0,0,((D44+I44+D45+I45+D46+I46+D47+I47)*T49*$B$2))</f>
        <v>3.8194065672647703E-3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R50*DwellingStocks!$I$28/1000</f>
        <v>13.539473926528739</v>
      </c>
      <c r="T50" s="436">
        <f>(S50*1000)/E48</f>
        <v>1.5443679624191557</v>
      </c>
      <c r="U50" s="855">
        <f>U24</f>
        <v>0.39838442187649958</v>
      </c>
      <c r="V50" s="855">
        <f>AB50/S50/X50</f>
        <v>3.2373195740855918E-3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4.1468203879370868E-3</v>
      </c>
      <c r="AC50" s="439">
        <f>IF(((D48+I48)*$B$2)&lt;=0,0,((D48+I48)*T50*$B$2))</f>
        <v>1.0409092726077061E-2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R51*DwellingStocks!$I$28/1000</f>
        <v>2.1181988499999997</v>
      </c>
      <c r="T51" s="429">
        <f>MAX(T33:T50)</f>
        <v>1.9500890217068836</v>
      </c>
      <c r="U51" s="853">
        <v>1</v>
      </c>
      <c r="V51" s="853">
        <f>AB51/S51/X51</f>
        <v>0.1397656556271597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211.81988499999994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2.4708350674698245</v>
      </c>
      <c r="AC54" s="420">
        <f>SUM(AC31:AC52)</f>
        <v>1.9286826207700236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DwellingStocks!I28/1000</f>
        <v>211.81988499999997</v>
      </c>
      <c r="T59" s="329">
        <f>(S59*1000)/SUM(G54:G62)-0.1837</f>
        <v>1.3876991038376223</v>
      </c>
      <c r="U59" s="853">
        <v>0.4</v>
      </c>
      <c r="V59" s="853">
        <f t="shared" ref="V59" si="14">AB59/S59/X59</f>
        <v>0.21098594733224113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32">
        <f>AC59*U59</f>
        <v>0.1374141578895498</v>
      </c>
      <c r="AC59" s="432">
        <f>((D54+D55+D56+D57+D58+D59+D60+D61+D62)*T59*$B$2)</f>
        <v>0.34353539472387451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DwellingStocks!I28/1000</f>
        <v>211.81988499999997</v>
      </c>
      <c r="T60" s="433">
        <f>(S60*1000)/SUM(G54:G62)-0.1837</f>
        <v>1.3876991038376223</v>
      </c>
      <c r="U60" s="860">
        <v>0.6</v>
      </c>
      <c r="V60" s="860">
        <f>AB60/S60/X60</f>
        <v>0.12716586319930656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4.2473092432448331E-2</v>
      </c>
      <c r="AC60" s="439">
        <f>(F54+F55+F56+F57+F58+F59+F60+F61+F62)*T60*$B$2</f>
        <v>7.078848738741389E-2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60" t="s">
        <v>637</v>
      </c>
      <c r="C4" s="1261"/>
      <c r="D4" s="1261"/>
      <c r="E4" s="1261"/>
      <c r="F4" s="1261"/>
      <c r="G4" s="1262"/>
      <c r="H4" s="1260" t="s">
        <v>638</v>
      </c>
      <c r="I4" s="1261"/>
      <c r="J4" s="126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R7*DwellingStocks!$J$28/1000</f>
        <v>13.054805682915012</v>
      </c>
      <c r="T7" s="485">
        <f>(S7*1000)/(E7+E14+E16)*DwellingStocks!$AA$27+1.0376</f>
        <v>2.4016554957912319</v>
      </c>
      <c r="U7" s="853">
        <f>(G7+G14+G16)/300</f>
        <v>0.55798087905732663</v>
      </c>
      <c r="V7" s="853">
        <f>AB7/S7/X7</f>
        <v>0.30984484845142629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2.5512398759705786</v>
      </c>
      <c r="AC7" s="432">
        <f>IF(((D7+I7+D14+I14+D16+I16)*$B$2)&lt;=0,0,((D7+I7+D14+I14+D16+I16)*T7*$B$2))</f>
        <v>4.5722711507260554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R8*DwellingStocks!$J$28/1000</f>
        <v>1.8991570676338393E-3</v>
      </c>
      <c r="T8" s="436">
        <f>(S8*1000)/E8*DwellingStocks!$AA$27</f>
        <v>1.3640554957912319</v>
      </c>
      <c r="U8" s="855">
        <f>(G8)/100</f>
        <v>1</v>
      </c>
      <c r="V8" s="855">
        <f>AB8/S8/X8</f>
        <v>2.5314771738512397E-2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3.0322953671439083E-5</v>
      </c>
      <c r="AC8" s="439">
        <f>IF(((D8+I8)*$B$2)&lt;=0,0,((D8+I8)*T8*$B$2))</f>
        <v>3.0322953671439083E-5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R9*DwellingStocks!$J$28/1000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(R10)*DwellingStocks!$J$28/1000</f>
        <v>8.7987946943475777</v>
      </c>
      <c r="T10" s="436">
        <f>(S10*1000)/(E10+E11)*DwellingStocks!$AA$27+0.5284</f>
        <v>1.8924554957912318</v>
      </c>
      <c r="U10" s="855">
        <f>(G10+G11)/200</f>
        <v>0.8070757743362833</v>
      </c>
      <c r="V10" s="855">
        <f t="shared" ref="V10:V12" si="2">AB10/S10/X10</f>
        <v>4.8109166237074036E-2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0.26698546420801728</v>
      </c>
      <c r="AC10" s="439">
        <f>IF(((D10+I10+D11+I11)*T10*$B$2)&lt;=0,0,((D10+I10+D11+I11)*T10*$B$2))</f>
        <v>0.33080594499020705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(R11)*DwellingStocks!$J$28/1000</f>
        <v>42.892272456803504</v>
      </c>
      <c r="T11" s="429">
        <f>(S11*1000)/(E25)*DwellingStocks!$AA$27-0.67619</f>
        <v>1.7409976788462451</v>
      </c>
      <c r="U11" s="853">
        <f>(G25)/100</f>
        <v>1</v>
      </c>
      <c r="V11" s="853">
        <f t="shared" si="2"/>
        <v>3.5156391297092457E-2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0.95108634890127908</v>
      </c>
      <c r="AC11" s="432">
        <f>IF(((D25+I25)*T11*$B$2)&lt;=0,0,((D25+I25)*T11*$B$2))</f>
        <v>0.95108634890127908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R12*DwellingStocks!$J$28/1000</f>
        <v>23.095839015201879</v>
      </c>
      <c r="T12" s="436">
        <f>(S12*1000)/E12*DwellingStocks!$AA$27+0.392</f>
        <v>1.1459846047846347</v>
      </c>
      <c r="U12" s="855">
        <f>G12/100</f>
        <v>3.1157627118644071</v>
      </c>
      <c r="V12" s="855">
        <f t="shared" si="2"/>
        <v>0.11404303534564036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0.58144301626056649</v>
      </c>
      <c r="AC12" s="439">
        <f>IF(((D12+I12)*T12*$B$2)&lt;=0,0,((D12+I12)*T12*$B$2))</f>
        <v>0.18661338170795527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0.17937902446518994</v>
      </c>
      <c r="AC13" s="843">
        <f>RSD_Balance!G22</f>
        <v>0.10429868103891798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R14*DwellingStocks!$J$28/1000</f>
        <v>236.09750917703602</v>
      </c>
      <c r="T14" s="429">
        <f>(S14*1000)/E13*DwellingStocks!$AA$27+0.16818</f>
        <v>1.5322354957912319</v>
      </c>
      <c r="U14" s="853">
        <f>G13/100</f>
        <v>0.81941558441558437</v>
      </c>
      <c r="V14" s="853">
        <f>AB14/S14/X14</f>
        <v>4.3705701165065197E-2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6.5082780657728714</v>
      </c>
      <c r="AC14" s="432">
        <f>IF(((D13+I13)*$B$2)&lt;=0,0,((D13+I13)*T14*$B$2))</f>
        <v>7.9425851662494829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R16*DwellingStocks!$J$28/1000</f>
        <v>428.02062496090895</v>
      </c>
      <c r="T16" s="429">
        <f>(S16*1000)/E15*DwellingStocks!$AA$27</f>
        <v>1.3640554957912319</v>
      </c>
      <c r="U16" s="853">
        <f>G15/100</f>
        <v>0.81729411764705884</v>
      </c>
      <c r="V16" s="853">
        <f>AB16/S16/X16</f>
        <v>3.596455768453613E-2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9.7090340198127603</v>
      </c>
      <c r="AC16" s="432">
        <f>IF(((D15+I15)*$B$2)&lt;=0,0,((D15+I15)*T16*$B$2))</f>
        <v>11.879485989406717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R18*DwellingStocks!$J$28/1000</f>
        <v>1.1755782248653466</v>
      </c>
      <c r="T18" s="429">
        <f>(S18*1000)/(E17+E18)*DwellingStocks!$AA$27</f>
        <v>1.3640554957912319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5.3962826596852108E-2</v>
      </c>
      <c r="AC18" s="432">
        <f>IF(((D17+I17)+D18+I18*$B$2)&lt;=0,0,((D17+I17+D18+I18)*T18*$B$2))</f>
        <v>9.7948699157704683E-2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R20*DwellingStocks!$J$28/1000</f>
        <v>32.078662029403176</v>
      </c>
      <c r="T20" s="436">
        <f>(S20*1000)/E19*DwellingStocks!$AA$27-0.19617</f>
        <v>1.1678854957912315</v>
      </c>
      <c r="U20" s="854">
        <f>G19/100</f>
        <v>0.57113772455089817</v>
      </c>
      <c r="V20" s="855">
        <f>SUM(AB20:AB22)/S20/X20</f>
        <v>7.2438724233275839E-2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0.28433175885844253</v>
      </c>
      <c r="AC20" s="439">
        <f>IF(((D19+I19)*$B$2)&lt;=0,0,((D19+I19)*T20*$B$2))*Y20</f>
        <v>0.49783396654812234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1.0904269514983569</v>
      </c>
      <c r="AC21" s="432">
        <f>IF(((D19+I19)*$B$2)&lt;=0,0,((D19+I19)*T20*$B$2))*Y21</f>
        <v>1.9092189232567165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9.0868912624863074E-2</v>
      </c>
      <c r="AC22" s="439">
        <f>IF(((D19+I19)*$B$2)&lt;=0,0,((D19+I19)*T20*$B$2))*Y22</f>
        <v>0.15910157693805971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R23*DwellingStocks!$J$28/1000</f>
        <v>0.91729286366714435</v>
      </c>
      <c r="T23" s="429">
        <f>(S23*1000)/(E20+E21+E22+E23)*DwellingStocks!$AA$27+0.1866</f>
        <v>1.550655495791232</v>
      </c>
      <c r="U23" s="853">
        <f>(G21+G22+G23)/300</f>
        <v>0.70400656814449913</v>
      </c>
      <c r="V23" s="853">
        <f>AB23/S23/X23</f>
        <v>0.11656908094434706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6.7441619376900616E-2</v>
      </c>
      <c r="AC23" s="432">
        <f>IF(((D20+I20+D21+I21+D22+I22+D23+I23)*$B$2)&lt;=0,0,((D20+I20+D21+I21+D22+I22+D23+I23)*T23*$B$2))</f>
        <v>9.5796861035901668E-2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R24*DwellingStocks!$J$28/1000</f>
        <v>1.9314427377836147</v>
      </c>
      <c r="T24" s="436">
        <f>(S24*1000)/E24*DwellingStocks!$AA$27</f>
        <v>1.3640554957912319</v>
      </c>
      <c r="U24" s="855">
        <f>G24/100</f>
        <v>0.60949973059968388</v>
      </c>
      <c r="V24" s="855">
        <f>AB24/S24/X24</f>
        <v>2.348123327696117E-2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2.8604828130194083E-2</v>
      </c>
      <c r="AC24" s="439">
        <f>IF(((D24+I24)*$B$2)&lt;=0,0,((D24+I24)*T24*$B$2))</f>
        <v>4.6931650161764517E-2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788.06472099999985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22.183734010965356</v>
      </c>
      <c r="AC27" s="420">
        <f>SUM(AC6:AC25)</f>
        <v>28.77400866307255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60" t="s">
        <v>637</v>
      </c>
      <c r="C28" s="1261"/>
      <c r="D28" s="1261"/>
      <c r="E28" s="1261"/>
      <c r="F28" s="1261"/>
      <c r="G28" s="1262"/>
      <c r="H28" s="1260" t="s">
        <v>638</v>
      </c>
      <c r="I28" s="1261"/>
      <c r="J28" s="1262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R33*DwellingStocks!$J$28/1000</f>
        <v>11.037537565348812</v>
      </c>
      <c r="T33" s="485">
        <f>IFERROR((S33*1000)/(E31+E38+E40),0)+1.0376</f>
        <v>2.7714261962533477</v>
      </c>
      <c r="U33" s="853">
        <f>U7</f>
        <v>0.55798087905732663</v>
      </c>
      <c r="V33" s="853">
        <f>IFERROR(AB33/S33/X33,0)</f>
        <v>0.1008177352074696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0.17546307780504811</v>
      </c>
      <c r="AC33" s="432">
        <f>IF(((D31+I31+D38+I38+D40+I40)*$B$2)&lt;=0,0,((D31+I31+D38+I38+D40+I40)*T33*$B$2))</f>
        <v>0.31446073582571837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R34*DwellingStocks!$J$28/1000</f>
        <v>5.7320189960577399E-3</v>
      </c>
      <c r="T34" s="436">
        <f>IFERROR((S34*1000)/E32,0)</f>
        <v>1.9106729986859134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8.0367491939926361E-5</v>
      </c>
      <c r="AC34" s="439">
        <f>IF(((D32+I32)*$B$2)&lt;=0,0,((D32+I32)*T34*$B$2))</f>
        <v>8.0367491939926361E-5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R35*DwellingStocks!$J$28/1000</f>
        <v>1.9106729986859135E-3</v>
      </c>
      <c r="T35" s="429">
        <f>IFERROR((S35*1000)/E33,0)</f>
        <v>1.9106729986859134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2.0249388866993258E-5</v>
      </c>
      <c r="AC35" s="432">
        <f>IF(((D33+I33)*$B$2)&lt;=0,0,((D33+I33)*T35*$B$2))</f>
        <v>2.2499320963325842E-5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(R36)*DwellingStocks!$J$28/1000</f>
        <v>7.8352496195512211</v>
      </c>
      <c r="T36" s="436">
        <f>IFERROR((S36*1000)/(E34+E35),0)+0.5284</f>
        <v>2.1990289167486612</v>
      </c>
      <c r="U36" s="855">
        <f>U10</f>
        <v>0.8070757743362833</v>
      </c>
      <c r="V36" s="855">
        <f t="shared" ref="V36:V42" si="7">AB36/S36/X36</f>
        <v>9.7363964734111214E-2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0.12028949417762397</v>
      </c>
      <c r="AC36" s="439">
        <f>IF(((D34+I34+D35+I35)*$B$2)&lt;=0,0,((D34+I34+D35+I35)*T36*$B$2))</f>
        <v>0.14904361895454823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R37*DwellingStocks!$J$28/1000</f>
        <v>41.646519004297147</v>
      </c>
      <c r="T37" s="429">
        <f>IFERROR((S37*1000)/E49,0)-0.67619</f>
        <v>2.5914850886070728</v>
      </c>
      <c r="U37" s="853">
        <f>U11</f>
        <v>1</v>
      </c>
      <c r="V37" s="853">
        <f t="shared" si="7"/>
        <v>6.207793636382708E-2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0.40765482754465288</v>
      </c>
      <c r="AC37" s="432">
        <f>IF(((D49+I49)*$B$2)&lt;=0,0,((D49+I49)*T37*$B$2))</f>
        <v>0.40765482754465288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R38*DwellingStocks!$J$28/1000</f>
        <v>21.905445581874286</v>
      </c>
      <c r="T38" s="436">
        <f>IFERROR((S38*1000)/E36,0)+0.392</f>
        <v>1.4017001881481579</v>
      </c>
      <c r="U38" s="855">
        <f>U12</f>
        <v>3.1157627118644071</v>
      </c>
      <c r="V38" s="855">
        <f t="shared" si="7"/>
        <v>0.66299984214582264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0.68701051257380508</v>
      </c>
      <c r="AC38" s="439">
        <f>IF(((D49+I49)*$B$2)&lt;=0,0,((D49+I49)*T38*$B$2))</f>
        <v>0.22049513268701787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0.2087151761846755</v>
      </c>
      <c r="AB39" s="438"/>
      <c r="AC39" s="439">
        <f>RSD_Balance!J22</f>
        <v>0.14338952017256595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R40*DwellingStocks!$J$28/1000</f>
        <v>234.98751974132475</v>
      </c>
      <c r="T40" s="485">
        <f>IFERROR((S40*1000)/E37,0)-0.1727</f>
        <v>1.7288627609028024</v>
      </c>
      <c r="U40" s="853">
        <f>U14</f>
        <v>0.81941558441558437</v>
      </c>
      <c r="V40" s="853">
        <f t="shared" si="7"/>
        <v>6.990312058817566E-2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2.5901085913153308</v>
      </c>
      <c r="AC40" s="432">
        <f>IF(((D37+I37)*$B$2)&lt;=0,0,((D37+I37)*T40*$B$2))</f>
        <v>3.1609218088799507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R42*DwellingStocks!$J$28/1000</f>
        <v>427.92727914862832</v>
      </c>
      <c r="T42" s="485">
        <f>IFERROR((S42*1000)/E39,0)-0.66693</f>
        <v>1.2387295198909327</v>
      </c>
      <c r="U42" s="853">
        <f>U16</f>
        <v>0.81729411764705884</v>
      </c>
      <c r="V42" s="853">
        <f t="shared" si="7"/>
        <v>0.16602258958168525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3.3607408276255168</v>
      </c>
      <c r="AC42" s="432">
        <f>IF(((D39+I39)*$B$2)&lt;=0,0,((D39+I39)*T42*$B$2))</f>
        <v>4.1120335446691945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R44*DwellingStocks!$J$28/1000</f>
        <v>1.2228307191589847</v>
      </c>
      <c r="T44" s="429">
        <f>(S44*1000)/(E42+E41)</f>
        <v>1.9106729986859137</v>
      </c>
      <c r="U44" s="853">
        <f>U18</f>
        <v>0.5509294871794872</v>
      </c>
      <c r="V44" s="853">
        <f>AB44/S44/X44</f>
        <v>6.8944308925102088E-2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1.3293562270601947E-2</v>
      </c>
      <c r="AC44" s="432">
        <f>IF(((D41+I41+D42+I42)*$B$2)&lt;=0,0,((D41+I41+D42+I42)*T44*$B$2))</f>
        <v>2.4129335205234786E-2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R46*DwellingStocks!$J$28/1000</f>
        <v>30.744218873795319</v>
      </c>
      <c r="T46" s="436">
        <f>(S46*1000)/E43-0.19617</f>
        <v>1.6470085895560742</v>
      </c>
      <c r="U46" s="854">
        <f>U20</f>
        <v>0.57113772455089817</v>
      </c>
      <c r="V46" s="855">
        <f>SUM(AB46:AB48)/S46/X46</f>
        <v>5.7147241043066219E-2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5.3744876943194402E-2</v>
      </c>
      <c r="AC46" s="439">
        <f>IF(((D43+I43)*$B$2)&lt;=0,0,((D43+I43)*T46*$B$2))*Y46</f>
        <v>9.4101430588314799E-2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0.20611437343163214</v>
      </c>
      <c r="AC47" s="432">
        <f>IF(((D43+I43)*$B$2)&lt;=0,0,((D43+I43)*T46*$B$2))*Y47</f>
        <v>0.36088383689539283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1.7176197785969346E-2</v>
      </c>
      <c r="AC48" s="439">
        <f>IF(((D43+I43)*$B$2)&lt;=0,0,((D43+I43)*T46*$B$2))*Y48</f>
        <v>3.0073653074616069E-2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R49*DwellingStocks!$J$28/1000</f>
        <v>0.92667640436266807</v>
      </c>
      <c r="T49" s="429">
        <f>(S49*1000)/(E47+E44+E45+E46)+0.1866</f>
        <v>2.0972729986859138</v>
      </c>
      <c r="U49" s="853">
        <f>U23</f>
        <v>0.70400656814449913</v>
      </c>
      <c r="V49" s="853">
        <f>AB49/S49/X49</f>
        <v>6.6620869969995639E-2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9.7345306255741497E-3</v>
      </c>
      <c r="AC49" s="432">
        <f>IF(((D44+I44+D45+I45+D46+I46+D47+I47)*$B$2)&lt;=0,0,((D44+I44+D45+I45+D46+I46+D47+I47)*T49*$B$2))</f>
        <v>1.3827329269428226E-2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R50*DwellingStocks!$J$28/1000</f>
        <v>1.943154439663574</v>
      </c>
      <c r="T50" s="436">
        <f>(S50*1000)/E48</f>
        <v>1.9106729986859134</v>
      </c>
      <c r="U50" s="855">
        <f>U24</f>
        <v>0.60949973059968388</v>
      </c>
      <c r="V50" s="855">
        <f t="shared" ref="V50" si="12">AB50/S50/X50</f>
        <v>4.8794584261943356E-3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1.4950494328168267E-3</v>
      </c>
      <c r="AC50" s="439">
        <f>IF(((D48+I48)*$B$2)&lt;=0,0,((D48+I48)*T50*$B$2))</f>
        <v>2.4529123767550393E-3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R51*DwellingStocks!$J$28/1000</f>
        <v>7.8806472099999985</v>
      </c>
      <c r="T51" s="429">
        <f>MAX(T33:T50)</f>
        <v>2.7714261962533477</v>
      </c>
      <c r="U51" s="853">
        <v>1</v>
      </c>
      <c r="V51" s="853">
        <f>AB51/S51/X51</f>
        <v>0.21413130493478733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788.06472099999974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7.9090104773535774</v>
      </c>
      <c r="AC54" s="420">
        <f>SUM(AC31:AC52)</f>
        <v>9.2996544918972983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DwellingStocks!J28/1000</f>
        <v>788.06472099999974</v>
      </c>
      <c r="T59" s="329">
        <f>(S59*1000)/SUM(G54:G62)-0.188</f>
        <v>1.7111433373980012</v>
      </c>
      <c r="U59" s="853">
        <v>0.4</v>
      </c>
      <c r="V59" s="853">
        <f>AB59/S59/X59</f>
        <v>0.29847129365993369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0.72322874102399715</v>
      </c>
      <c r="AC59" s="432">
        <f>(D54+D55+D56+D57+D58+D59+D60+D61+D62)*T59*$B$2</f>
        <v>1.8080718525599928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DwellingStocks!J28/1000</f>
        <v>788.06472099999974</v>
      </c>
      <c r="T60" s="433">
        <f>(S60*1000)/SUM(G54:G62)-0.188</f>
        <v>1.7111433373980012</v>
      </c>
      <c r="U60" s="860">
        <v>0.6</v>
      </c>
      <c r="V60" s="860">
        <f>AB60/S60/X60</f>
        <v>0.24175608869574006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0.30041106022645236</v>
      </c>
      <c r="AC60" s="439">
        <f>(F54+F55+F56+F57+F58+F59+F60+F61+F62)*T60*$B$2</f>
        <v>0.50068510037742064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workbookViewId="0"/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60" t="s">
        <v>637</v>
      </c>
      <c r="C4" s="1261"/>
      <c r="D4" s="1261"/>
      <c r="E4" s="1261"/>
      <c r="F4" s="1261"/>
      <c r="G4" s="1262"/>
      <c r="H4" s="1260" t="s">
        <v>638</v>
      </c>
      <c r="I4" s="1261"/>
      <c r="J4" s="1262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823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825</v>
      </c>
      <c r="AB4" s="43" t="s">
        <v>631</v>
      </c>
      <c r="AC4" s="47" t="s">
        <v>630</v>
      </c>
      <c r="AD4" s="47" t="s">
        <v>826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824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828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827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R7*DwellingStocks!$K$28/1000</f>
        <v>4.4183462763581156</v>
      </c>
      <c r="T7" s="429">
        <f>(S7*1000)/(E7+E14+E16)*DwellingStocks!$AB$27+1.0376</f>
        <v>3.0390542124396305</v>
      </c>
      <c r="U7" s="853">
        <f>(G7+G14+G16)/300</f>
        <v>0.61986329460013678</v>
      </c>
      <c r="V7" s="853">
        <f>AB7/S7/X7</f>
        <v>0.46414376338591429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1.9401715435733349</v>
      </c>
      <c r="AC7" s="432">
        <f>IF(((D7+I7+D14+I14+D16+I16)*$B$2)&lt;=0,0,((D7+I7+D14+I14+D16+I16)*T7*$B$2))</f>
        <v>3.1299990828218123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R8*DwellingStocks!$K$28/1000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R9*DwellingStocks!$K$28/1000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(R10)*DwellingStocks!$K$28/1000</f>
        <v>16.221840623418888</v>
      </c>
      <c r="T10" s="436">
        <f>(S10*1000)/(E10+E11)*DwellingStocks!$AB$27+0.5284</f>
        <v>2.529854212439631</v>
      </c>
      <c r="U10" s="855">
        <f>(G10+G11)/200</f>
        <v>0.82661774762699336</v>
      </c>
      <c r="V10" s="855">
        <f t="shared" ref="V10:V12" si="2">AB10/S10/X10</f>
        <v>6.9794671886081558E-2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1.071149925183535</v>
      </c>
      <c r="AC10" s="439">
        <f>IF(((D10+I10+D11+I11)*T10*$B$2)&lt;=0,0,((D10+I10+D11+I11)*T10*$B$2))</f>
        <v>1.2958225591678023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(R11)*DwellingStocks!$K$28/1000</f>
        <v>34.699946476990561</v>
      </c>
      <c r="T11" s="429">
        <f>(S11*1000)/(E25)*DwellingStocks!$AB$27-0.67619</f>
        <v>3.30399990190904</v>
      </c>
      <c r="U11" s="853">
        <f>(G25)/100</f>
        <v>0.99952095808383234</v>
      </c>
      <c r="V11" s="853">
        <f t="shared" si="2"/>
        <v>4.3843217634644882E-2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1.439325719399384</v>
      </c>
      <c r="AC11" s="432">
        <f>IF(((D25+I25)*T11*$B$2)&lt;=0,0,((D25+I25)*T11*$B$2))</f>
        <v>1.4400155472064291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R12*DwellingStocks!$K$28/1000</f>
        <v>14.871405632995954</v>
      </c>
      <c r="T12" s="436">
        <f>(S12*1000)/E12*DwellingStocks!$AB$27+0.392</f>
        <v>1.3185959761540325</v>
      </c>
      <c r="U12" s="855">
        <f>G12/100</f>
        <v>3.0897837837837834</v>
      </c>
      <c r="V12" s="855">
        <f t="shared" si="2"/>
        <v>0.13831906725092244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0.64869519072193782</v>
      </c>
      <c r="AC12" s="439">
        <f>IF(((D12+I12)*T12*$B$2)&lt;=0,0,((D12+I12)*T12*$B$2))</f>
        <v>0.20994840937625045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0.18088724481387947</v>
      </c>
      <c r="AC13" s="843">
        <f>RSD_Balance!H22</f>
        <v>0.11734068577370541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R14*DwellingStocks!$K$28/1000</f>
        <v>511.27607243565188</v>
      </c>
      <c r="T14" s="429">
        <f>(S14*1000)/E13*DwellingStocks!$AB$27+0.16818</f>
        <v>2.1696342124396311</v>
      </c>
      <c r="U14" s="853">
        <f>G13/100</f>
        <v>0.82280373831775711</v>
      </c>
      <c r="V14" s="853">
        <f>AB14/S14/X14</f>
        <v>4.815735405140293E-2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23.294100621253584</v>
      </c>
      <c r="AC14" s="432">
        <f>IF(((D13+I13)*$B$2)&lt;=0,0,((D13+I13)*T14*$B$2))</f>
        <v>28.310640237098287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R16*DwellingStocks!$K$28/1000</f>
        <v>115.37839545867831</v>
      </c>
      <c r="T16" s="429">
        <f>(S16*1000)/E15*DwellingStocks!$AB$27</f>
        <v>2.0014542124396311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4.3304845825945018</v>
      </c>
      <c r="AC16" s="432">
        <f>IF(((D15+I15)*$B$2)&lt;=0,0,((D15+I15)*T16*$B$2))</f>
        <v>5.2345577020498419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R18*DwellingStocks!$K$28/1000</f>
        <v>2.1357648771611957</v>
      </c>
      <c r="T18" s="429">
        <f>(S18*1000)/(E17+E18)*DwellingStocks!$AB$27+0.16</f>
        <v>2.1614542124396308</v>
      </c>
      <c r="U18" s="853">
        <f>(G17+G18)/200</f>
        <v>0.5457894736842106</v>
      </c>
      <c r="V18" s="853">
        <f>AB18/S18/X18</f>
        <v>0.10153946704487185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0.20517109743684719</v>
      </c>
      <c r="AC18" s="432">
        <f>IF(((D17+I17)+D18+I18*$B$2)&lt;=0,0,((D17+I17+D18+I18)*T18*$B$2))</f>
        <v>0.37591618623916068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R20*DwellingStocks!$K$28/1000</f>
        <v>32.230381771427382</v>
      </c>
      <c r="T20" s="436">
        <f>(S20*1000)/E19*DwellingStocks!$AB$27-0.19617</f>
        <v>1.8052842124396307</v>
      </c>
      <c r="U20" s="854">
        <f>G19/100</f>
        <v>0.61474226804123711</v>
      </c>
      <c r="V20" s="855">
        <f>SUM(AB20:AB22)/S20/X20</f>
        <v>0.13495608652757685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0.79833931567642635</v>
      </c>
      <c r="AC20" s="439">
        <f>IF(((D19+I19)*$B$2)&lt;=0,0,((D19+I19)*T20*$B$2))*Y20</f>
        <v>1.2986569448367158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3.0616724271302127</v>
      </c>
      <c r="AC21" s="432">
        <f>IF(((D19+I19)*$B$2)&lt;=0,0,((D19+I19)*T20*$B$2))*Y21</f>
        <v>4.9804163245284361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0.25513936892751771</v>
      </c>
      <c r="AC22" s="439">
        <f>IF(((D19+I19)*$B$2)&lt;=0,0,((D19+I19)*T20*$B$2))*Y22</f>
        <v>0.41503469371070295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R23*DwellingStocks!$K$28/1000</f>
        <v>3.6482520664348832</v>
      </c>
      <c r="T23" s="429">
        <f>(S23*1000)/(E20+E21+E22+E23)*DwellingStocks!$AB$27+0.1866</f>
        <v>2.1880542124396309</v>
      </c>
      <c r="U23" s="853">
        <f>(G21+G22+G23)/300</f>
        <v>0.72928609692169366</v>
      </c>
      <c r="V23" s="853">
        <f>AB23/S23/X23</f>
        <v>9.4687203541950787E-2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0.32681651096645076</v>
      </c>
      <c r="AC23" s="432">
        <f>IF(((D20+I20+D21+I21+D22+I22+D23+I23)*$B$2)&lt;=0,0,((D20+I20+D21+I21+D22+I22+D23+I23)*T23*$B$2))</f>
        <v>0.44813210116844215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R24*DwellingStocks!$K$28/1000</f>
        <v>0.52632338088278496</v>
      </c>
      <c r="T24" s="436">
        <f>(S24*1000)/E24*DwellingStocks!$AB$27</f>
        <v>2.0014542124396306</v>
      </c>
      <c r="U24" s="855">
        <f>G24/100</f>
        <v>0.65865731206453049</v>
      </c>
      <c r="V24" s="855">
        <f>AB24/S24/X24</f>
        <v>0.20349399476137303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0.10132861864907848</v>
      </c>
      <c r="AC24" s="439">
        <f>IF(((D24+I24)*$B$2)&lt;=0,0,((D24+I24)*T24*$B$2))</f>
        <v>0.15384118082811329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735.40672899999993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37.472394921512809</v>
      </c>
      <c r="AC27" s="420">
        <f>SUM(AC6:AC25)</f>
        <v>47.410321654805692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60" t="s">
        <v>637</v>
      </c>
      <c r="C28" s="1261"/>
      <c r="D28" s="1261"/>
      <c r="E28" s="1261"/>
      <c r="F28" s="1261"/>
      <c r="G28" s="1262"/>
      <c r="H28" s="1260" t="s">
        <v>638</v>
      </c>
      <c r="I28" s="1261"/>
      <c r="J28" s="1262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823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825</v>
      </c>
      <c r="AB30" s="43" t="s">
        <v>631</v>
      </c>
      <c r="AC30" s="47" t="s">
        <v>630</v>
      </c>
      <c r="AD30" s="47" t="s">
        <v>826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824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827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R33*DwellingStocks!$K$28/1000</f>
        <v>3.1439081877668702</v>
      </c>
      <c r="T33" s="485">
        <f>IFERROR((S33*1000)/(E31+E38+E40),0)+1.0376</f>
        <v>3.1349370165222616</v>
      </c>
      <c r="U33" s="853">
        <f>U7</f>
        <v>0.61986329460013678</v>
      </c>
      <c r="V33" s="853">
        <f>IFERROR(AB33/S33/X33,0)</f>
        <v>7.0651721487066416E-2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5.6038847754470135E-2</v>
      </c>
      <c r="AC33" s="432">
        <f>IF(((D31+I31+D38+I38+D40+I40)*$B$2)&lt;=0,0,((D31+I31+D38+I38+D40+I40)*T33*$B$2))</f>
        <v>9.0405171983315838E-2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R34*DwellingStocks!$K$28/1000</f>
        <v>5.5963832277457527E-3</v>
      </c>
      <c r="T34" s="436">
        <f>IFERROR((S34*1000)/E32,0)</f>
        <v>2.7981916138728762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5.9764000344426004E-5</v>
      </c>
      <c r="AC34" s="439">
        <f>IF(((D32+I32)*$B$2)&lt;=0,0,((D32+I32)*T34*$B$2))</f>
        <v>6.6404444827140003E-5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R35*DwellingStocks!$K$28/1000</f>
        <v>5.5963832277457527E-3</v>
      </c>
      <c r="T35" s="429">
        <f>IFERROR((S35*1000)/E33,0)</f>
        <v>2.7981916138728762</v>
      </c>
      <c r="U35" s="856">
        <v>0.9</v>
      </c>
      <c r="V35" s="853">
        <f>IFERROR(AB35/S35/X35,0)</f>
        <v>4.7947345890410956E-2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6.7696873569755606E-5</v>
      </c>
      <c r="AC35" s="432">
        <f>IF(((D33+I33)*$B$2)&lt;=0,0,((D33+I33)*T35*$B$2))</f>
        <v>7.5218748410839565E-5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(R36)*DwellingStocks!$K$28/1000</f>
        <v>15.276867025519659</v>
      </c>
      <c r="T36" s="436">
        <f>IFERROR((S36*1000)/(E34+E35),0)+0.5284</f>
        <v>3.1465434491036262</v>
      </c>
      <c r="U36" s="855">
        <f>U10</f>
        <v>0.82661774762699336</v>
      </c>
      <c r="V36" s="855">
        <f t="shared" ref="V36:V44" si="6">AB36/S36/X36</f>
        <v>6.7402586104361437E-2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0.25978104066268881</v>
      </c>
      <c r="AC36" s="439">
        <f>IF(((D34+I34+D35+I35)*$B$2)&lt;=0,0,((D34+I34+D35+I35)*T36*$B$2))</f>
        <v>0.31426985618014286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R37*DwellingStocks!$K$28/1000</f>
        <v>33.861896086540526</v>
      </c>
      <c r="T37" s="429">
        <f>IFERROR((S37*1000)/E49,0)-0.67619</f>
        <v>4.6995674355517583</v>
      </c>
      <c r="U37" s="853">
        <f>U11</f>
        <v>0.99952095808383234</v>
      </c>
      <c r="V37" s="853">
        <f t="shared" si="6"/>
        <v>4.473547342435312E-2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0.38217291447467905</v>
      </c>
      <c r="AC37" s="432">
        <f>IF(((D49+I49)*$B$2)&lt;=0,0,((D49+I49)*T37*$B$2))</f>
        <v>0.38235607906345198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R38*DwellingStocks!$K$28/1000</f>
        <v>13.911909156272472</v>
      </c>
      <c r="T38" s="436">
        <f>IFERROR((S38*1000)/E36,0)+0.392</f>
        <v>1.5991070851429479</v>
      </c>
      <c r="U38" s="855">
        <f>U12</f>
        <v>3.0897837837837834</v>
      </c>
      <c r="V38" s="855">
        <f t="shared" si="6"/>
        <v>0.458133885220118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0.40199046375679048</v>
      </c>
      <c r="AC38" s="439">
        <f>IF(((D49+I49)*$B$2)&lt;=0,0,((D49+I49)*T38*$B$2))</f>
        <v>0.13010310490545346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839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0.210663723492236</v>
      </c>
      <c r="AB39" s="438"/>
      <c r="AC39" s="439">
        <f>RSD_Balance!K22</f>
        <v>8.4684807903376222E-2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R40*DwellingStocks!$K$28/1000</f>
        <v>511.4689931471413</v>
      </c>
      <c r="T40" s="485">
        <f>IFERROR((S40*1000)/E37,0)-0.1727</f>
        <v>2.6197557801450162</v>
      </c>
      <c r="U40" s="853">
        <f>U14</f>
        <v>0.82280373831775711</v>
      </c>
      <c r="V40" s="853">
        <f t="shared" si="6"/>
        <v>5.371147507918328E-2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6.9307938931326154</v>
      </c>
      <c r="AC40" s="432">
        <f>IF(((D37+I37)*$B$2)&lt;=0,0,((D37+I37)*T40*$B$2))</f>
        <v>8.4233864898363215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R42*DwellingStocks!$K$28/1000</f>
        <v>115.18629859885071</v>
      </c>
      <c r="T42" s="485">
        <f>IFERROR((S42*1000)/E39,0)-0.66693</f>
        <v>2.1059707847580817</v>
      </c>
      <c r="U42" s="853">
        <f>U16</f>
        <v>0.82728758169934635</v>
      </c>
      <c r="V42" s="853">
        <f t="shared" si="6"/>
        <v>0.17021973538728152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1.2366515225186934</v>
      </c>
      <c r="AC42" s="432">
        <f>IF(((D39+I39)*$B$2)&lt;=0,0,((D39+I39)*T42*$B$2))</f>
        <v>1.4948266478005934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R44*DwellingStocks!$K$28/1000</f>
        <v>2.2161677581873178</v>
      </c>
      <c r="T44" s="429">
        <f>IFERROR((S38*1000)/E36,0)+0.16</f>
        <v>1.3671070851429477</v>
      </c>
      <c r="U44" s="853">
        <f>U18</f>
        <v>0.5457894736842106</v>
      </c>
      <c r="V44" s="853">
        <f t="shared" si="6"/>
        <v>2.3589745043839934E-2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1.3189322066012645E-2</v>
      </c>
      <c r="AC44" s="432">
        <f>IF(((D41+I41+D42+I42)*$B$2)&lt;=0,0,((D41+I41+D42+I42)*T44*$B$2))</f>
        <v>2.4165585270418535E-2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R46*DwellingStocks!$K$28/1000</f>
        <v>28.876078268941832</v>
      </c>
      <c r="T46" s="436">
        <f>(S46*1000)/E43-0.19617</f>
        <v>2.5037905674559919</v>
      </c>
      <c r="U46" s="854">
        <f>U20</f>
        <v>0.61474226804123711</v>
      </c>
      <c r="V46" s="855">
        <f>SUM(AB46:AB48)/S46/X46</f>
        <v>4.3752307505030223E-2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6.1835445904440102E-2</v>
      </c>
      <c r="AC46" s="439">
        <f>IF(((D43+I43)*$B$2)&lt;=0,0,((D43+I43)*T46*$B$2))*Y46</f>
        <v>0.10058759437750613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0.23714212243764654</v>
      </c>
      <c r="AC47" s="432">
        <f>IF(((D43+I43)*$B$2)&lt;=0,0,((D43+I43)*T46*$B$2))*Y47</f>
        <v>0.38575860936528117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1.9761843536470546E-2</v>
      </c>
      <c r="AC48" s="439">
        <f>IF(((D43+I43)*$B$2)&lt;=0,0,((D43+I43)*T46*$B$2))*Y48</f>
        <v>3.2146550780440097E-2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R49*DwellingStocks!$K$28/1000</f>
        <v>3.5676943076879168</v>
      </c>
      <c r="T49" s="429">
        <f>(S49*1000)/(E47+E44+E45+E46)+0.1866</f>
        <v>2.9847916138728761</v>
      </c>
      <c r="U49" s="853">
        <f>U23</f>
        <v>0.72928609692169366</v>
      </c>
      <c r="V49" s="853">
        <f t="shared" ref="V49:V50" si="10">AB49/S49/X49</f>
        <v>5.6573502855343558E-2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5.0921043999611441E-2</v>
      </c>
      <c r="AC49" s="432">
        <f>IF(((D44+I44+D45+I45+D46+I46+D47+I47)*$B$2)&lt;=0,0,((D44+I44+D45+I45+D46+I46+D47+I47)*T49*$B$2))</f>
        <v>6.9823138291746481E-2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R50*DwellingStocks!$K$28/1000</f>
        <v>0.53165640663584646</v>
      </c>
      <c r="T50" s="436">
        <f>(S50*1000)/E48</f>
        <v>2.7981916138728762</v>
      </c>
      <c r="U50" s="855">
        <f>U24</f>
        <v>0.65865731206453049</v>
      </c>
      <c r="V50" s="855">
        <f t="shared" si="10"/>
        <v>5.1032329364559198E-3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6.8449934622365097E-4</v>
      </c>
      <c r="AC50" s="439">
        <f>IF(((D48+I48)*$B$2)&lt;=0,0,((D48+I48)*T50*$B$2))</f>
        <v>1.039234414749181E-3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R51*DwellingStocks!$K$28/1000</f>
        <v>7.3540672899999988</v>
      </c>
      <c r="T51" s="429">
        <f>MAX(T33:T50)</f>
        <v>4.6995674355517583</v>
      </c>
      <c r="U51" s="853">
        <v>1</v>
      </c>
      <c r="V51" s="853">
        <f>AB51/S51/X51</f>
        <v>0.1434149638104541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735.40672899999993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9.9171743594052604</v>
      </c>
      <c r="AC54" s="420">
        <f>SUM(AC31:AC52)</f>
        <v>11.79977843230704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823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825</v>
      </c>
      <c r="AB57" s="43" t="s">
        <v>631</v>
      </c>
      <c r="AC57" s="47" t="s">
        <v>630</v>
      </c>
      <c r="AD57" s="47" t="s">
        <v>826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824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830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DwellingStocks!K28/1000</f>
        <v>735.40672899999993</v>
      </c>
      <c r="T59" s="329">
        <f>(S59*1000)/SUM(G54:G62)-0.188</f>
        <v>2.5819874157692722</v>
      </c>
      <c r="U59" s="853">
        <v>0.4</v>
      </c>
      <c r="V59" s="853">
        <f>AB59/S59/X59</f>
        <v>0.49065561985781003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1.1094700921835092</v>
      </c>
      <c r="AC59" s="432">
        <f>IF(((D54+D55+D56+D57+D58+D59+D60+D61+D62)*$B$2)&lt;=0,0,((D54+D55+D56+D57+D58+D59+D60+D61+D62)*T59*$B$2))</f>
        <v>2.7736752304587728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DwellingStocks!K28/1000</f>
        <v>735.40672899999993</v>
      </c>
      <c r="T60" s="433">
        <f>(S60*1000)/SUM(G54:G62)-0.188</f>
        <v>2.5819874157692722</v>
      </c>
      <c r="U60" s="860">
        <v>0.6</v>
      </c>
      <c r="V60" s="860">
        <f t="shared" ref="V60" si="13">AB60/S60/X60</f>
        <v>0.29872122806778129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0.34639394879768842</v>
      </c>
      <c r="AC60" s="439">
        <f>IF(((F54+F55+F56+F57+F58+F59+F60+F61+F62)*$B$2)&lt;=0,0,((F54+F55+F56+F57+F58+F59+F60+F61+F62)*T60*$B$2))</f>
        <v>0.57732324799614743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abSelected="1" topLeftCell="AJ42" zoomScale="55" zoomScaleNormal="55" workbookViewId="0"/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66" t="s">
        <v>635</v>
      </c>
      <c r="X16" s="1266"/>
      <c r="Y16" s="1266"/>
      <c r="Z16" s="1266" t="s">
        <v>636</v>
      </c>
      <c r="AA16" s="1266"/>
      <c r="AB16" s="1266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66" t="s">
        <v>1109</v>
      </c>
      <c r="I17" s="1266"/>
      <c r="J17" s="1266"/>
      <c r="K17" s="1266"/>
      <c r="L17" s="1266"/>
      <c r="M17" s="460"/>
      <c r="N17" s="1283" t="s">
        <v>1108</v>
      </c>
      <c r="O17" s="1284"/>
      <c r="P17" s="1284"/>
      <c r="Q17" s="1284"/>
      <c r="R17" s="1285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6" t="s">
        <v>286</v>
      </c>
      <c r="O18" s="258" t="s">
        <v>295</v>
      </c>
      <c r="P18" s="258" t="s">
        <v>44</v>
      </c>
      <c r="Q18" s="258" t="s">
        <v>46</v>
      </c>
      <c r="R18" s="1177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6">
        <f>'Fuel-Age_Adj'!AZ59+SUM(Table10[Single/Detached])</f>
        <v>31355.706337556119</v>
      </c>
      <c r="L19" s="1130">
        <f t="shared" ref="L19:L27" si="4">SUM(I19:K19)</f>
        <v>82980.678921539598</v>
      </c>
      <c r="M19" s="460"/>
      <c r="N19" s="1178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6">
        <f t="shared" si="5"/>
        <v>37364.451209178158</v>
      </c>
      <c r="R19" s="1179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7">
        <f>'Fuel-Age_Adj'!BA59</f>
        <v>9433.9012004747347</v>
      </c>
      <c r="L20" s="1131">
        <f t="shared" si="4"/>
        <v>26430.9709418846</v>
      </c>
      <c r="M20" s="460"/>
      <c r="N20" s="1180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7">
        <f t="shared" si="5"/>
        <v>8186.7925913057998</v>
      </c>
      <c r="R20" s="1181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8">
        <f>'Fuel-Age_Adj'!BB59</f>
        <v>20090.949195825138</v>
      </c>
      <c r="L21" s="1132">
        <f t="shared" si="4"/>
        <v>51677.889576076108</v>
      </c>
      <c r="M21" s="460"/>
      <c r="N21" s="1182" t="s">
        <v>52</v>
      </c>
      <c r="O21" s="349">
        <f t="shared" si="6"/>
        <v>13979.419134898935</v>
      </c>
      <c r="P21" s="349">
        <f t="shared" si="5"/>
        <v>14584.48055403824</v>
      </c>
      <c r="Q21" s="1068">
        <f t="shared" si="5"/>
        <v>18974.694526816245</v>
      </c>
      <c r="R21" s="1183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7">
        <f>'Fuel-Age_Adj'!BC59</f>
        <v>53466.210043981671</v>
      </c>
      <c r="L22" s="1131">
        <f t="shared" si="4"/>
        <v>123159.54010496697</v>
      </c>
      <c r="M22" s="460"/>
      <c r="N22" s="1180" t="s">
        <v>54</v>
      </c>
      <c r="O22" s="347">
        <f t="shared" si="6"/>
        <v>21709.86153487581</v>
      </c>
      <c r="P22" s="347">
        <f t="shared" si="5"/>
        <v>49420.927051735707</v>
      </c>
      <c r="Q22" s="1067">
        <f t="shared" si="5"/>
        <v>54549.088898874157</v>
      </c>
      <c r="R22" s="1181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8">
        <f>'Fuel-Age_Adj'!BD59</f>
        <v>251318.93361374349</v>
      </c>
      <c r="L23" s="1132">
        <f t="shared" si="4"/>
        <v>592375.26452582516</v>
      </c>
      <c r="M23" s="460"/>
      <c r="N23" s="1182" t="s">
        <v>56</v>
      </c>
      <c r="O23" s="349">
        <f t="shared" si="6"/>
        <v>71167.091754613168</v>
      </c>
      <c r="P23" s="349">
        <f t="shared" si="5"/>
        <v>293672.95873330871</v>
      </c>
      <c r="Q23" s="1068">
        <f t="shared" si="5"/>
        <v>264765.40185365622</v>
      </c>
      <c r="R23" s="1183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7">
        <f>'Fuel-Age_Adj'!BE59</f>
        <v>166667.79141279124</v>
      </c>
      <c r="L24" s="1131">
        <f t="shared" si="4"/>
        <v>398034.15543850785</v>
      </c>
      <c r="M24" s="460"/>
      <c r="N24" s="1180" t="s">
        <v>58</v>
      </c>
      <c r="O24" s="347">
        <f t="shared" si="6"/>
        <v>47490.854787158918</v>
      </c>
      <c r="P24" s="347">
        <f t="shared" si="5"/>
        <v>175920.34461876052</v>
      </c>
      <c r="Q24" s="1067">
        <f t="shared" si="5"/>
        <v>166984.19754801539</v>
      </c>
      <c r="R24" s="1181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8">
        <f>'Fuel-Age_Adj'!BF59</f>
        <v>81396.697989555512</v>
      </c>
      <c r="L25" s="1132">
        <f t="shared" si="4"/>
        <v>208583.47042416356</v>
      </c>
      <c r="M25" s="390" t="s">
        <v>568</v>
      </c>
      <c r="N25" s="1182" t="s">
        <v>60</v>
      </c>
      <c r="O25" s="349">
        <f t="shared" si="6"/>
        <v>23790.684938210514</v>
      </c>
      <c r="P25" s="349">
        <f t="shared" si="5"/>
        <v>85755.437936808186</v>
      </c>
      <c r="Q25" s="1068">
        <f t="shared" si="5"/>
        <v>74836.881491341002</v>
      </c>
      <c r="R25" s="1183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7">
        <f>'Fuel-Age_Adj'!BG59</f>
        <v>43241.005762967114</v>
      </c>
      <c r="L26" s="1131">
        <f t="shared" si="4"/>
        <v>105695.98501717232</v>
      </c>
      <c r="M26" s="460"/>
      <c r="N26" s="1180" t="s">
        <v>62</v>
      </c>
      <c r="O26" s="347">
        <f t="shared" si="6"/>
        <v>8010.7993972868508</v>
      </c>
      <c r="P26" s="347">
        <f t="shared" si="5"/>
        <v>38588.997221862926</v>
      </c>
      <c r="Q26" s="1067">
        <f t="shared" si="5"/>
        <v>37368.747662299225</v>
      </c>
      <c r="R26" s="1181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9">
        <f>'Fuel-Age_Adj'!BH59</f>
        <v>78435.533443104825</v>
      </c>
      <c r="L27" s="1132">
        <f t="shared" si="4"/>
        <v>146353.38004986354</v>
      </c>
      <c r="M27" s="460"/>
      <c r="N27" s="1182" t="s">
        <v>64</v>
      </c>
      <c r="O27" s="349">
        <f t="shared" si="6"/>
        <v>8658.126308421115</v>
      </c>
      <c r="P27" s="349">
        <f t="shared" si="5"/>
        <v>38905.107366988203</v>
      </c>
      <c r="Q27" s="1068">
        <f t="shared" si="5"/>
        <v>66469.176419880765</v>
      </c>
      <c r="R27" s="1183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22">
        <f>SUM(K19:K27)</f>
        <v>735406.72899999993</v>
      </c>
      <c r="L28" s="1133">
        <f>SUM(I28:K28)</f>
        <v>1735291.3349999997</v>
      </c>
      <c r="M28" s="460"/>
      <c r="N28" s="1184" t="s">
        <v>218</v>
      </c>
      <c r="O28" s="1185">
        <f>SUM(O19:O27)</f>
        <v>211739.48952455298</v>
      </c>
      <c r="P28" s="1185">
        <f>SUM(P19:P27)</f>
        <v>776104.35365928081</v>
      </c>
      <c r="Q28" s="1186">
        <f>SUM(Q19:Q27)</f>
        <v>729499.43220136687</v>
      </c>
      <c r="R28" s="1187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282" t="s">
        <v>1110</v>
      </c>
      <c r="J31" s="1282"/>
      <c r="K31" s="1282"/>
      <c r="L31" s="1282"/>
      <c r="M31" s="1282"/>
      <c r="N31" s="1282"/>
      <c r="O31" s="1282"/>
      <c r="P31" s="1282"/>
      <c r="Q31" s="1282"/>
      <c r="R31" s="1282"/>
      <c r="S31" s="1282"/>
      <c r="T31" s="1282"/>
      <c r="U31" s="1282"/>
      <c r="V31" s="1282"/>
      <c r="W31" s="1282"/>
      <c r="X31" s="1282"/>
      <c r="Y31" s="1282"/>
      <c r="Z31" s="1282"/>
      <c r="AA31" s="1282"/>
      <c r="AB31" s="1282"/>
      <c r="AC31" s="1282"/>
      <c r="AD31" s="1282"/>
      <c r="AE31" s="1282"/>
      <c r="AF31" s="1282"/>
      <c r="AG31" s="1282"/>
      <c r="AH31" s="1282"/>
      <c r="AI31" s="1282"/>
      <c r="AJ31" s="1282"/>
      <c r="AK31" s="1282"/>
      <c r="AL31" s="1282"/>
      <c r="AM31" s="1282"/>
      <c r="AN31" s="1282"/>
      <c r="AO31" s="1282"/>
      <c r="AP31" s="1282"/>
      <c r="AQ31" s="1282"/>
      <c r="AR31" s="1282"/>
      <c r="AS31" s="1282"/>
      <c r="AT31" s="1282"/>
      <c r="AU31" s="1282"/>
      <c r="AV31" s="1282"/>
      <c r="AW31" s="1282"/>
      <c r="AX31" s="1282"/>
      <c r="AY31" s="1282"/>
      <c r="AZ31" s="1282"/>
      <c r="BA31" s="1282"/>
      <c r="BB31" s="1282"/>
      <c r="BC31" s="1282"/>
      <c r="BD31" s="1282"/>
      <c r="BE31" s="1282"/>
      <c r="BF31" s="1282"/>
      <c r="BG31" s="1282"/>
      <c r="BH31" s="1282"/>
      <c r="BI31" s="1282"/>
      <c r="BJ31" s="1282"/>
      <c r="BK31" s="1282"/>
      <c r="BL31" s="1282"/>
      <c r="BM31" s="1282"/>
      <c r="BN31" s="1282"/>
      <c r="BO31" s="1282"/>
      <c r="BP31" s="1282"/>
      <c r="BQ31" s="1282"/>
      <c r="BR31" s="1282"/>
      <c r="BS31" s="1282"/>
      <c r="BT31" s="1282"/>
      <c r="BU31" s="1282"/>
      <c r="BV31" s="1282"/>
      <c r="BW31" s="1282"/>
      <c r="BX31" s="1282"/>
      <c r="BY31" s="1282"/>
      <c r="BZ31" s="1282"/>
      <c r="CA31" s="1282"/>
      <c r="CB31" s="1282"/>
      <c r="CC31" s="1282"/>
      <c r="CD31" s="1282"/>
      <c r="CE31" s="1282"/>
      <c r="CF31" s="1282"/>
      <c r="CG31" s="1282"/>
      <c r="CH31" s="1282"/>
    </row>
    <row r="32" spans="1:102" ht="15.75" thickBot="1">
      <c r="C32" s="297"/>
      <c r="I32" s="257" t="s">
        <v>294</v>
      </c>
      <c r="J32" s="1052" t="s">
        <v>294</v>
      </c>
      <c r="K32" s="1054" t="s">
        <v>294</v>
      </c>
      <c r="L32" s="257" t="s">
        <v>336</v>
      </c>
      <c r="M32" s="1052" t="s">
        <v>336</v>
      </c>
      <c r="N32" s="1054" t="s">
        <v>336</v>
      </c>
      <c r="O32" s="257" t="s">
        <v>325</v>
      </c>
      <c r="P32" s="1052" t="s">
        <v>325</v>
      </c>
      <c r="Q32" s="1054" t="s">
        <v>325</v>
      </c>
      <c r="R32" s="257" t="s">
        <v>326</v>
      </c>
      <c r="S32" s="1052" t="s">
        <v>326</v>
      </c>
      <c r="T32" s="1054" t="s">
        <v>326</v>
      </c>
      <c r="U32" s="257" t="s">
        <v>327</v>
      </c>
      <c r="V32" s="1052" t="s">
        <v>327</v>
      </c>
      <c r="W32" s="1054" t="s">
        <v>327</v>
      </c>
      <c r="X32" s="257" t="s">
        <v>329</v>
      </c>
      <c r="Y32" s="1052" t="s">
        <v>329</v>
      </c>
      <c r="Z32" s="1054" t="s">
        <v>329</v>
      </c>
      <c r="AA32" s="257" t="s">
        <v>330</v>
      </c>
      <c r="AB32" s="1052" t="s">
        <v>330</v>
      </c>
      <c r="AC32" s="1054" t="s">
        <v>330</v>
      </c>
      <c r="AD32" s="257" t="s">
        <v>331</v>
      </c>
      <c r="AE32" s="1052" t="s">
        <v>331</v>
      </c>
      <c r="AF32" s="1054" t="s">
        <v>331</v>
      </c>
      <c r="AG32" s="257" t="s">
        <v>333</v>
      </c>
      <c r="AH32" s="1052" t="s">
        <v>333</v>
      </c>
      <c r="AI32" s="1054" t="s">
        <v>333</v>
      </c>
      <c r="AJ32" s="257" t="s">
        <v>334</v>
      </c>
      <c r="AK32" s="1052" t="s">
        <v>334</v>
      </c>
      <c r="AL32" s="1054" t="s">
        <v>334</v>
      </c>
      <c r="AM32" s="257" t="s">
        <v>335</v>
      </c>
      <c r="AN32" s="1052" t="s">
        <v>335</v>
      </c>
      <c r="AO32" s="1054" t="s">
        <v>335</v>
      </c>
      <c r="AP32" s="257" t="s">
        <v>337</v>
      </c>
      <c r="AQ32" s="1052" t="s">
        <v>337</v>
      </c>
      <c r="AR32" s="1054" t="s">
        <v>337</v>
      </c>
      <c r="AS32" s="257" t="s">
        <v>324</v>
      </c>
      <c r="AT32" s="1052" t="s">
        <v>324</v>
      </c>
      <c r="AU32" s="1054" t="s">
        <v>324</v>
      </c>
      <c r="AV32" s="257" t="s">
        <v>328</v>
      </c>
      <c r="AW32" s="1052" t="s">
        <v>328</v>
      </c>
      <c r="AX32" s="1054" t="s">
        <v>328</v>
      </c>
      <c r="AY32" s="257" t="s">
        <v>339</v>
      </c>
      <c r="AZ32" s="1052" t="s">
        <v>339</v>
      </c>
      <c r="BA32" s="1054" t="s">
        <v>339</v>
      </c>
      <c r="BB32" s="257" t="s">
        <v>340</v>
      </c>
      <c r="BC32" s="1052" t="s">
        <v>340</v>
      </c>
      <c r="BD32" s="1054" t="s">
        <v>340</v>
      </c>
      <c r="BE32" s="257" t="s">
        <v>341</v>
      </c>
      <c r="BF32" s="1052" t="s">
        <v>341</v>
      </c>
      <c r="BG32" s="1054" t="s">
        <v>341</v>
      </c>
      <c r="BH32" s="257" t="s">
        <v>342</v>
      </c>
      <c r="BI32" s="1052" t="s">
        <v>342</v>
      </c>
      <c r="BJ32" s="1054" t="s">
        <v>342</v>
      </c>
      <c r="BK32" s="257" t="s">
        <v>338</v>
      </c>
      <c r="BL32" s="1052" t="s">
        <v>338</v>
      </c>
      <c r="BM32" s="1054" t="s">
        <v>338</v>
      </c>
      <c r="BN32" s="257" t="s">
        <v>343</v>
      </c>
      <c r="BO32" s="1052" t="s">
        <v>343</v>
      </c>
      <c r="BP32" s="1054" t="s">
        <v>343</v>
      </c>
      <c r="BQ32" s="257" t="s">
        <v>344</v>
      </c>
      <c r="BR32" s="1052" t="s">
        <v>344</v>
      </c>
      <c r="BS32" s="1054" t="s">
        <v>344</v>
      </c>
      <c r="BT32" s="257" t="s">
        <v>345</v>
      </c>
      <c r="BU32" s="1052" t="s">
        <v>345</v>
      </c>
      <c r="BV32" s="1054" t="s">
        <v>345</v>
      </c>
      <c r="BW32" s="257" t="s">
        <v>346</v>
      </c>
      <c r="BX32" s="1052" t="s">
        <v>346</v>
      </c>
      <c r="BY32" s="1054" t="s">
        <v>346</v>
      </c>
      <c r="BZ32" s="257" t="s">
        <v>306</v>
      </c>
      <c r="CA32" s="1052" t="s">
        <v>306</v>
      </c>
      <c r="CB32" s="1054" t="s">
        <v>306</v>
      </c>
      <c r="CC32" s="257" t="s">
        <v>332</v>
      </c>
      <c r="CD32" s="1052" t="s">
        <v>332</v>
      </c>
      <c r="CE32" s="1054" t="s">
        <v>332</v>
      </c>
      <c r="CF32" s="257" t="s">
        <v>347</v>
      </c>
      <c r="CG32" s="1052" t="s">
        <v>347</v>
      </c>
      <c r="CH32" s="1054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5" t="s">
        <v>295</v>
      </c>
      <c r="J33" s="1045" t="s">
        <v>44</v>
      </c>
      <c r="K33" s="1056" t="s">
        <v>46</v>
      </c>
      <c r="L33" s="1055" t="s">
        <v>295</v>
      </c>
      <c r="M33" s="1045" t="s">
        <v>44</v>
      </c>
      <c r="N33" s="1056" t="s">
        <v>46</v>
      </c>
      <c r="O33" s="1055" t="s">
        <v>295</v>
      </c>
      <c r="P33" s="1045" t="s">
        <v>44</v>
      </c>
      <c r="Q33" s="1056" t="s">
        <v>46</v>
      </c>
      <c r="R33" s="1055" t="s">
        <v>295</v>
      </c>
      <c r="S33" s="1045" t="s">
        <v>44</v>
      </c>
      <c r="T33" s="1056" t="s">
        <v>46</v>
      </c>
      <c r="U33" s="1055" t="s">
        <v>295</v>
      </c>
      <c r="V33" s="1045" t="s">
        <v>44</v>
      </c>
      <c r="W33" s="1056" t="s">
        <v>46</v>
      </c>
      <c r="X33" s="1055" t="s">
        <v>295</v>
      </c>
      <c r="Y33" s="1045" t="s">
        <v>44</v>
      </c>
      <c r="Z33" s="1056" t="s">
        <v>46</v>
      </c>
      <c r="AA33" s="1055" t="s">
        <v>295</v>
      </c>
      <c r="AB33" s="1045" t="s">
        <v>44</v>
      </c>
      <c r="AC33" s="1056" t="s">
        <v>46</v>
      </c>
      <c r="AD33" s="1055" t="s">
        <v>295</v>
      </c>
      <c r="AE33" s="1045" t="s">
        <v>44</v>
      </c>
      <c r="AF33" s="1056" t="s">
        <v>46</v>
      </c>
      <c r="AG33" s="1055" t="s">
        <v>295</v>
      </c>
      <c r="AH33" s="1045" t="s">
        <v>44</v>
      </c>
      <c r="AI33" s="1056" t="s">
        <v>46</v>
      </c>
      <c r="AJ33" s="1055" t="s">
        <v>295</v>
      </c>
      <c r="AK33" s="1045" t="s">
        <v>44</v>
      </c>
      <c r="AL33" s="1056" t="s">
        <v>46</v>
      </c>
      <c r="AM33" s="1055" t="s">
        <v>295</v>
      </c>
      <c r="AN33" s="1045" t="s">
        <v>44</v>
      </c>
      <c r="AO33" s="1056" t="s">
        <v>46</v>
      </c>
      <c r="AP33" s="1055" t="s">
        <v>295</v>
      </c>
      <c r="AQ33" s="1045" t="s">
        <v>44</v>
      </c>
      <c r="AR33" s="1056" t="s">
        <v>46</v>
      </c>
      <c r="AS33" s="1055" t="s">
        <v>295</v>
      </c>
      <c r="AT33" s="1045" t="s">
        <v>44</v>
      </c>
      <c r="AU33" s="1056" t="s">
        <v>46</v>
      </c>
      <c r="AV33" s="1055" t="s">
        <v>295</v>
      </c>
      <c r="AW33" s="1045" t="s">
        <v>44</v>
      </c>
      <c r="AX33" s="1056" t="s">
        <v>46</v>
      </c>
      <c r="AY33" s="1055" t="s">
        <v>295</v>
      </c>
      <c r="AZ33" s="1045" t="s">
        <v>44</v>
      </c>
      <c r="BA33" s="1056" t="s">
        <v>46</v>
      </c>
      <c r="BB33" s="1055" t="s">
        <v>295</v>
      </c>
      <c r="BC33" s="1045" t="s">
        <v>44</v>
      </c>
      <c r="BD33" s="1056" t="s">
        <v>46</v>
      </c>
      <c r="BE33" s="1055" t="s">
        <v>295</v>
      </c>
      <c r="BF33" s="1045" t="s">
        <v>44</v>
      </c>
      <c r="BG33" s="1056" t="s">
        <v>46</v>
      </c>
      <c r="BH33" s="1055" t="s">
        <v>295</v>
      </c>
      <c r="BI33" s="1045" t="s">
        <v>44</v>
      </c>
      <c r="BJ33" s="1056" t="s">
        <v>46</v>
      </c>
      <c r="BK33" s="1055" t="s">
        <v>295</v>
      </c>
      <c r="BL33" s="1045" t="s">
        <v>44</v>
      </c>
      <c r="BM33" s="1056" t="s">
        <v>46</v>
      </c>
      <c r="BN33" s="1055" t="s">
        <v>295</v>
      </c>
      <c r="BO33" s="1045" t="s">
        <v>44</v>
      </c>
      <c r="BP33" s="1056" t="s">
        <v>46</v>
      </c>
      <c r="BQ33" s="1055" t="s">
        <v>295</v>
      </c>
      <c r="BR33" s="1045" t="s">
        <v>44</v>
      </c>
      <c r="BS33" s="1056" t="s">
        <v>46</v>
      </c>
      <c r="BT33" s="1055" t="s">
        <v>295</v>
      </c>
      <c r="BU33" s="1045" t="s">
        <v>44</v>
      </c>
      <c r="BV33" s="1056" t="s">
        <v>46</v>
      </c>
      <c r="BW33" s="1055" t="s">
        <v>295</v>
      </c>
      <c r="BX33" s="1045" t="s">
        <v>44</v>
      </c>
      <c r="BY33" s="1056" t="s">
        <v>46</v>
      </c>
      <c r="BZ33" s="1055" t="s">
        <v>295</v>
      </c>
      <c r="CA33" s="1045" t="s">
        <v>44</v>
      </c>
      <c r="CB33" s="1056" t="s">
        <v>46</v>
      </c>
      <c r="CC33" s="1055" t="s">
        <v>295</v>
      </c>
      <c r="CD33" s="1045" t="s">
        <v>44</v>
      </c>
      <c r="CE33" s="1056" t="s">
        <v>46</v>
      </c>
      <c r="CF33" s="1055" t="s">
        <v>295</v>
      </c>
      <c r="CG33" s="1045" t="s">
        <v>44</v>
      </c>
      <c r="CH33" s="1056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7" t="s">
        <v>48</v>
      </c>
      <c r="I34" s="1061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6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6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6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6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6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6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6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6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6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6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6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6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6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6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6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6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6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6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6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6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6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6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6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6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6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8" t="s">
        <v>50</v>
      </c>
      <c r="I35" s="1062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62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62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62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62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62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62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62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62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62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62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62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62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62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62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62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62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62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62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62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62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62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62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62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62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62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9" t="s">
        <v>52</v>
      </c>
      <c r="I36" s="1063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3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3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3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3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3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3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3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3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3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3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3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3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3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3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3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3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3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3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3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3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3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3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3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3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3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8" t="s">
        <v>54</v>
      </c>
      <c r="I37" s="1062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62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62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62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62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62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62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62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62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62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62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62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62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62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62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62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62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62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62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62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62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62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62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62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62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62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9" t="s">
        <v>56</v>
      </c>
      <c r="I38" s="1063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3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3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3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3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3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3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3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3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3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3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3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3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3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3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3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3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3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3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3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3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3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3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3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3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3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8" t="s">
        <v>58</v>
      </c>
      <c r="I39" s="1062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62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62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62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62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62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62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62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62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62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62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62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62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62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62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62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62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62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62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62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62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62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62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62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62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62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9" t="s">
        <v>60</v>
      </c>
      <c r="I40" s="1063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3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3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3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3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3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3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3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3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3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3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3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3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3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3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3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3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3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3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3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3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3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3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3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3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3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8" t="s">
        <v>62</v>
      </c>
      <c r="I41" s="1062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62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62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62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62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62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62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62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62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62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62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62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62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62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62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62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62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62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62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62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62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62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62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62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62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62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50" t="s">
        <v>64</v>
      </c>
      <c r="I42" s="1064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4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4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4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4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4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4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4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4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4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4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4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4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4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4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4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4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4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4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4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4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4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4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4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4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4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51" t="s">
        <v>218</v>
      </c>
      <c r="I43" s="1057">
        <f t="shared" ref="I43:AN43" si="9">SUM(I34:I42)</f>
        <v>1272.084432974631</v>
      </c>
      <c r="J43" s="1058">
        <f t="shared" si="9"/>
        <v>9017.3696255538798</v>
      </c>
      <c r="K43" s="1059">
        <f t="shared" si="9"/>
        <v>10817.00516141598</v>
      </c>
      <c r="L43" s="1053">
        <f t="shared" si="9"/>
        <v>123314.67820831671</v>
      </c>
      <c r="M43" s="352">
        <f t="shared" si="9"/>
        <v>299739.87494657928</v>
      </c>
      <c r="N43" s="1060">
        <f t="shared" si="9"/>
        <v>56159.174425610254</v>
      </c>
      <c r="O43" s="1053">
        <f t="shared" si="9"/>
        <v>7363.7968231969135</v>
      </c>
      <c r="P43" s="352">
        <f t="shared" si="9"/>
        <v>38144.204386107944</v>
      </c>
      <c r="Q43" s="1060">
        <f t="shared" si="9"/>
        <v>30304.517514538838</v>
      </c>
      <c r="R43" s="1053">
        <f t="shared" si="9"/>
        <v>1751.3817529766175</v>
      </c>
      <c r="S43" s="352">
        <f t="shared" si="9"/>
        <v>12508.441600918088</v>
      </c>
      <c r="T43" s="1060">
        <f t="shared" si="9"/>
        <v>20891.382011189213</v>
      </c>
      <c r="U43" s="1053">
        <f t="shared" si="9"/>
        <v>1434.9997251520253</v>
      </c>
      <c r="V43" s="352">
        <f t="shared" si="9"/>
        <v>11510.58391452228</v>
      </c>
      <c r="W43" s="1060">
        <f t="shared" si="9"/>
        <v>16295.614216511489</v>
      </c>
      <c r="X43" s="1053">
        <f t="shared" si="9"/>
        <v>691.43208570294928</v>
      </c>
      <c r="Y43" s="352">
        <f t="shared" si="9"/>
        <v>4746.2770797513549</v>
      </c>
      <c r="Z43" s="1060">
        <f t="shared" si="9"/>
        <v>9718.9087422298653</v>
      </c>
      <c r="AA43" s="1053">
        <f t="shared" si="9"/>
        <v>3038.8153054039785</v>
      </c>
      <c r="AB43" s="352">
        <f t="shared" si="9"/>
        <v>24289.540001760251</v>
      </c>
      <c r="AC43" s="1060">
        <f t="shared" si="9"/>
        <v>18866.743201020949</v>
      </c>
      <c r="AD43" s="1053">
        <f t="shared" si="9"/>
        <v>5411.4225176697691</v>
      </c>
      <c r="AE43" s="352">
        <f t="shared" si="9"/>
        <v>27103.374443441171</v>
      </c>
      <c r="AF43" s="1060">
        <f t="shared" si="9"/>
        <v>34324.09820344366</v>
      </c>
      <c r="AG43" s="1053">
        <f t="shared" si="9"/>
        <v>1175.2936766265591</v>
      </c>
      <c r="AH43" s="352">
        <f t="shared" si="9"/>
        <v>10239.258420802398</v>
      </c>
      <c r="AI43" s="1060">
        <f t="shared" si="9"/>
        <v>15966.202026112715</v>
      </c>
      <c r="AJ43" s="1053">
        <f t="shared" si="9"/>
        <v>2888.9605821519499</v>
      </c>
      <c r="AK43" s="352">
        <f t="shared" si="9"/>
        <v>12264.197780781444</v>
      </c>
      <c r="AL43" s="1060">
        <f t="shared" si="9"/>
        <v>16822.932669034672</v>
      </c>
      <c r="AM43" s="1053">
        <f t="shared" si="9"/>
        <v>2668.9797196485479</v>
      </c>
      <c r="AN43" s="352">
        <f t="shared" si="9"/>
        <v>18385.501077566361</v>
      </c>
      <c r="AO43" s="1060">
        <f t="shared" ref="AO43:BT43" si="10">SUM(AO34:AO42)</f>
        <v>33878.287885206948</v>
      </c>
      <c r="AP43" s="1053">
        <f t="shared" si="10"/>
        <v>4513.1911767694201</v>
      </c>
      <c r="AQ43" s="352">
        <f t="shared" si="10"/>
        <v>23167.339151815657</v>
      </c>
      <c r="AR43" s="1060">
        <f t="shared" si="10"/>
        <v>22529.580764463226</v>
      </c>
      <c r="AS43" s="1053">
        <f t="shared" si="10"/>
        <v>2491.2235846235253</v>
      </c>
      <c r="AT43" s="352">
        <f t="shared" si="10"/>
        <v>15118.989670799881</v>
      </c>
      <c r="AU43" s="1060">
        <f t="shared" si="10"/>
        <v>26221.499459384846</v>
      </c>
      <c r="AV43" s="1053">
        <f t="shared" si="10"/>
        <v>18164.569738528382</v>
      </c>
      <c r="AW43" s="352">
        <f t="shared" si="10"/>
        <v>91446.903647123108</v>
      </c>
      <c r="AX43" s="1060">
        <f t="shared" si="10"/>
        <v>88706.618668082694</v>
      </c>
      <c r="AY43" s="1053">
        <f t="shared" si="10"/>
        <v>2906.0721193547802</v>
      </c>
      <c r="AZ43" s="352">
        <f t="shared" si="10"/>
        <v>15686.699374231552</v>
      </c>
      <c r="BA43" s="1060">
        <f t="shared" si="10"/>
        <v>36376.580790193235</v>
      </c>
      <c r="BB43" s="1053">
        <f t="shared" si="10"/>
        <v>7461.1258002920376</v>
      </c>
      <c r="BC43" s="352">
        <f t="shared" si="10"/>
        <v>31695.949118274744</v>
      </c>
      <c r="BD43" s="1060">
        <f t="shared" si="10"/>
        <v>32750.827361563519</v>
      </c>
      <c r="BE43" s="1053">
        <f t="shared" si="10"/>
        <v>2382.2341251096568</v>
      </c>
      <c r="BF43" s="352">
        <f t="shared" si="10"/>
        <v>21954.232438086234</v>
      </c>
      <c r="BG43" s="1060">
        <f t="shared" si="10"/>
        <v>34965.040184897764</v>
      </c>
      <c r="BH43" s="1053">
        <f t="shared" si="10"/>
        <v>3199.1719442467102</v>
      </c>
      <c r="BI43" s="352">
        <f t="shared" si="10"/>
        <v>21769.226916806354</v>
      </c>
      <c r="BJ43" s="1060">
        <f t="shared" si="10"/>
        <v>19142.703253806059</v>
      </c>
      <c r="BK43" s="1053">
        <f t="shared" si="10"/>
        <v>9881.5892011882625</v>
      </c>
      <c r="BL43" s="352">
        <f t="shared" si="10"/>
        <v>27589.465054026703</v>
      </c>
      <c r="BM43" s="1060">
        <f t="shared" si="10"/>
        <v>55372.585087977008</v>
      </c>
      <c r="BN43" s="1053">
        <f t="shared" si="10"/>
        <v>543.02409251525864</v>
      </c>
      <c r="BO43" s="352">
        <f t="shared" si="10"/>
        <v>2737.7793125602311</v>
      </c>
      <c r="BP43" s="1060">
        <f t="shared" si="10"/>
        <v>9101.1608576935432</v>
      </c>
      <c r="BQ43" s="1053">
        <f t="shared" si="10"/>
        <v>2141.3166117916521</v>
      </c>
      <c r="BR43" s="352">
        <f t="shared" si="10"/>
        <v>12519.701036831018</v>
      </c>
      <c r="BS43" s="1060">
        <f t="shared" si="10"/>
        <v>34699.30894292317</v>
      </c>
      <c r="BT43" s="1053">
        <f t="shared" si="10"/>
        <v>676.45175529921289</v>
      </c>
      <c r="BU43" s="352">
        <f t="shared" ref="BU43:CH43" si="11">SUM(BU34:BU42)</f>
        <v>5372.2948402948405</v>
      </c>
      <c r="BV43" s="1060">
        <f t="shared" si="11"/>
        <v>18080.993461874819</v>
      </c>
      <c r="BW43" s="1053">
        <f t="shared" si="11"/>
        <v>1676.0939551367242</v>
      </c>
      <c r="BX43" s="352">
        <f t="shared" si="11"/>
        <v>8889.5641738149861</v>
      </c>
      <c r="BY43" s="1060">
        <f t="shared" si="11"/>
        <v>14494.215013491199</v>
      </c>
      <c r="BZ43" s="1053">
        <f t="shared" si="11"/>
        <v>1271.052567009926</v>
      </c>
      <c r="CA43" s="352">
        <f t="shared" si="11"/>
        <v>7706.8792520168045</v>
      </c>
      <c r="CB43" s="1060">
        <f t="shared" si="11"/>
        <v>18119.875348525962</v>
      </c>
      <c r="CC43" s="1053">
        <f t="shared" si="11"/>
        <v>2392.9923596273825</v>
      </c>
      <c r="CD43" s="352">
        <f t="shared" si="11"/>
        <v>15881.582138278784</v>
      </c>
      <c r="CE43" s="1060">
        <f t="shared" si="11"/>
        <v>40738.467908725754</v>
      </c>
      <c r="CF43" s="1053">
        <f t="shared" si="11"/>
        <v>1027.5356632394301</v>
      </c>
      <c r="CG43" s="352">
        <f t="shared" si="11"/>
        <v>6619.1242565355706</v>
      </c>
      <c r="CH43" s="1060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76" t="s">
        <v>287</v>
      </c>
      <c r="C48" s="1277"/>
      <c r="D48" s="1277"/>
      <c r="E48" s="1277"/>
      <c r="F48" s="1277"/>
      <c r="G48" s="1277"/>
      <c r="H48" s="1277"/>
      <c r="I48" s="1277"/>
      <c r="J48" s="1277"/>
      <c r="K48" s="1277"/>
      <c r="L48" s="1278"/>
      <c r="M48" s="1269" t="s">
        <v>1111</v>
      </c>
      <c r="N48" s="1270"/>
      <c r="O48" s="1271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48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932</v>
      </c>
      <c r="AS49" s="460"/>
    </row>
    <row r="50" spans="1:48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66" t="s">
        <v>1105</v>
      </c>
      <c r="AN50" s="1266"/>
      <c r="AO50" s="1266"/>
      <c r="AP50" s="1266"/>
      <c r="AQ50" s="1266"/>
      <c r="AR50" s="1266"/>
      <c r="AS50" s="460"/>
      <c r="AV50" s="473"/>
    </row>
    <row r="51" spans="1:48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5" t="s">
        <v>934</v>
      </c>
      <c r="AN51" s="1046" t="s">
        <v>933</v>
      </c>
      <c r="AO51" s="1046" t="s">
        <v>899</v>
      </c>
      <c r="AP51" s="1046" t="s">
        <v>900</v>
      </c>
      <c r="AQ51" s="1046" t="s">
        <v>42</v>
      </c>
      <c r="AR51" s="1046" t="s">
        <v>218</v>
      </c>
      <c r="AS51" s="460"/>
    </row>
    <row r="52" spans="1:48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901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</row>
    <row r="53" spans="1:48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902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</row>
    <row r="54" spans="1:48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903</v>
      </c>
      <c r="AO54" s="460">
        <v>265</v>
      </c>
      <c r="AP54" s="460">
        <v>82</v>
      </c>
      <c r="AQ54" s="460">
        <v>35</v>
      </c>
      <c r="AR54" s="460">
        <f t="shared" si="13"/>
        <v>382</v>
      </c>
    </row>
    <row r="55" spans="1:48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</row>
    <row r="56" spans="1:48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4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905</v>
      </c>
      <c r="AO56" s="460">
        <v>141</v>
      </c>
      <c r="AP56" s="460">
        <v>230</v>
      </c>
      <c r="AQ56" s="460">
        <v>7</v>
      </c>
      <c r="AR56" s="460">
        <f t="shared" si="13"/>
        <v>378</v>
      </c>
    </row>
    <row r="57" spans="1:48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4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</row>
    <row r="58" spans="1:48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4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</row>
    <row r="59" spans="1:48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4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</row>
    <row r="60" spans="1:48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4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</row>
    <row r="61" spans="1:48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4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910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</row>
    <row r="62" spans="1:48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4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911</v>
      </c>
      <c r="AO62" s="460">
        <v>47</v>
      </c>
      <c r="AP62" s="460">
        <v>258</v>
      </c>
      <c r="AQ62" s="460">
        <v>49</v>
      </c>
      <c r="AR62" s="460">
        <f t="shared" si="13"/>
        <v>354</v>
      </c>
    </row>
    <row r="63" spans="1:48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4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912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</row>
    <row r="64" spans="1:48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4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913</v>
      </c>
      <c r="AO64" s="460">
        <v>374</v>
      </c>
      <c r="AP64" s="460">
        <v>92</v>
      </c>
      <c r="AQ64" s="460">
        <v>48</v>
      </c>
      <c r="AR64" s="460">
        <f t="shared" si="13"/>
        <v>514</v>
      </c>
    </row>
    <row r="65" spans="1:59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4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</row>
    <row r="66" spans="1:59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4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915</v>
      </c>
      <c r="AO66" s="460">
        <v>118</v>
      </c>
      <c r="AP66" s="460">
        <v>37</v>
      </c>
      <c r="AQ66" s="460">
        <v>15</v>
      </c>
      <c r="AR66" s="460">
        <f t="shared" si="13"/>
        <v>170</v>
      </c>
    </row>
    <row r="67" spans="1:59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4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</row>
    <row r="68" spans="1:59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4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</row>
    <row r="69" spans="1:59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4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935</v>
      </c>
      <c r="AN69" s="187" t="s">
        <v>918</v>
      </c>
      <c r="AO69" s="460">
        <v>106</v>
      </c>
      <c r="AP69" s="460">
        <v>51</v>
      </c>
      <c r="AQ69" s="460">
        <v>15</v>
      </c>
      <c r="AR69" s="460">
        <f t="shared" si="13"/>
        <v>172</v>
      </c>
    </row>
    <row r="70" spans="1:59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4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</row>
    <row r="71" spans="1:59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4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920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</row>
    <row r="72" spans="1:59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4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921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Y72" s="460"/>
      <c r="AZ72" s="460"/>
      <c r="BA72" s="460"/>
      <c r="BB72" s="460"/>
      <c r="BC72" s="460"/>
      <c r="BD72" s="460"/>
      <c r="BE72" s="460"/>
      <c r="BF72" s="460"/>
      <c r="BG72" s="460"/>
    </row>
    <row r="73" spans="1:59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4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922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X73" s="460"/>
      <c r="AY73" s="460"/>
      <c r="AZ73" s="460"/>
      <c r="BA73" s="460"/>
      <c r="BB73" s="460"/>
      <c r="BC73" s="460"/>
      <c r="BD73" s="460"/>
      <c r="BE73" s="460"/>
      <c r="BF73" s="460"/>
      <c r="BG73" s="460"/>
    </row>
    <row r="74" spans="1:59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4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923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X74" s="460"/>
      <c r="AY74" s="460"/>
      <c r="AZ74" s="460"/>
      <c r="BA74" s="460"/>
      <c r="BB74" s="460"/>
      <c r="BC74" s="460"/>
      <c r="BD74" s="460"/>
      <c r="BE74" s="460"/>
      <c r="BF74" s="460"/>
      <c r="BG74" s="460"/>
    </row>
    <row r="75" spans="1:59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4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U75" s="460"/>
      <c r="AX75" s="460"/>
      <c r="AY75" s="460"/>
      <c r="AZ75" s="460"/>
      <c r="BA75" s="460"/>
      <c r="BB75" s="460"/>
      <c r="BC75" s="460"/>
      <c r="BD75" s="460"/>
      <c r="BE75" s="460"/>
      <c r="BF75" s="460"/>
      <c r="BG75" s="460"/>
    </row>
    <row r="76" spans="1:59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4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X76" s="460"/>
      <c r="AY76" s="460"/>
      <c r="AZ76" s="460"/>
      <c r="BA76" s="460"/>
      <c r="BB76" s="460"/>
      <c r="BC76" s="460"/>
      <c r="BD76" s="460"/>
      <c r="BE76" s="460"/>
      <c r="BF76" s="460"/>
      <c r="BG76" s="460"/>
    </row>
    <row r="77" spans="1:59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4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</row>
    <row r="78" spans="1:59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4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T78" s="460"/>
      <c r="AU78" s="460"/>
      <c r="AV78" s="460"/>
      <c r="AW78" s="460"/>
      <c r="AX78" s="460"/>
      <c r="AY78" s="460"/>
      <c r="AZ78" s="460"/>
      <c r="BA78" s="460"/>
      <c r="BB78" s="460"/>
    </row>
    <row r="79" spans="1:59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4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T79" s="460"/>
      <c r="AU79" s="460"/>
      <c r="AV79" s="460"/>
      <c r="AW79" s="460"/>
      <c r="AX79" s="460"/>
      <c r="AY79" s="460"/>
      <c r="AZ79" s="460"/>
      <c r="BA79" s="460"/>
      <c r="BB79" s="460"/>
    </row>
    <row r="80" spans="1:59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15">SUM(S54:S79)</f>
        <v>535675</v>
      </c>
      <c r="T80" s="141">
        <f t="shared" si="15"/>
        <v>611877</v>
      </c>
      <c r="U80" s="141">
        <f t="shared" si="15"/>
        <v>309728</v>
      </c>
      <c r="V80" s="141">
        <f t="shared" si="15"/>
        <v>143178</v>
      </c>
      <c r="W80" s="141">
        <f t="shared" si="15"/>
        <v>16765</v>
      </c>
      <c r="X80" s="141">
        <f t="shared" si="15"/>
        <v>27440</v>
      </c>
      <c r="Y80" s="142">
        <f t="shared" si="15"/>
        <v>53002</v>
      </c>
      <c r="Z80" s="143">
        <f t="shared" si="15"/>
        <v>1697665</v>
      </c>
      <c r="AA80" s="144">
        <f t="shared" si="15"/>
        <v>9788</v>
      </c>
      <c r="AB80" s="141">
        <f t="shared" si="15"/>
        <v>50732</v>
      </c>
      <c r="AC80" s="141">
        <f t="shared" si="15"/>
        <v>140120</v>
      </c>
      <c r="AD80" s="141">
        <f t="shared" si="15"/>
        <v>43192</v>
      </c>
      <c r="AE80" s="142">
        <f t="shared" si="15"/>
        <v>62148</v>
      </c>
      <c r="AF80" s="145">
        <f t="shared" si="14"/>
        <v>2003645</v>
      </c>
      <c r="AG80" s="146">
        <f>SUM(AG54:AG79)</f>
        <v>94255000000</v>
      </c>
      <c r="AH80" s="313"/>
      <c r="AM80" s="473" t="s">
        <v>334</v>
      </c>
      <c r="AN80" s="186" t="s">
        <v>929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T80" s="460"/>
      <c r="AU80" s="460"/>
      <c r="AV80" s="460"/>
      <c r="AW80" s="460"/>
      <c r="AX80" s="460"/>
      <c r="AY80" s="460"/>
      <c r="AZ80" s="460"/>
      <c r="BA80" s="460"/>
      <c r="BB80" s="460"/>
    </row>
    <row r="81" spans="1:95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930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T81" s="460"/>
      <c r="AU81" s="460"/>
      <c r="AV81" s="460"/>
      <c r="AW81" s="460"/>
      <c r="AX81" s="460"/>
      <c r="AY81" s="460"/>
      <c r="AZ81" s="460"/>
      <c r="BA81" s="460"/>
      <c r="BB81" s="460"/>
    </row>
    <row r="82" spans="1:95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16">L82*N82</f>
        <v>16050.614216511489</v>
      </c>
      <c r="S82" s="1279" t="s">
        <v>348</v>
      </c>
      <c r="T82" s="1280"/>
      <c r="U82" s="1280"/>
      <c r="V82" s="1280"/>
      <c r="W82" s="1280"/>
      <c r="X82" s="1280"/>
      <c r="Y82" s="1280"/>
      <c r="Z82" s="1281"/>
      <c r="AB82" s="1267" t="s">
        <v>349</v>
      </c>
      <c r="AC82" s="1267"/>
      <c r="AD82" s="1267"/>
      <c r="AE82" s="1267"/>
      <c r="AF82" s="1268"/>
      <c r="AG82" s="123" t="s">
        <v>302</v>
      </c>
      <c r="AM82" s="473" t="s">
        <v>335</v>
      </c>
      <c r="AN82" s="186" t="s">
        <v>931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T82" s="460"/>
      <c r="AU82" s="460"/>
      <c r="AV82" s="460"/>
      <c r="AW82" s="460"/>
      <c r="AX82" s="460"/>
      <c r="AY82" s="460"/>
      <c r="AZ82" s="460"/>
      <c r="BA82" s="460"/>
      <c r="BB82" s="460"/>
      <c r="BN82" s="460"/>
      <c r="BO82" s="460"/>
      <c r="BP82" s="460"/>
      <c r="CF82" s="32"/>
      <c r="CG82" s="32"/>
      <c r="CH82" s="32"/>
    </row>
    <row r="83" spans="1:95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16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67"/>
      <c r="AC83" s="1267"/>
      <c r="AD83" s="1267"/>
      <c r="AE83" s="1267"/>
      <c r="AF83" s="1268"/>
      <c r="AG83" s="124"/>
      <c r="AT83" s="460"/>
      <c r="AU83" s="460"/>
      <c r="AV83" s="460"/>
      <c r="AW83" s="460"/>
      <c r="AX83" s="460"/>
      <c r="AY83" s="460"/>
      <c r="AZ83" s="460"/>
      <c r="BA83" s="460"/>
      <c r="BB83" s="460"/>
      <c r="BD83" s="460"/>
      <c r="BE83" s="460"/>
      <c r="BF83" s="460"/>
    </row>
    <row r="84" spans="1:95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16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Q84" s="32"/>
      <c r="BR84" s="32"/>
      <c r="BS84" s="32"/>
      <c r="BT84" s="32"/>
      <c r="BU84" s="32"/>
      <c r="BV84" s="32"/>
      <c r="CI84" s="460"/>
      <c r="CJ84" s="460"/>
      <c r="CK84" s="460"/>
      <c r="CL84" s="460"/>
      <c r="CM84" s="460"/>
      <c r="CN84" s="460"/>
    </row>
    <row r="85" spans="1:95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16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9" t="s">
        <v>294</v>
      </c>
      <c r="AC85" s="106">
        <f t="shared" ref="AC85:AC110" si="17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18">Z85/AG85*AG85</f>
        <v>413</v>
      </c>
      <c r="AG85" s="981">
        <f t="shared" ref="AG85:AG110" si="19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X85" s="460"/>
      <c r="AY85" s="460"/>
      <c r="AZ85" s="460"/>
      <c r="BA85" s="460"/>
      <c r="BB85" s="460"/>
      <c r="BC85" s="460"/>
      <c r="BD85" s="460"/>
      <c r="BE85" s="460"/>
      <c r="BF85" s="460"/>
      <c r="BH85" s="473" t="s">
        <v>932</v>
      </c>
      <c r="BI85" s="460"/>
      <c r="BJ85" s="460"/>
      <c r="BK85" s="460"/>
      <c r="BL85" s="460"/>
      <c r="BM85" s="460"/>
      <c r="BQ85" s="32"/>
      <c r="BR85" s="32"/>
      <c r="BS85" s="32"/>
      <c r="BT85" s="32"/>
      <c r="BU85" s="32"/>
      <c r="BV85" s="32"/>
      <c r="BW85" s="32"/>
      <c r="BX85" s="32"/>
      <c r="BY85" s="32"/>
      <c r="CI85" s="460"/>
      <c r="CJ85" s="460"/>
      <c r="CK85" s="460"/>
      <c r="CL85" s="460"/>
      <c r="CM85" s="460"/>
      <c r="CN85" s="460"/>
      <c r="CO85" s="460"/>
      <c r="CP85" s="460"/>
      <c r="CQ85" s="460"/>
    </row>
    <row r="86" spans="1:95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16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80" t="s">
        <v>336</v>
      </c>
      <c r="AC86" s="114">
        <f t="shared" si="17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18"/>
        <v>6603</v>
      </c>
      <c r="AG86" s="982">
        <f t="shared" si="19"/>
        <v>479683</v>
      </c>
      <c r="AH86" s="198">
        <v>530753</v>
      </c>
      <c r="AI86" s="216">
        <f>Table2[[#This Row],[Not Stated]]/Table2[[#This Row],[Total Residence]]</f>
        <v>1.3765340860526639E-2</v>
      </c>
      <c r="AM86" s="473" t="s">
        <v>1046</v>
      </c>
      <c r="AO86" s="460"/>
      <c r="AP86" s="460"/>
      <c r="AQ86" s="460"/>
      <c r="AR86" s="460"/>
      <c r="AX86" s="1263" t="s">
        <v>1112</v>
      </c>
      <c r="AY86" s="1264"/>
      <c r="AZ86" s="1264"/>
      <c r="BA86" s="1264"/>
      <c r="BB86" s="1264"/>
      <c r="BC86" s="1264"/>
      <c r="BD86" s="1264" t="s">
        <v>1113</v>
      </c>
      <c r="BE86" s="1264"/>
      <c r="BF86" s="1264"/>
      <c r="BH86" s="1266" t="s">
        <v>1106</v>
      </c>
      <c r="BI86" s="1266"/>
      <c r="BJ86" s="1266"/>
      <c r="BK86" s="1266"/>
      <c r="BL86" s="1266"/>
      <c r="BM86" s="1266"/>
      <c r="BN86" s="1266"/>
      <c r="BO86" s="1266"/>
      <c r="BP86" s="1266"/>
      <c r="BQ86" s="1266"/>
      <c r="BR86" s="1266"/>
      <c r="BS86" s="1266"/>
      <c r="BT86" s="1266"/>
      <c r="BU86" s="1266"/>
      <c r="BV86" s="1266"/>
      <c r="BW86" s="1266"/>
      <c r="BX86" s="1266"/>
      <c r="BY86" s="1266"/>
      <c r="BZ86" s="1266"/>
      <c r="CA86" s="1266"/>
      <c r="CB86" s="1266"/>
      <c r="CC86" s="1266"/>
      <c r="CD86" s="1266"/>
      <c r="CI86" s="460"/>
      <c r="CJ86" s="460"/>
      <c r="CK86" s="460"/>
      <c r="CL86" s="460"/>
      <c r="CM86" s="460"/>
      <c r="CN86" s="460"/>
      <c r="CO86" s="460"/>
      <c r="CP86" s="460"/>
      <c r="CQ86" s="460"/>
    </row>
    <row r="87" spans="1:95" ht="15.75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16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80" t="s">
        <v>325</v>
      </c>
      <c r="AC87" s="114">
        <f t="shared" si="17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18"/>
        <v>665</v>
      </c>
      <c r="AG87" s="981">
        <f t="shared" si="19"/>
        <v>73596</v>
      </c>
      <c r="AH87" s="198">
        <v>80158</v>
      </c>
      <c r="AI87" s="216">
        <f>Table2[[#This Row],[Not Stated]]/Table2[[#This Row],[Total Residence]]</f>
        <v>9.0358171639763028E-3</v>
      </c>
      <c r="AM87" s="1112"/>
      <c r="AN87" s="1272" t="s">
        <v>1045</v>
      </c>
      <c r="AO87" s="1273"/>
      <c r="AP87" s="1273"/>
      <c r="AQ87" s="1273"/>
      <c r="AR87" s="1273"/>
      <c r="AT87" s="1113" t="s">
        <v>1076</v>
      </c>
      <c r="AU87" s="1274" t="s">
        <v>1077</v>
      </c>
      <c r="AV87" s="1275"/>
      <c r="AW87" s="1275"/>
      <c r="AX87" s="1263">
        <v>2018</v>
      </c>
      <c r="AY87" s="1264"/>
      <c r="AZ87" s="1264"/>
      <c r="BA87" s="1264">
        <v>2040</v>
      </c>
      <c r="BB87" s="1264"/>
      <c r="BC87" s="1265"/>
      <c r="BD87" s="1263">
        <v>2040</v>
      </c>
      <c r="BE87" s="1264"/>
      <c r="BF87" s="1265"/>
      <c r="BH87" s="1120" t="s">
        <v>1078</v>
      </c>
      <c r="BI87" s="1121" t="s">
        <v>1079</v>
      </c>
      <c r="BJ87" s="1121" t="s">
        <v>1080</v>
      </c>
      <c r="BK87" s="1121" t="s">
        <v>1081</v>
      </c>
      <c r="BL87" s="1120" t="s">
        <v>1082</v>
      </c>
      <c r="BM87" s="1121" t="s">
        <v>1083</v>
      </c>
      <c r="BN87" s="1121" t="s">
        <v>1084</v>
      </c>
      <c r="BO87" s="1121" t="s">
        <v>1085</v>
      </c>
      <c r="BP87" s="1120" t="s">
        <v>1086</v>
      </c>
      <c r="BQ87" s="1121" t="s">
        <v>1087</v>
      </c>
      <c r="BR87" s="1121" t="s">
        <v>1088</v>
      </c>
      <c r="BS87" s="1121" t="s">
        <v>1089</v>
      </c>
      <c r="BT87" s="1120" t="s">
        <v>1090</v>
      </c>
      <c r="BU87" s="1121" t="s">
        <v>1091</v>
      </c>
      <c r="BV87" s="1121" t="s">
        <v>1092</v>
      </c>
      <c r="BW87" s="1121" t="s">
        <v>1093</v>
      </c>
      <c r="BX87" s="1120" t="s">
        <v>1094</v>
      </c>
      <c r="BY87" s="1121" t="s">
        <v>1095</v>
      </c>
      <c r="BZ87" s="1121" t="s">
        <v>1096</v>
      </c>
      <c r="CA87" s="1121" t="s">
        <v>1097</v>
      </c>
      <c r="CB87" s="1120" t="s">
        <v>1098</v>
      </c>
      <c r="CC87" s="1121" t="s">
        <v>1099</v>
      </c>
      <c r="CD87" s="1121" t="s">
        <v>1100</v>
      </c>
      <c r="CI87" s="460"/>
      <c r="CJ87" s="460"/>
      <c r="CK87" s="460"/>
      <c r="CL87" s="460"/>
      <c r="CM87" s="460"/>
      <c r="CN87" s="460"/>
      <c r="CO87" s="460"/>
      <c r="CP87" s="460"/>
      <c r="CQ87" s="460"/>
    </row>
    <row r="88" spans="1:95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16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80" t="s">
        <v>326</v>
      </c>
      <c r="AC88" s="114">
        <f t="shared" si="17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18"/>
        <v>352</v>
      </c>
      <c r="AG88" s="982">
        <f t="shared" si="19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9"/>
      <c r="AK88" s="1119"/>
      <c r="AM88" s="1112"/>
      <c r="AN88" s="1113">
        <v>2017</v>
      </c>
      <c r="AO88" s="1113">
        <v>2021</v>
      </c>
      <c r="AP88" s="1113">
        <v>2026</v>
      </c>
      <c r="AQ88" s="1113">
        <v>2031</v>
      </c>
      <c r="AR88" s="1113">
        <v>2040</v>
      </c>
      <c r="AS88" s="1113" t="s">
        <v>1047</v>
      </c>
      <c r="AT88" s="1113">
        <v>2030</v>
      </c>
      <c r="AU88" s="1113" t="s">
        <v>295</v>
      </c>
      <c r="AV88" s="1113" t="s">
        <v>44</v>
      </c>
      <c r="AW88" s="1136" t="s">
        <v>46</v>
      </c>
      <c r="AX88" s="1134" t="s">
        <v>295</v>
      </c>
      <c r="AY88" s="1123" t="s">
        <v>44</v>
      </c>
      <c r="AZ88" s="1123" t="s">
        <v>46</v>
      </c>
      <c r="BA88" s="1123" t="s">
        <v>295</v>
      </c>
      <c r="BB88" s="1123" t="s">
        <v>44</v>
      </c>
      <c r="BC88" s="1135" t="s">
        <v>46</v>
      </c>
      <c r="BD88" s="1134" t="s">
        <v>295</v>
      </c>
      <c r="BE88" s="1123" t="s">
        <v>44</v>
      </c>
      <c r="BF88" s="1135" t="s">
        <v>46</v>
      </c>
      <c r="BH88" s="1286" t="s">
        <v>905</v>
      </c>
      <c r="BI88" s="1286" t="s">
        <v>42</v>
      </c>
      <c r="BJ88" s="1117" t="s">
        <v>1101</v>
      </c>
      <c r="BK88" s="1118">
        <v>0</v>
      </c>
      <c r="BL88" s="1118">
        <v>0</v>
      </c>
      <c r="BM88" s="1118">
        <v>1</v>
      </c>
      <c r="BN88" s="1118">
        <v>0</v>
      </c>
      <c r="BO88" s="1118">
        <v>6</v>
      </c>
      <c r="BP88" s="1118">
        <v>0</v>
      </c>
      <c r="BQ88" s="1118">
        <v>2</v>
      </c>
      <c r="BR88" s="1118">
        <v>5</v>
      </c>
      <c r="BS88" s="1118">
        <v>10</v>
      </c>
      <c r="BT88" s="1118">
        <v>5</v>
      </c>
      <c r="BU88" s="1118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</row>
    <row r="89" spans="1:95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16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80" t="s">
        <v>327</v>
      </c>
      <c r="AC89" s="114">
        <f t="shared" si="17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18"/>
        <v>470.00000000000006</v>
      </c>
      <c r="AG89" s="981">
        <f t="shared" si="19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9"/>
      <c r="AK89" s="1119"/>
      <c r="AM89" s="1114" t="s">
        <v>1075</v>
      </c>
      <c r="AN89" s="1115">
        <v>27721</v>
      </c>
      <c r="AO89" s="1115">
        <v>30852</v>
      </c>
      <c r="AP89" s="1115">
        <v>27398</v>
      </c>
      <c r="AQ89" s="1115">
        <v>27821</v>
      </c>
      <c r="AR89" s="1115">
        <v>24291</v>
      </c>
      <c r="AS89" s="344">
        <f>SUM(AS90:AS120)</f>
        <v>1.0000144840422065</v>
      </c>
      <c r="AT89" s="1115">
        <f>AP89+4/5*(AQ89-AP89)</f>
        <v>27736.400000000001</v>
      </c>
      <c r="AX89" s="355"/>
      <c r="AY89" s="226"/>
      <c r="AZ89" s="226"/>
      <c r="BA89" s="355"/>
      <c r="BB89" s="226"/>
      <c r="BC89" s="226"/>
      <c r="BD89" s="355"/>
      <c r="BE89" s="226"/>
      <c r="BF89" s="375"/>
      <c r="BG89" s="460"/>
      <c r="BH89" s="1287"/>
      <c r="BI89" s="1287"/>
      <c r="BJ89" s="1117" t="s">
        <v>1102</v>
      </c>
      <c r="BK89" s="460"/>
      <c r="BL89" s="460"/>
      <c r="BM89" s="460"/>
      <c r="BN89" s="460"/>
      <c r="BO89" s="460"/>
      <c r="BP89" s="460"/>
      <c r="BV89" s="1118">
        <v>3</v>
      </c>
      <c r="BW89" s="1118">
        <v>4</v>
      </c>
      <c r="BX89" s="1118">
        <v>4</v>
      </c>
      <c r="BY89" s="1118">
        <v>4</v>
      </c>
      <c r="BZ89" s="1118">
        <v>4</v>
      </c>
      <c r="CA89" s="1118">
        <v>4</v>
      </c>
      <c r="CB89" s="1118">
        <v>4</v>
      </c>
      <c r="CC89" s="1118">
        <v>4</v>
      </c>
      <c r="CD89" s="1118">
        <v>4</v>
      </c>
      <c r="CI89" s="460"/>
      <c r="CJ89" s="460"/>
      <c r="CK89" s="460"/>
      <c r="CL89" s="460"/>
      <c r="CM89" s="460"/>
      <c r="CN89" s="460"/>
      <c r="CO89" s="460"/>
      <c r="CP89" s="460"/>
      <c r="CQ89" s="460"/>
    </row>
    <row r="90" spans="1:95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16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80" t="s">
        <v>329</v>
      </c>
      <c r="AC90" s="114">
        <f t="shared" si="17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18"/>
        <v>252</v>
      </c>
      <c r="AG90" s="982">
        <f t="shared" si="19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9"/>
      <c r="AK90" s="1119"/>
      <c r="AL90" s="460"/>
      <c r="AM90" s="1108" t="s">
        <v>1017</v>
      </c>
      <c r="AN90" s="1108">
        <v>328</v>
      </c>
      <c r="AO90" s="1108">
        <v>395</v>
      </c>
      <c r="AP90" s="1108">
        <v>398</v>
      </c>
      <c r="AQ90" s="1108">
        <v>423</v>
      </c>
      <c r="AR90" s="1108">
        <v>392</v>
      </c>
      <c r="AS90" s="1126">
        <f t="shared" ref="AS90:AS120" si="20">SUM(AN90:AR90)/SUM($AN$89:$AR$89)</f>
        <v>1.4020552855891022E-2</v>
      </c>
      <c r="AT90" s="1108">
        <f t="shared" ref="AT90:AT120" si="21">AP90+4/5*(AQ90-AP90)</f>
        <v>418</v>
      </c>
      <c r="AU90" s="1124">
        <f>SUM(BV89:CD89)/SUM(BV89:CD93)</f>
        <v>1.2199372603694667E-2</v>
      </c>
      <c r="AV90" s="1124">
        <f>SUM(BV91:CD91)/SUM(BV89:CD93)</f>
        <v>0.77100034855350297</v>
      </c>
      <c r="AW90" s="1137">
        <f>SUM(BV93:CD93)/SUM(BV89:CD93)</f>
        <v>0.21680027884280237</v>
      </c>
      <c r="AX90" s="1139" cm="1">
        <f t="array" ref="AX90">INDEX($I$43:$CH$43,MATCH(AX$88&amp;AM90,$I$33:$CH$33&amp;$I$32:$CH$32,0))</f>
        <v>1272.084432974631</v>
      </c>
      <c r="AY90" s="1128" cm="1">
        <f t="array" ref="AY90">INDEX($I$43:$CH$43,MATCH(AY$88&amp;AM90,$I$33:$CH$33&amp;$I$32:$CH$32,0))</f>
        <v>9017.3696255538798</v>
      </c>
      <c r="AZ90" s="1128" cm="1">
        <f t="array" ref="AZ90">INDEX($I$43:$CH$43,MATCH(AZ$88&amp;AM90,$I$33:$CH$33&amp;$I$32:$CH$32,0))</f>
        <v>10817.00516141598</v>
      </c>
      <c r="BA90" s="1139">
        <f>(AX90*(1+AU90))</f>
        <v>1287.6030649558481</v>
      </c>
      <c r="BB90" s="1128">
        <f t="shared" ref="BB90:BC90" si="22">(AY90*(1+AV90))</f>
        <v>15969.76474989169</v>
      </c>
      <c r="BC90" s="1128">
        <f t="shared" si="22"/>
        <v>13162.134896654996</v>
      </c>
      <c r="BD90" s="1139">
        <f>BA90*(BD123/$BA$122)</f>
        <v>1898.0243486562481</v>
      </c>
      <c r="BE90" s="1128">
        <f t="shared" ref="BE90:BE96" si="23">BB90*($BE$123/$BB$122)</f>
        <v>14882.562334288119</v>
      </c>
      <c r="BF90" s="1143">
        <f t="shared" ref="BF90:BF96" si="24">BC90*($BF$123/$BC$122)</f>
        <v>11699.4764723349</v>
      </c>
      <c r="BG90" s="460"/>
      <c r="BH90" s="1287"/>
      <c r="BI90" s="1286" t="s">
        <v>1103</v>
      </c>
      <c r="BJ90" s="1117" t="s">
        <v>1101</v>
      </c>
      <c r="BK90" s="1118">
        <v>15</v>
      </c>
      <c r="BL90" s="1118">
        <v>3</v>
      </c>
      <c r="BM90" s="1118">
        <v>2</v>
      </c>
      <c r="BN90" s="1118">
        <v>32</v>
      </c>
      <c r="BO90" s="1118">
        <v>33</v>
      </c>
      <c r="BP90" s="1118">
        <v>33</v>
      </c>
      <c r="BQ90" s="1118">
        <v>47</v>
      </c>
      <c r="BR90" s="1118">
        <v>161</v>
      </c>
      <c r="BS90" s="1118">
        <v>127</v>
      </c>
      <c r="BT90" s="1118">
        <v>117</v>
      </c>
      <c r="BU90" s="1118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</row>
    <row r="91" spans="1:95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16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80" t="s">
        <v>330</v>
      </c>
      <c r="AC91" s="114">
        <f t="shared" si="17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18"/>
        <v>681</v>
      </c>
      <c r="AG91" s="981">
        <f t="shared" si="19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9"/>
      <c r="AK91" s="1119"/>
      <c r="AM91" s="1109" t="s">
        <v>1018</v>
      </c>
      <c r="AN91" s="1109">
        <v>364</v>
      </c>
      <c r="AO91" s="1109">
        <v>451</v>
      </c>
      <c r="AP91" s="1109">
        <v>454</v>
      </c>
      <c r="AQ91" s="1109">
        <v>496</v>
      </c>
      <c r="AR91" s="1109">
        <v>448</v>
      </c>
      <c r="AS91" s="1127">
        <f t="shared" si="20"/>
        <v>1.6026592701491132E-2</v>
      </c>
      <c r="AT91" s="1109">
        <f t="shared" si="21"/>
        <v>487.6</v>
      </c>
      <c r="AU91" s="1125">
        <f>SUM(BV95:CD95)/SUM(BV95:CD99)</f>
        <v>3.993154592127781E-2</v>
      </c>
      <c r="AV91" s="1125">
        <f>SUM(BV97:CD97)/SUM(BV95:CD99)</f>
        <v>0.34569309754706218</v>
      </c>
      <c r="AW91" s="1138">
        <f>SUM(BV99:CD99)/SUM(BV95:CD99)</f>
        <v>0.61437535653165998</v>
      </c>
      <c r="AX91" s="1140" cm="1">
        <f t="array" ref="AX91">INDEX($I$43:$CH$43,MATCH(AX$88&amp;AM91,$I$33:$CH$33&amp;$I$32:$CH$32,0))</f>
        <v>1271.052567009926</v>
      </c>
      <c r="AY91" s="1129" cm="1">
        <f t="array" ref="AY91">INDEX($I$43:$CH$43,MATCH(AY$88&amp;AM91,$I$33:$CH$33&amp;$I$32:$CH$32,0))</f>
        <v>7706.8792520168045</v>
      </c>
      <c r="AZ91" s="1129" cm="1">
        <f t="array" ref="AZ91">INDEX($I$43:$CH$43,MATCH(AZ$88&amp;AM91,$I$33:$CH$33&amp;$I$32:$CH$32,0))</f>
        <v>18119.875348525962</v>
      </c>
      <c r="BA91" s="1140">
        <f t="shared" ref="BA91:BA120" si="25">(AX91*(1+AU91))</f>
        <v>1321.8076609578409</v>
      </c>
      <c r="BB91" s="1129">
        <f t="shared" ref="BB91:BB120" si="26">(AY91*(1+AV91))</f>
        <v>10371.094213067679</v>
      </c>
      <c r="BC91" s="1129">
        <f t="shared" ref="BC91:BC120" si="27">(AZ91*(1+AW91))</f>
        <v>29252.280226085837</v>
      </c>
      <c r="BD91" s="1140">
        <f t="shared" ref="BD91:BD96" si="28">BA91*($BD$123/$BA$122)</f>
        <v>1948.444511371501</v>
      </c>
      <c r="BE91" s="1129">
        <f t="shared" si="23"/>
        <v>9665.0425675056576</v>
      </c>
      <c r="BF91" s="1144">
        <f t="shared" si="24"/>
        <v>26001.584617873359</v>
      </c>
      <c r="BG91" s="460"/>
      <c r="BH91" s="1287"/>
      <c r="BI91" s="1287"/>
      <c r="BJ91" s="1117" t="s">
        <v>1102</v>
      </c>
      <c r="BK91" s="460"/>
      <c r="BL91" s="460"/>
      <c r="BM91" s="460"/>
      <c r="BN91" s="460"/>
      <c r="BO91" s="460"/>
      <c r="BP91" s="460"/>
      <c r="BV91" s="1118">
        <v>182</v>
      </c>
      <c r="BW91" s="1118">
        <v>200</v>
      </c>
      <c r="BX91" s="1118">
        <v>216</v>
      </c>
      <c r="BY91" s="1118">
        <v>231</v>
      </c>
      <c r="BZ91" s="1118">
        <v>246</v>
      </c>
      <c r="CA91" s="1118">
        <v>261</v>
      </c>
      <c r="CB91" s="1118">
        <v>277</v>
      </c>
      <c r="CC91" s="1118">
        <v>292</v>
      </c>
      <c r="CD91" s="1118">
        <v>307</v>
      </c>
      <c r="CI91" s="460"/>
      <c r="CJ91" s="460"/>
      <c r="CK91" s="460"/>
      <c r="CL91" s="460"/>
      <c r="CM91" s="460"/>
      <c r="CN91" s="460"/>
      <c r="CO91" s="460"/>
      <c r="CP91" s="460"/>
      <c r="CQ91" s="460"/>
    </row>
    <row r="92" spans="1:95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16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80" t="s">
        <v>331</v>
      </c>
      <c r="AC92" s="114">
        <f t="shared" si="17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18"/>
        <v>724</v>
      </c>
      <c r="AG92" s="982">
        <f t="shared" si="19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9"/>
      <c r="AK92" s="1119"/>
      <c r="AM92" s="1108" t="s">
        <v>1019</v>
      </c>
      <c r="AN92" s="1108">
        <v>482</v>
      </c>
      <c r="AO92" s="1108">
        <v>591</v>
      </c>
      <c r="AP92" s="1108">
        <v>567</v>
      </c>
      <c r="AQ92" s="1108">
        <v>583</v>
      </c>
      <c r="AR92" s="1108">
        <v>458</v>
      </c>
      <c r="AS92" s="1126">
        <f t="shared" si="20"/>
        <v>1.9415858577811897E-2</v>
      </c>
      <c r="AT92" s="1108">
        <f t="shared" si="21"/>
        <v>579.79999999999995</v>
      </c>
      <c r="AU92" s="1124">
        <f>SUM(BV101:CD101)/SUM(BV101:CD105)</f>
        <v>2.0195838433292534E-2</v>
      </c>
      <c r="AV92" s="1124">
        <f>SUM(BV103:CD103)/SUM(BV101:CD105)</f>
        <v>0.7048653610771114</v>
      </c>
      <c r="AW92" s="1137">
        <f>SUM(BV105:CD105)/SUM(BV101:CD105)</f>
        <v>0.27493880048959607</v>
      </c>
      <c r="AX92" s="1139" cm="1">
        <f t="array" ref="AX92">INDEX($I$43:$CH$43,MATCH(AX$88&amp;AM92,$I$33:$CH$33&amp;$I$32:$CH$32,0))</f>
        <v>2491.2235846235253</v>
      </c>
      <c r="AY92" s="1128" cm="1">
        <f t="array" ref="AY92">INDEX($I$43:$CH$43,MATCH(AY$88&amp;AM92,$I$33:$CH$33&amp;$I$32:$CH$32,0))</f>
        <v>15118.989670799881</v>
      </c>
      <c r="AZ92" s="1128" cm="1">
        <f t="array" ref="AZ92">INDEX($I$43:$CH$43,MATCH(AZ$88&amp;AM92,$I$33:$CH$33&amp;$I$32:$CH$32,0))</f>
        <v>26221.499459384846</v>
      </c>
      <c r="BA92" s="1139">
        <f t="shared" si="25"/>
        <v>2541.5359336397901</v>
      </c>
      <c r="BB92" s="1128">
        <f t="shared" si="26"/>
        <v>25775.841784229357</v>
      </c>
      <c r="BC92" s="1128">
        <f t="shared" si="27"/>
        <v>33430.807067786707</v>
      </c>
      <c r="BD92" s="1139">
        <f t="shared" si="28"/>
        <v>3746.4162802365827</v>
      </c>
      <c r="BE92" s="1128">
        <f t="shared" si="23"/>
        <v>24021.053414399445</v>
      </c>
      <c r="BF92" s="1143">
        <f t="shared" si="24"/>
        <v>29715.767526447191</v>
      </c>
      <c r="BG92" s="460"/>
      <c r="BH92" s="1287"/>
      <c r="BI92" s="1286" t="s">
        <v>1104</v>
      </c>
      <c r="BJ92" s="1117" t="s">
        <v>1101</v>
      </c>
      <c r="BK92" s="1118">
        <v>88</v>
      </c>
      <c r="BL92" s="1118">
        <v>52</v>
      </c>
      <c r="BM92" s="1118">
        <v>39</v>
      </c>
      <c r="BN92" s="1118">
        <v>41</v>
      </c>
      <c r="BO92" s="1118">
        <v>60</v>
      </c>
      <c r="BP92" s="1118">
        <v>50</v>
      </c>
      <c r="BQ92" s="1118">
        <v>51</v>
      </c>
      <c r="BR92" s="1118">
        <v>62</v>
      </c>
      <c r="BS92" s="1118">
        <v>53</v>
      </c>
      <c r="BT92" s="1118">
        <v>73</v>
      </c>
      <c r="BU92" s="1118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</row>
    <row r="93" spans="1:95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16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80" t="s">
        <v>333</v>
      </c>
      <c r="AC93" s="114">
        <f t="shared" si="17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18"/>
        <v>419</v>
      </c>
      <c r="AG93" s="981">
        <f t="shared" si="19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9"/>
      <c r="AK93" s="1119"/>
      <c r="AM93" s="1109" t="s">
        <v>328</v>
      </c>
      <c r="AN93" s="1109">
        <v>833</v>
      </c>
      <c r="AO93" s="1109">
        <v>962</v>
      </c>
      <c r="AP93" s="1109">
        <v>900</v>
      </c>
      <c r="AQ93" s="1109">
        <v>998</v>
      </c>
      <c r="AR93" s="1109">
        <v>696</v>
      </c>
      <c r="AS93" s="1127">
        <f t="shared" si="20"/>
        <v>3.1785230622162035E-2</v>
      </c>
      <c r="AT93" s="1109">
        <f t="shared" si="21"/>
        <v>978.4</v>
      </c>
      <c r="AU93" s="1125">
        <f>SUM(BV107:CD107)/SUM(BV107:CD111)</f>
        <v>5.7091520315307481E-2</v>
      </c>
      <c r="AV93" s="1125">
        <f>SUM(BV109:CD109)/SUM(BV107:CD111)</f>
        <v>0.63525184025966497</v>
      </c>
      <c r="AW93" s="1138">
        <f>SUM(BV111:CD111)/SUM(BV107:CD111)</f>
        <v>0.30765663942502752</v>
      </c>
      <c r="AX93" s="1140" cm="1">
        <f t="array" ref="AX93">INDEX($I$43:$CH$43,MATCH(AX$88&amp;AM93,$I$33:$CH$33&amp;$I$32:$CH$32,0))</f>
        <v>18164.569738528382</v>
      </c>
      <c r="AY93" s="1129" cm="1">
        <f t="array" ref="AY93">INDEX($I$43:$CH$43,MATCH(AY$88&amp;AM93,$I$33:$CH$33&amp;$I$32:$CH$32,0))</f>
        <v>91446.903647123108</v>
      </c>
      <c r="AZ93" s="1129" cm="1">
        <f t="array" ref="AZ93">INDEX($I$43:$CH$43,MATCH(AZ$88&amp;AM93,$I$33:$CH$33&amp;$I$32:$CH$32,0))</f>
        <v>88706.618668082694</v>
      </c>
      <c r="BA93" s="1140">
        <f t="shared" si="25"/>
        <v>19201.612640774394</v>
      </c>
      <c r="BB93" s="1129">
        <f t="shared" si="26"/>
        <v>149538.71747500633</v>
      </c>
      <c r="BC93" s="1129">
        <f t="shared" si="27"/>
        <v>115997.79886226243</v>
      </c>
      <c r="BD93" s="1140">
        <f t="shared" si="28"/>
        <v>28304.629988516765</v>
      </c>
      <c r="BE93" s="1129">
        <f t="shared" si="23"/>
        <v>139358.30108119632</v>
      </c>
      <c r="BF93" s="1144">
        <f t="shared" si="24"/>
        <v>103107.40083484253</v>
      </c>
      <c r="BG93" s="460"/>
      <c r="BH93" s="1287"/>
      <c r="BI93" s="1287"/>
      <c r="BJ93" s="1117" t="s">
        <v>1102</v>
      </c>
      <c r="BK93" s="460"/>
      <c r="BL93" s="460"/>
      <c r="BM93" s="460"/>
      <c r="BN93" s="460"/>
      <c r="BO93" s="460"/>
      <c r="BP93" s="460"/>
      <c r="BV93" s="1118">
        <v>70</v>
      </c>
      <c r="BW93" s="1118">
        <v>69</v>
      </c>
      <c r="BX93" s="1118">
        <v>69</v>
      </c>
      <c r="BY93" s="1118">
        <v>69</v>
      </c>
      <c r="BZ93" s="1118">
        <v>69</v>
      </c>
      <c r="CA93" s="1118">
        <v>69</v>
      </c>
      <c r="CB93" s="1118">
        <v>69</v>
      </c>
      <c r="CC93" s="1118">
        <v>69</v>
      </c>
      <c r="CD93" s="1118">
        <v>69</v>
      </c>
      <c r="CI93" s="460"/>
      <c r="CJ93" s="460"/>
      <c r="CK93" s="460"/>
      <c r="CL93" s="460"/>
      <c r="CM93" s="460"/>
      <c r="CN93" s="460"/>
      <c r="CO93" s="460"/>
      <c r="CP93" s="460"/>
      <c r="CQ93" s="460"/>
    </row>
    <row r="94" spans="1:95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16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80" t="s">
        <v>334</v>
      </c>
      <c r="AC94" s="114">
        <f t="shared" si="17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18"/>
        <v>382</v>
      </c>
      <c r="AG94" s="982">
        <f t="shared" si="19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9"/>
      <c r="AK94" s="1119"/>
      <c r="AM94" s="1108" t="s">
        <v>1020</v>
      </c>
      <c r="AN94" s="1110">
        <v>2320</v>
      </c>
      <c r="AO94" s="1110">
        <v>2583</v>
      </c>
      <c r="AP94" s="1110">
        <v>2259</v>
      </c>
      <c r="AQ94" s="1110">
        <v>2206</v>
      </c>
      <c r="AR94" s="1110">
        <v>2040</v>
      </c>
      <c r="AS94" s="1126">
        <f t="shared" si="20"/>
        <v>8.2616976745870235E-2</v>
      </c>
      <c r="AT94" s="1110">
        <f t="shared" si="21"/>
        <v>2216.6</v>
      </c>
      <c r="AU94" s="1124"/>
      <c r="AV94" s="1124"/>
      <c r="AW94" s="1137"/>
      <c r="AX94" s="1139"/>
      <c r="AY94" s="1128"/>
      <c r="AZ94" s="1128"/>
      <c r="BA94" s="1139">
        <f t="shared" si="25"/>
        <v>0</v>
      </c>
      <c r="BB94" s="1128">
        <f t="shared" si="26"/>
        <v>0</v>
      </c>
      <c r="BC94" s="1128">
        <f t="shared" si="27"/>
        <v>0</v>
      </c>
      <c r="BD94" s="1139">
        <f t="shared" si="28"/>
        <v>0</v>
      </c>
      <c r="BE94" s="1128">
        <f t="shared" si="23"/>
        <v>0</v>
      </c>
      <c r="BF94" s="1143">
        <f t="shared" si="24"/>
        <v>0</v>
      </c>
      <c r="BG94" s="460"/>
      <c r="BH94" s="1286" t="s">
        <v>903</v>
      </c>
      <c r="BI94" s="1286" t="s">
        <v>42</v>
      </c>
      <c r="BJ94" s="1117" t="s">
        <v>1101</v>
      </c>
      <c r="BK94" s="1118">
        <v>1</v>
      </c>
      <c r="BL94" s="1118">
        <v>2</v>
      </c>
      <c r="BM94" s="1118">
        <v>0</v>
      </c>
      <c r="BN94" s="1118">
        <v>2</v>
      </c>
      <c r="BO94" s="1118">
        <v>5</v>
      </c>
      <c r="BP94" s="1118">
        <v>6</v>
      </c>
      <c r="BQ94" s="1118">
        <v>27</v>
      </c>
      <c r="BR94" s="1118">
        <v>5</v>
      </c>
      <c r="BS94" s="1118">
        <v>9</v>
      </c>
      <c r="BT94" s="1118">
        <v>10</v>
      </c>
      <c r="BU94" s="1118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</row>
    <row r="95" spans="1:95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16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80" t="s">
        <v>335</v>
      </c>
      <c r="AC95" s="114">
        <f t="shared" si="17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18"/>
        <v>629</v>
      </c>
      <c r="AG95" s="981">
        <f t="shared" si="19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9"/>
      <c r="AK95" s="1119"/>
      <c r="AM95" s="1109" t="s">
        <v>1021</v>
      </c>
      <c r="AN95" s="1109">
        <v>668</v>
      </c>
      <c r="AO95" s="1109">
        <v>875</v>
      </c>
      <c r="AP95" s="1109">
        <v>892</v>
      </c>
      <c r="AQ95" s="1109">
        <v>979</v>
      </c>
      <c r="AR95" s="1109">
        <v>827</v>
      </c>
      <c r="AS95" s="1127">
        <f t="shared" si="20"/>
        <v>3.0713411498881106E-2</v>
      </c>
      <c r="AT95" s="1109">
        <f t="shared" si="21"/>
        <v>961.6</v>
      </c>
      <c r="AU95" s="1125">
        <f>SUM(BV113:CD113)/SUM(BV113:CD117)</f>
        <v>7.150302272253492E-2</v>
      </c>
      <c r="AV95" s="1125">
        <f>SUM(BV115:CD115)/SUM(BV113:CD117)</f>
        <v>0.32291015217844488</v>
      </c>
      <c r="AW95" s="1138">
        <f>SUM(BV117:CD117)/SUM(BV113:CD117)</f>
        <v>0.60558682509902018</v>
      </c>
      <c r="AX95" s="1140" cm="1">
        <f t="array" ref="AX95">INDEX($I$43:$CH$43,MATCH(AX$88&amp;AM95,$I$33:$CH$33&amp;$I$32:$CH$32,0))</f>
        <v>2392.9923596273825</v>
      </c>
      <c r="AY95" s="1129" cm="1">
        <f t="array" ref="AY95">INDEX($I$43:$CH$43,MATCH(AY$88&amp;AM95,$I$33:$CH$33&amp;$I$32:$CH$32,0))</f>
        <v>15881.582138278784</v>
      </c>
      <c r="AZ95" s="1129" cm="1">
        <f t="array" ref="AZ95">INDEX($I$43:$CH$43,MATCH(AZ$88&amp;AM95,$I$33:$CH$33&amp;$I$32:$CH$32,0))</f>
        <v>40738.467908725754</v>
      </c>
      <c r="BA95" s="1140">
        <f t="shared" si="25"/>
        <v>2564.0985466926713</v>
      </c>
      <c r="BB95" s="1129">
        <f t="shared" si="26"/>
        <v>21009.906243384856</v>
      </c>
      <c r="BC95" s="1129">
        <f t="shared" si="27"/>
        <v>65409.147348969302</v>
      </c>
      <c r="BD95" s="1140">
        <f t="shared" si="28"/>
        <v>3779.675279154193</v>
      </c>
      <c r="BE95" s="1129">
        <f t="shared" si="23"/>
        <v>19579.577044605176</v>
      </c>
      <c r="BF95" s="1144">
        <f t="shared" si="24"/>
        <v>58140.475423879237</v>
      </c>
      <c r="BG95" s="460"/>
      <c r="BH95" s="1287"/>
      <c r="BI95" s="1287"/>
      <c r="BJ95" s="1117" t="s">
        <v>1102</v>
      </c>
      <c r="BK95" s="460"/>
      <c r="BL95" s="460"/>
      <c r="BM95" s="460"/>
      <c r="BN95" s="460"/>
      <c r="BO95" s="460"/>
      <c r="BP95" s="460"/>
      <c r="BV95" s="1118">
        <v>6</v>
      </c>
      <c r="BW95" s="1118">
        <v>8</v>
      </c>
      <c r="BX95" s="1118">
        <v>8</v>
      </c>
      <c r="BY95" s="1118">
        <v>8</v>
      </c>
      <c r="BZ95" s="1118">
        <v>8</v>
      </c>
      <c r="CA95" s="1118">
        <v>8</v>
      </c>
      <c r="CB95" s="1118">
        <v>8</v>
      </c>
      <c r="CC95" s="1118">
        <v>8</v>
      </c>
      <c r="CD95" s="1118">
        <v>8</v>
      </c>
      <c r="CI95" s="460"/>
      <c r="CJ95" s="460"/>
      <c r="CK95" s="460"/>
      <c r="CL95" s="460"/>
      <c r="CM95" s="460"/>
      <c r="CN95" s="460"/>
      <c r="CO95" s="460"/>
      <c r="CP95" s="460"/>
      <c r="CQ95" s="460"/>
    </row>
    <row r="96" spans="1:95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16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80" t="s">
        <v>337</v>
      </c>
      <c r="AC96" s="114">
        <f t="shared" si="17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18"/>
        <v>555</v>
      </c>
      <c r="AG96" s="982">
        <f t="shared" si="19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9"/>
      <c r="AK96" s="1119"/>
      <c r="AM96" s="1108" t="s">
        <v>336</v>
      </c>
      <c r="AN96" s="1110">
        <v>4190</v>
      </c>
      <c r="AO96" s="1110">
        <v>4333</v>
      </c>
      <c r="AP96" s="1110">
        <v>3278</v>
      </c>
      <c r="AQ96" s="1110">
        <v>3415</v>
      </c>
      <c r="AR96" s="1110">
        <v>3293</v>
      </c>
      <c r="AS96" s="1126">
        <f t="shared" si="20"/>
        <v>0.1340425686000449</v>
      </c>
      <c r="AT96" s="1110">
        <f t="shared" si="21"/>
        <v>3387.6</v>
      </c>
      <c r="AU96" s="1124">
        <f>SUM(BV119:CD119)/SUM(BV119:CD123)</f>
        <v>0.93943704527649063</v>
      </c>
      <c r="AV96" s="1124">
        <f>SUM(BV121:CD121)/SUM(BV119:CD123)</f>
        <v>5.4752654475642461E-2</v>
      </c>
      <c r="AW96" s="1137">
        <f>SUM(BV123:CD123)/SUM(BV119:CD123)</f>
        <v>5.8103002478669275E-3</v>
      </c>
      <c r="AX96" s="1139" cm="1">
        <f t="array" ref="AX96">INDEX($I$43:$CH$43,MATCH(AX$88&amp;AM96,$I$33:$CH$33&amp;$I$32:$CH$32,0))</f>
        <v>123314.67820831671</v>
      </c>
      <c r="AY96" s="1128" cm="1">
        <f t="array" ref="AY96">INDEX($I$43:$CH$43,MATCH(AY$88&amp;AM96,$I$33:$CH$33&amp;$I$32:$CH$32,0))</f>
        <v>299739.87494657928</v>
      </c>
      <c r="AZ96" s="1128" cm="1">
        <f t="array" ref="AZ96">INDEX($I$43:$CH$43,MATCH(AZ$88&amp;AM96,$I$33:$CH$33&amp;$I$32:$CH$32,0))</f>
        <v>56159.174425610254</v>
      </c>
      <c r="BA96" s="1139">
        <f t="shared" si="25"/>
        <v>239161.055143559</v>
      </c>
      <c r="BB96" s="1128">
        <f t="shared" si="26"/>
        <v>316151.42875210161</v>
      </c>
      <c r="BC96" s="1128">
        <f t="shared" si="27"/>
        <v>56485.476090695374</v>
      </c>
      <c r="BD96" s="1139">
        <f t="shared" si="28"/>
        <v>352541.49222482624</v>
      </c>
      <c r="BE96" s="1128">
        <f t="shared" si="23"/>
        <v>294628.2189604147</v>
      </c>
      <c r="BF96" s="1143">
        <f t="shared" si="24"/>
        <v>50208.458106570048</v>
      </c>
      <c r="BG96" s="460"/>
      <c r="BH96" s="1287"/>
      <c r="BI96" s="1286" t="s">
        <v>1103</v>
      </c>
      <c r="BJ96" s="1117" t="s">
        <v>1101</v>
      </c>
      <c r="BK96" s="1118">
        <v>56</v>
      </c>
      <c r="BL96" s="1118">
        <v>1</v>
      </c>
      <c r="BM96" s="1118">
        <v>4</v>
      </c>
      <c r="BN96" s="1118">
        <v>13</v>
      </c>
      <c r="BO96" s="1118">
        <v>15</v>
      </c>
      <c r="BP96" s="1118">
        <v>30</v>
      </c>
      <c r="BQ96" s="1118">
        <v>24</v>
      </c>
      <c r="BR96" s="1118">
        <v>49</v>
      </c>
      <c r="BS96" s="1118">
        <v>21</v>
      </c>
      <c r="BT96" s="1118">
        <v>68</v>
      </c>
      <c r="BU96" s="1118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</row>
    <row r="97" spans="1:95" ht="25.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16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80" t="s">
        <v>324</v>
      </c>
      <c r="AC97" s="114">
        <f t="shared" si="17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18"/>
        <v>547</v>
      </c>
      <c r="AG97" s="981">
        <f t="shared" si="19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9"/>
      <c r="AK97" s="1119"/>
      <c r="AM97" s="1109" t="s">
        <v>1022</v>
      </c>
      <c r="AN97" s="1111">
        <v>1756</v>
      </c>
      <c r="AO97" s="1111">
        <v>1930</v>
      </c>
      <c r="AP97" s="1111">
        <v>1636</v>
      </c>
      <c r="AQ97" s="1111">
        <v>1550</v>
      </c>
      <c r="AR97" s="1111">
        <v>1296</v>
      </c>
      <c r="AS97" s="1127">
        <f t="shared" si="20"/>
        <v>5.9152828371341871E-2</v>
      </c>
      <c r="AT97" s="1111">
        <f t="shared" si="21"/>
        <v>1567.2</v>
      </c>
      <c r="AU97" s="1125"/>
      <c r="AV97" s="1125"/>
      <c r="AW97" s="1138"/>
      <c r="AX97" s="1140"/>
      <c r="AY97" s="1129"/>
      <c r="AZ97" s="1129"/>
      <c r="BA97" s="1140"/>
      <c r="BB97" s="1129"/>
      <c r="BC97" s="1129"/>
      <c r="BD97" s="1140"/>
      <c r="BE97" s="1129"/>
      <c r="BF97" s="1144"/>
      <c r="BG97" s="460"/>
      <c r="BH97" s="1287"/>
      <c r="BI97" s="1287"/>
      <c r="BJ97" s="1117" t="s">
        <v>1102</v>
      </c>
      <c r="BK97" s="460"/>
      <c r="BL97" s="460"/>
      <c r="BM97" s="460"/>
      <c r="BN97" s="460"/>
      <c r="BO97" s="460"/>
      <c r="BP97" s="460"/>
      <c r="BV97" s="1118">
        <v>70</v>
      </c>
      <c r="BW97" s="1118">
        <v>67</v>
      </c>
      <c r="BX97" s="1118">
        <v>67</v>
      </c>
      <c r="BY97" s="1118">
        <v>67</v>
      </c>
      <c r="BZ97" s="1118">
        <v>67</v>
      </c>
      <c r="CA97" s="1118">
        <v>67</v>
      </c>
      <c r="CB97" s="1118">
        <v>67</v>
      </c>
      <c r="CC97" s="1118">
        <v>67</v>
      </c>
      <c r="CD97" s="1118">
        <v>67</v>
      </c>
      <c r="CI97" s="460"/>
      <c r="CJ97" s="460"/>
      <c r="CK97" s="460"/>
      <c r="CL97" s="460"/>
      <c r="CM97" s="460"/>
      <c r="CN97" s="460"/>
      <c r="CO97" s="460"/>
      <c r="CP97" s="460"/>
      <c r="CQ97" s="460"/>
    </row>
    <row r="98" spans="1:95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16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80" t="s">
        <v>328</v>
      </c>
      <c r="AC98" s="114">
        <f t="shared" si="17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18"/>
        <v>2266</v>
      </c>
      <c r="AG98" s="982">
        <f t="shared" si="19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9"/>
      <c r="AK98" s="1119"/>
      <c r="AM98" s="1108" t="s">
        <v>1023</v>
      </c>
      <c r="AN98" s="1110">
        <v>2034</v>
      </c>
      <c r="AO98" s="1110">
        <v>2152</v>
      </c>
      <c r="AP98" s="1110">
        <v>1381</v>
      </c>
      <c r="AQ98" s="1108">
        <v>977</v>
      </c>
      <c r="AR98" s="1108">
        <v>743</v>
      </c>
      <c r="AS98" s="1126">
        <f t="shared" si="20"/>
        <v>5.2772607779379067E-2</v>
      </c>
      <c r="AT98" s="1110">
        <f t="shared" si="21"/>
        <v>1057.8</v>
      </c>
      <c r="AU98" s="1124"/>
      <c r="AV98" s="1124"/>
      <c r="AW98" s="1137"/>
      <c r="AX98" s="1139"/>
      <c r="AY98" s="1128"/>
      <c r="AZ98" s="1128"/>
      <c r="BA98" s="1139"/>
      <c r="BB98" s="1128"/>
      <c r="BC98" s="1128"/>
      <c r="BD98" s="1139"/>
      <c r="BE98" s="1128"/>
      <c r="BF98" s="1143"/>
      <c r="BG98" s="460"/>
      <c r="BH98" s="1287"/>
      <c r="BI98" s="1286" t="s">
        <v>1104</v>
      </c>
      <c r="BJ98" s="1117" t="s">
        <v>1101</v>
      </c>
      <c r="BK98" s="1118">
        <v>114</v>
      </c>
      <c r="BL98" s="1118">
        <v>96</v>
      </c>
      <c r="BM98" s="1118">
        <v>65</v>
      </c>
      <c r="BN98" s="1118">
        <v>87</v>
      </c>
      <c r="BO98" s="1118">
        <v>71</v>
      </c>
      <c r="BP98" s="1118">
        <v>109</v>
      </c>
      <c r="BQ98" s="1118">
        <v>93</v>
      </c>
      <c r="BR98" s="1118">
        <v>106</v>
      </c>
      <c r="BS98" s="1118">
        <v>109</v>
      </c>
      <c r="BT98" s="1118">
        <v>120</v>
      </c>
      <c r="BU98" s="1118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</row>
    <row r="99" spans="1:95" ht="25.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16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80" t="s">
        <v>339</v>
      </c>
      <c r="AC99" s="114">
        <f t="shared" si="17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18"/>
        <v>720</v>
      </c>
      <c r="AG99" s="981">
        <f t="shared" si="19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9"/>
      <c r="AK99" s="1119"/>
      <c r="AM99" s="1109" t="s">
        <v>1024</v>
      </c>
      <c r="AN99" s="1111">
        <v>1952</v>
      </c>
      <c r="AO99" s="1111">
        <v>2058</v>
      </c>
      <c r="AP99" s="1111">
        <v>1491</v>
      </c>
      <c r="AQ99" s="1111">
        <v>1233</v>
      </c>
      <c r="AR99" s="1111">
        <v>1087</v>
      </c>
      <c r="AS99" s="1127">
        <f t="shared" si="20"/>
        <v>5.6639847048514297E-2</v>
      </c>
      <c r="AT99" s="1111">
        <f t="shared" si="21"/>
        <v>1284.5999999999999</v>
      </c>
      <c r="AU99" s="1125"/>
      <c r="AV99" s="1125"/>
      <c r="AW99" s="1138"/>
      <c r="AX99" s="1140"/>
      <c r="AY99" s="1129"/>
      <c r="AZ99" s="1129"/>
      <c r="BA99" s="1140"/>
      <c r="BB99" s="1129"/>
      <c r="BC99" s="1129"/>
      <c r="BD99" s="1140"/>
      <c r="BE99" s="1129"/>
      <c r="BF99" s="1144"/>
      <c r="BG99" s="460"/>
      <c r="BH99" s="1287"/>
      <c r="BI99" s="1287"/>
      <c r="BJ99" s="1117" t="s">
        <v>1102</v>
      </c>
      <c r="BK99" s="460"/>
      <c r="BL99" s="460"/>
      <c r="BM99" s="460"/>
      <c r="BN99" s="460"/>
      <c r="BO99" s="460"/>
      <c r="BP99" s="460"/>
      <c r="BV99" s="1118">
        <v>117</v>
      </c>
      <c r="BW99" s="1118">
        <v>120</v>
      </c>
      <c r="BX99" s="1118">
        <v>120</v>
      </c>
      <c r="BY99" s="1118">
        <v>120</v>
      </c>
      <c r="BZ99" s="1118">
        <v>120</v>
      </c>
      <c r="CA99" s="1118">
        <v>120</v>
      </c>
      <c r="CB99" s="1118">
        <v>120</v>
      </c>
      <c r="CC99" s="1118">
        <v>120</v>
      </c>
      <c r="CD99" s="1118">
        <v>120</v>
      </c>
      <c r="CI99" s="460"/>
      <c r="CJ99" s="460"/>
      <c r="CK99" s="460"/>
      <c r="CL99" s="460"/>
      <c r="CM99" s="460"/>
      <c r="CN99" s="460"/>
      <c r="CO99" s="460"/>
      <c r="CP99" s="460"/>
      <c r="CQ99" s="460"/>
    </row>
    <row r="100" spans="1:95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16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80" t="s">
        <v>340</v>
      </c>
      <c r="AC100" s="114">
        <f t="shared" si="17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18"/>
        <v>932</v>
      </c>
      <c r="AG100" s="982">
        <f t="shared" si="19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9"/>
      <c r="AK100" s="1119"/>
      <c r="AM100" s="1108" t="s">
        <v>338</v>
      </c>
      <c r="AN100" s="1108">
        <v>296</v>
      </c>
      <c r="AO100" s="1108">
        <v>297</v>
      </c>
      <c r="AP100" s="1108">
        <v>284</v>
      </c>
      <c r="AQ100" s="1108">
        <v>341</v>
      </c>
      <c r="AR100" s="1108">
        <v>185</v>
      </c>
      <c r="AS100" s="1126">
        <f t="shared" si="20"/>
        <v>1.0160555607859041E-2</v>
      </c>
      <c r="AT100" s="1108">
        <f t="shared" si="21"/>
        <v>329.6</v>
      </c>
      <c r="AU100" s="1124">
        <f>SUM(BV125:CD125)/SUM(BV125:CD129)</f>
        <v>0.15717138494067895</v>
      </c>
      <c r="AV100" s="1124">
        <f>SUM(BV127:CD127)/SUM(BV125:CD129)</f>
        <v>0.36285680723599201</v>
      </c>
      <c r="AW100" s="1137">
        <f>SUM(BV129:CD129)/SUM(BV125:CD129)</f>
        <v>0.47997180782332904</v>
      </c>
      <c r="AX100" s="1139" cm="1">
        <f t="array" ref="AX100">INDEX($I$43:$CH$43,MATCH(AX$88&amp;AM100,$I$33:$CH$33&amp;$I$32:$CH$32,0))</f>
        <v>9881.5892011882625</v>
      </c>
      <c r="AY100" s="1128" cm="1">
        <f t="array" ref="AY100">INDEX($I$43:$CH$43,MATCH(AY$88&amp;AM100,$I$33:$CH$33&amp;$I$32:$CH$32,0))</f>
        <v>27589.465054026703</v>
      </c>
      <c r="AZ100" s="1128" cm="1">
        <f t="array" ref="AZ100">INDEX($I$43:$CH$43,MATCH(AZ$88&amp;AM100,$I$33:$CH$33&amp;$I$32:$CH$32,0))</f>
        <v>55372.585087977008</v>
      </c>
      <c r="BA100" s="1139">
        <f t="shared" si="25"/>
        <v>11434.692261353877</v>
      </c>
      <c r="BB100" s="1128">
        <f t="shared" si="26"/>
        <v>37600.490256879813</v>
      </c>
      <c r="BC100" s="1128">
        <f t="shared" si="27"/>
        <v>81949.864856504442</v>
      </c>
      <c r="BD100" s="1139">
        <f t="shared" ref="BD100:BD120" si="29">BA100*($BD$123/$BA$122)</f>
        <v>16855.601638525954</v>
      </c>
      <c r="BE100" s="1128">
        <f t="shared" ref="BE100:BE120" si="30">BB100*($BE$123/$BB$122)</f>
        <v>35040.694012202162</v>
      </c>
      <c r="BF100" s="1143">
        <f t="shared" ref="BF100:BF120" si="31">BC100*($BF$123/$BC$122)</f>
        <v>72843.085360214536</v>
      </c>
      <c r="BG100" s="460"/>
      <c r="BH100" s="1286" t="s">
        <v>902</v>
      </c>
      <c r="BI100" s="1286" t="s">
        <v>42</v>
      </c>
      <c r="BJ100" s="1117" t="s">
        <v>1101</v>
      </c>
      <c r="BK100" s="1118">
        <v>7</v>
      </c>
      <c r="BL100" s="1118">
        <v>2</v>
      </c>
      <c r="BM100" s="1118">
        <v>2</v>
      </c>
      <c r="BN100" s="1118">
        <v>3</v>
      </c>
      <c r="BO100" s="1118">
        <v>2</v>
      </c>
      <c r="BP100" s="1118">
        <v>6</v>
      </c>
      <c r="BQ100" s="1118">
        <v>12</v>
      </c>
      <c r="BR100" s="1118">
        <v>2</v>
      </c>
      <c r="BS100" s="1118">
        <v>16</v>
      </c>
      <c r="BT100" s="1118">
        <v>20</v>
      </c>
      <c r="BU100" s="1118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</row>
    <row r="101" spans="1:95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16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80" t="s">
        <v>341</v>
      </c>
      <c r="AC101" s="114">
        <f t="shared" si="17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18"/>
        <v>814</v>
      </c>
      <c r="AG101" s="981">
        <f t="shared" si="19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9"/>
      <c r="AK101" s="1119"/>
      <c r="AM101" s="1109" t="s">
        <v>1025</v>
      </c>
      <c r="AN101" s="1111">
        <v>1030</v>
      </c>
      <c r="AO101" s="1111">
        <v>1144</v>
      </c>
      <c r="AP101" s="1111">
        <v>1021</v>
      </c>
      <c r="AQ101" s="1109">
        <v>953</v>
      </c>
      <c r="AR101" s="1109">
        <v>843</v>
      </c>
      <c r="AS101" s="1127">
        <f t="shared" si="20"/>
        <v>3.614492732631823E-2</v>
      </c>
      <c r="AT101" s="1111">
        <f t="shared" si="21"/>
        <v>966.6</v>
      </c>
      <c r="AU101" s="1125"/>
      <c r="AV101" s="1125"/>
      <c r="AW101" s="1138"/>
      <c r="AX101" s="1140"/>
      <c r="AY101" s="1129"/>
      <c r="AZ101" s="1129"/>
      <c r="BA101" s="1140">
        <f t="shared" si="25"/>
        <v>0</v>
      </c>
      <c r="BB101" s="1129">
        <f t="shared" si="26"/>
        <v>0</v>
      </c>
      <c r="BC101" s="1129">
        <f t="shared" si="27"/>
        <v>0</v>
      </c>
      <c r="BD101" s="1140">
        <f t="shared" si="29"/>
        <v>0</v>
      </c>
      <c r="BE101" s="1129">
        <f t="shared" si="30"/>
        <v>0</v>
      </c>
      <c r="BF101" s="1144">
        <f t="shared" si="31"/>
        <v>0</v>
      </c>
      <c r="BG101" s="460"/>
      <c r="BH101" s="1287"/>
      <c r="BI101" s="1287"/>
      <c r="BJ101" s="1117" t="s">
        <v>1102</v>
      </c>
      <c r="BK101" s="460"/>
      <c r="BL101" s="460"/>
      <c r="BM101" s="460"/>
      <c r="BN101" s="460"/>
      <c r="BO101" s="460"/>
      <c r="BP101" s="460"/>
      <c r="BV101" s="1118">
        <v>20</v>
      </c>
      <c r="BW101" s="1118">
        <v>14</v>
      </c>
      <c r="BX101" s="1118">
        <v>14</v>
      </c>
      <c r="BY101" s="1118">
        <v>14</v>
      </c>
      <c r="BZ101" s="1118">
        <v>14</v>
      </c>
      <c r="CA101" s="1118">
        <v>14</v>
      </c>
      <c r="CB101" s="1118">
        <v>14</v>
      </c>
      <c r="CC101" s="1118">
        <v>14</v>
      </c>
      <c r="CD101" s="1118">
        <v>14</v>
      </c>
      <c r="CI101" s="460"/>
      <c r="CJ101" s="460"/>
      <c r="CK101" s="460"/>
      <c r="CL101" s="460"/>
      <c r="CM101" s="460"/>
      <c r="CN101" s="460"/>
      <c r="CO101" s="460"/>
      <c r="CP101" s="460"/>
      <c r="CQ101" s="460"/>
    </row>
    <row r="102" spans="1:95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16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80" t="s">
        <v>342</v>
      </c>
      <c r="AC102" s="114">
        <f t="shared" si="17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18"/>
        <v>588</v>
      </c>
      <c r="AG102" s="982">
        <f t="shared" si="19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9"/>
      <c r="AK102" s="1119"/>
      <c r="AM102" s="1108" t="s">
        <v>1026</v>
      </c>
      <c r="AN102" s="1108">
        <v>779</v>
      </c>
      <c r="AO102" s="1108">
        <v>929</v>
      </c>
      <c r="AP102" s="1108">
        <v>879</v>
      </c>
      <c r="AQ102" s="1108">
        <v>926</v>
      </c>
      <c r="AR102" s="1108">
        <v>833</v>
      </c>
      <c r="AS102" s="1126">
        <f t="shared" si="20"/>
        <v>3.1473823714722307E-2</v>
      </c>
      <c r="AT102" s="1108">
        <f t="shared" si="21"/>
        <v>916.6</v>
      </c>
      <c r="AU102" s="1124">
        <f>SUM(BV131:CD131)/SUM(BV131:CD135)</f>
        <v>7.0301937809824244E-2</v>
      </c>
      <c r="AV102" s="1124">
        <f>SUM(BV133:CD133)/SUM(BV131:CD135)</f>
        <v>0.5085624155024786</v>
      </c>
      <c r="AW102" s="1137">
        <f>SUM(BV135:CD135)/SUM(BV131:CD135)</f>
        <v>0.42113564668769715</v>
      </c>
      <c r="AX102" s="1139" cm="1">
        <f t="array" ref="AX102">INDEX($I$43:$CH$43,MATCH(AX$88&amp;AM102,$I$33:$CH$33&amp;$I$32:$CH$32,0))</f>
        <v>2906.0721193547802</v>
      </c>
      <c r="AY102" s="1128" cm="1">
        <f t="array" ref="AY102">INDEX($I$43:$CH$43,MATCH(AY$88&amp;AM102,$I$33:$CH$33&amp;$I$32:$CH$32,0))</f>
        <v>15686.699374231552</v>
      </c>
      <c r="AZ102" s="1128" cm="1">
        <f t="array" ref="AZ102">INDEX($I$43:$CH$43,MATCH(AZ$88&amp;AM102,$I$33:$CH$33&amp;$I$32:$CH$32,0))</f>
        <v>36376.580790193235</v>
      </c>
      <c r="BA102" s="1139">
        <f t="shared" si="25"/>
        <v>3110.3746207605241</v>
      </c>
      <c r="BB102" s="1128">
        <f t="shared" si="26"/>
        <v>23664.365099251969</v>
      </c>
      <c r="BC102" s="1128">
        <f t="shared" si="27"/>
        <v>51696.055665558524</v>
      </c>
      <c r="BD102" s="1139">
        <f t="shared" si="29"/>
        <v>4584.9275481868717</v>
      </c>
      <c r="BE102" s="1128">
        <f t="shared" si="30"/>
        <v>22053.323527721863</v>
      </c>
      <c r="BF102" s="1143">
        <f t="shared" si="31"/>
        <v>45951.267915163553</v>
      </c>
      <c r="BG102" s="460"/>
      <c r="BH102" s="1287"/>
      <c r="BI102" s="1286" t="s">
        <v>1103</v>
      </c>
      <c r="BJ102" s="1117" t="s">
        <v>1101</v>
      </c>
      <c r="BK102" s="1118">
        <v>15</v>
      </c>
      <c r="BL102" s="1118">
        <v>12</v>
      </c>
      <c r="BM102" s="1118">
        <v>9</v>
      </c>
      <c r="BN102" s="1118">
        <v>42</v>
      </c>
      <c r="BO102" s="1118">
        <v>29</v>
      </c>
      <c r="BP102" s="1118">
        <v>73</v>
      </c>
      <c r="BQ102" s="1118">
        <v>102</v>
      </c>
      <c r="BR102" s="1118">
        <v>71</v>
      </c>
      <c r="BS102" s="1118">
        <v>158</v>
      </c>
      <c r="BT102" s="1118">
        <v>156</v>
      </c>
      <c r="BU102" s="1118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</row>
    <row r="103" spans="1:95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16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80" t="s">
        <v>338</v>
      </c>
      <c r="AC103" s="148">
        <f t="shared" si="17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18"/>
        <v>1275</v>
      </c>
      <c r="AG103" s="981">
        <f t="shared" si="19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9"/>
      <c r="AK103" s="1119"/>
      <c r="AM103" s="1109" t="s">
        <v>1027</v>
      </c>
      <c r="AN103" s="1111">
        <v>1397</v>
      </c>
      <c r="AO103" s="1111">
        <v>1494</v>
      </c>
      <c r="AP103" s="1111">
        <v>1464</v>
      </c>
      <c r="AQ103" s="1111">
        <v>1517</v>
      </c>
      <c r="AR103" s="1111">
        <v>1281</v>
      </c>
      <c r="AS103" s="1127">
        <f t="shared" si="20"/>
        <v>5.1802176951543634E-2</v>
      </c>
      <c r="AT103" s="1111">
        <f t="shared" si="21"/>
        <v>1506.4</v>
      </c>
      <c r="AU103" s="1125">
        <f>SUM(BV137:CD137)/SUM(BV137:CD141)</f>
        <v>6.2385080115576572E-2</v>
      </c>
      <c r="AV103" s="1125">
        <f>SUM(BV139:CD139)/SUM(BV137:CD141)</f>
        <v>0.87098327642062867</v>
      </c>
      <c r="AW103" s="1138">
        <f>SUM(BV141:CD141)/SUM(BV137:CD141)</f>
        <v>6.6631643463794771E-2</v>
      </c>
      <c r="AX103" s="1140" cm="1">
        <f t="array" ref="AX103">INDEX($I$43:$CH$43,MATCH(AX$88&amp;AM103,$I$33:$CH$33&amp;$I$32:$CH$32,0))</f>
        <v>7363.7968231969135</v>
      </c>
      <c r="AY103" s="1129" cm="1">
        <f t="array" ref="AY103">INDEX($I$43:$CH$43,MATCH(AY$88&amp;AM103,$I$33:$CH$33&amp;$I$32:$CH$32,0))</f>
        <v>38144.204386107944</v>
      </c>
      <c r="AZ103" s="1129" cm="1">
        <f t="array" ref="AZ103">INDEX($I$43:$CH$43,MATCH(AZ$88&amp;AM103,$I$33:$CH$33&amp;$I$32:$CH$32,0))</f>
        <v>30304.517514538838</v>
      </c>
      <c r="BA103" s="1140">
        <f t="shared" si="25"/>
        <v>7823.1878779668805</v>
      </c>
      <c r="BB103" s="1129">
        <f t="shared" si="26"/>
        <v>71367.168498778352</v>
      </c>
      <c r="BC103" s="1129">
        <f t="shared" si="27"/>
        <v>32323.757320909914</v>
      </c>
      <c r="BD103" s="1140">
        <f t="shared" si="29"/>
        <v>11531.970900521817</v>
      </c>
      <c r="BE103" s="1129">
        <f t="shared" si="30"/>
        <v>66508.577329663909</v>
      </c>
      <c r="BF103" s="1144">
        <f t="shared" si="31"/>
        <v>28731.740043900958</v>
      </c>
      <c r="BG103" s="460"/>
      <c r="BH103" s="1287"/>
      <c r="BI103" s="1287"/>
      <c r="BJ103" s="1117" t="s">
        <v>1102</v>
      </c>
      <c r="BK103" s="460"/>
      <c r="BL103" s="460"/>
      <c r="BM103" s="460"/>
      <c r="BN103" s="460"/>
      <c r="BO103" s="460"/>
      <c r="BP103" s="460"/>
      <c r="BV103" s="1118">
        <v>291</v>
      </c>
      <c r="BW103" s="1118">
        <v>326</v>
      </c>
      <c r="BX103" s="1118">
        <v>387</v>
      </c>
      <c r="BY103" s="1118">
        <v>448</v>
      </c>
      <c r="BZ103" s="1118">
        <v>509</v>
      </c>
      <c r="CA103" s="1118">
        <v>570</v>
      </c>
      <c r="CB103" s="1118">
        <v>631</v>
      </c>
      <c r="CC103" s="1118">
        <v>692</v>
      </c>
      <c r="CD103" s="1118">
        <v>753</v>
      </c>
      <c r="CI103" s="460"/>
      <c r="CJ103" s="460"/>
      <c r="CK103" s="460"/>
      <c r="CL103" s="460"/>
      <c r="CM103" s="460"/>
      <c r="CN103" s="460"/>
      <c r="CO103" s="460"/>
      <c r="CP103" s="460"/>
      <c r="CQ103" s="460"/>
    </row>
    <row r="104" spans="1:95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16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80" t="s">
        <v>343</v>
      </c>
      <c r="AC104" s="148">
        <f t="shared" si="17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18"/>
        <v>141</v>
      </c>
      <c r="AG104" s="982">
        <f t="shared" si="19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9"/>
      <c r="AK104" s="1119"/>
      <c r="AM104" s="1108" t="s">
        <v>1028</v>
      </c>
      <c r="AN104" s="1108">
        <v>529</v>
      </c>
      <c r="AO104" s="1108">
        <v>574</v>
      </c>
      <c r="AP104" s="1108">
        <v>600</v>
      </c>
      <c r="AQ104" s="1108">
        <v>663</v>
      </c>
      <c r="AR104" s="1108">
        <v>675</v>
      </c>
      <c r="AS104" s="1126">
        <f t="shared" si="20"/>
        <v>2.2022986174981714E-2</v>
      </c>
      <c r="AT104" s="1108">
        <f t="shared" si="21"/>
        <v>650.4</v>
      </c>
      <c r="AU104" s="1124">
        <f>SUM(BV143:CD143)/SUM(BV143:CD147)</f>
        <v>9.2057761732851989E-2</v>
      </c>
      <c r="AV104" s="1124">
        <f>SUM(BV145:CD145)/SUM(BV143:CD147)</f>
        <v>0.39494584837545127</v>
      </c>
      <c r="AW104" s="1137">
        <f>SUM(BV147:CD147)/SUM(BV143:CD147)</f>
        <v>0.51299638989169671</v>
      </c>
      <c r="AX104" s="1139" cm="1">
        <f t="array" ref="AX104">INDEX($I$43:$CH$43,MATCH(AX$88&amp;AM104,$I$33:$CH$33&amp;$I$32:$CH$32,0))</f>
        <v>1751.3817529766175</v>
      </c>
      <c r="AY104" s="1128" cm="1">
        <f t="array" ref="AY104">INDEX($I$43:$CH$43,MATCH(AY$88&amp;AM104,$I$33:$CH$33&amp;$I$32:$CH$32,0))</f>
        <v>12508.441600918088</v>
      </c>
      <c r="AZ104" s="1128" cm="1">
        <f t="array" ref="AZ104">INDEX($I$43:$CH$43,MATCH(AZ$88&amp;AM104,$I$33:$CH$33&amp;$I$32:$CH$32,0))</f>
        <v>20891.382011189213</v>
      </c>
      <c r="BA104" s="1139">
        <f t="shared" si="25"/>
        <v>1912.6100370954034</v>
      </c>
      <c r="BB104" s="1128">
        <f t="shared" si="26"/>
        <v>17448.59868084747</v>
      </c>
      <c r="BC104" s="1128">
        <f t="shared" si="27"/>
        <v>31608.585562777615</v>
      </c>
      <c r="BD104" s="1139">
        <f t="shared" si="29"/>
        <v>2819.3319188906125</v>
      </c>
      <c r="BE104" s="1128">
        <f t="shared" si="30"/>
        <v>16260.719026274393</v>
      </c>
      <c r="BF104" s="1143">
        <f t="shared" si="31"/>
        <v>28096.042626753711</v>
      </c>
      <c r="BG104" s="460"/>
      <c r="BH104" s="1287"/>
      <c r="BI104" s="1286" t="s">
        <v>1104</v>
      </c>
      <c r="BJ104" s="1117" t="s">
        <v>1101</v>
      </c>
      <c r="BK104" s="1118">
        <v>183</v>
      </c>
      <c r="BL104" s="1118">
        <v>146</v>
      </c>
      <c r="BM104" s="1118">
        <v>112</v>
      </c>
      <c r="BN104" s="1118">
        <v>116</v>
      </c>
      <c r="BO104" s="1118">
        <v>115</v>
      </c>
      <c r="BP104" s="1118">
        <v>147</v>
      </c>
      <c r="BQ104" s="1118">
        <v>142</v>
      </c>
      <c r="BR104" s="1118">
        <v>170</v>
      </c>
      <c r="BS104" s="1118">
        <v>209</v>
      </c>
      <c r="BT104" s="1118">
        <v>218</v>
      </c>
      <c r="BU104" s="1118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</row>
    <row r="105" spans="1:95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16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9" t="s">
        <v>344</v>
      </c>
      <c r="AC105" s="106">
        <f t="shared" si="17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18"/>
        <v>454</v>
      </c>
      <c r="AG105" s="981">
        <f t="shared" si="19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9"/>
      <c r="AK105" s="1119"/>
      <c r="AM105" s="1109" t="s">
        <v>1029</v>
      </c>
      <c r="AN105" s="1109">
        <v>548</v>
      </c>
      <c r="AO105" s="1109">
        <v>613</v>
      </c>
      <c r="AP105" s="1109">
        <v>611</v>
      </c>
      <c r="AQ105" s="1109">
        <v>659</v>
      </c>
      <c r="AR105" s="1109">
        <v>631</v>
      </c>
      <c r="AS105" s="1127">
        <f t="shared" si="20"/>
        <v>2.2175068618149954E-2</v>
      </c>
      <c r="AT105" s="1109">
        <f t="shared" si="21"/>
        <v>649.4</v>
      </c>
      <c r="AU105" s="1125">
        <f>SUM(BV149:CD149)/SUM(BV149:CD153)</f>
        <v>3.553299492385787E-2</v>
      </c>
      <c r="AV105" s="1125">
        <f>SUM(BV151:CD151)/SUM(BV149:CD153)</f>
        <v>0.57326565143824026</v>
      </c>
      <c r="AW105" s="1138">
        <f>SUM(BV153:CD153)/SUM(BV149:CD153)</f>
        <v>0.39120135363790187</v>
      </c>
      <c r="AX105" s="1140" cm="1">
        <f t="array" ref="AX105">INDEX($I$43:$CH$43,MATCH(AX$88&amp;AM105,$I$33:$CH$33&amp;$I$32:$CH$32,0))</f>
        <v>1434.9997251520253</v>
      </c>
      <c r="AY105" s="1129" cm="1">
        <f t="array" ref="AY105">INDEX($I$43:$CH$43,MATCH(AY$88&amp;AM105,$I$33:$CH$33&amp;$I$32:$CH$32,0))</f>
        <v>11510.58391452228</v>
      </c>
      <c r="AZ105" s="1129" cm="1">
        <f t="array" ref="AZ105">INDEX($I$43:$CH$43,MATCH(AZ$88&amp;AM105,$I$33:$CH$33&amp;$I$32:$CH$32,0))</f>
        <v>16295.614216511489</v>
      </c>
      <c r="BA105" s="1140">
        <f t="shared" si="25"/>
        <v>1485.9895631015897</v>
      </c>
      <c r="BB105" s="1129">
        <f t="shared" si="26"/>
        <v>18109.206300715425</v>
      </c>
      <c r="BC105" s="1129">
        <f t="shared" si="27"/>
        <v>22670.480556371818</v>
      </c>
      <c r="BD105" s="1140">
        <f t="shared" si="29"/>
        <v>2190.4610585192963</v>
      </c>
      <c r="BE105" s="1129">
        <f t="shared" si="30"/>
        <v>16876.353272311564</v>
      </c>
      <c r="BF105" s="1144">
        <f t="shared" si="31"/>
        <v>20151.195529321292</v>
      </c>
      <c r="BG105" s="460"/>
      <c r="BH105" s="1287"/>
      <c r="BI105" s="1287"/>
      <c r="BJ105" s="1117" t="s">
        <v>1102</v>
      </c>
      <c r="BK105" s="460"/>
      <c r="BL105" s="460"/>
      <c r="BM105" s="460"/>
      <c r="BN105" s="460"/>
      <c r="BO105" s="460"/>
      <c r="BP105" s="460"/>
      <c r="BV105" s="1118">
        <v>197</v>
      </c>
      <c r="BW105" s="1118">
        <v>200</v>
      </c>
      <c r="BX105" s="1118">
        <v>200</v>
      </c>
      <c r="BY105" s="1118">
        <v>200</v>
      </c>
      <c r="BZ105" s="1118">
        <v>200</v>
      </c>
      <c r="CA105" s="1118">
        <v>200</v>
      </c>
      <c r="CB105" s="1118">
        <v>200</v>
      </c>
      <c r="CC105" s="1118">
        <v>200</v>
      </c>
      <c r="CD105" s="1118">
        <v>200</v>
      </c>
      <c r="CI105" s="460"/>
      <c r="CJ105" s="460"/>
      <c r="CK105" s="460"/>
      <c r="CL105" s="460"/>
      <c r="CM105" s="460"/>
      <c r="CN105" s="460"/>
      <c r="CO105" s="460"/>
      <c r="CP105" s="460"/>
      <c r="CQ105" s="460"/>
    </row>
    <row r="106" spans="1:95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16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80" t="s">
        <v>345</v>
      </c>
      <c r="AC106" s="114">
        <f t="shared" si="17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18"/>
        <v>302</v>
      </c>
      <c r="AG106" s="982">
        <f t="shared" si="19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9"/>
      <c r="AK106" s="1119"/>
      <c r="AM106" s="1108" t="s">
        <v>1030</v>
      </c>
      <c r="AN106" s="1108">
        <v>113</v>
      </c>
      <c r="AO106" s="1108">
        <v>161</v>
      </c>
      <c r="AP106" s="1108">
        <v>171</v>
      </c>
      <c r="AQ106" s="1108">
        <v>192</v>
      </c>
      <c r="AR106" s="1108">
        <v>173</v>
      </c>
      <c r="AS106" s="1126">
        <f t="shared" si="20"/>
        <v>5.866037093632091E-3</v>
      </c>
      <c r="AT106" s="1108">
        <f t="shared" si="21"/>
        <v>187.8</v>
      </c>
      <c r="AU106" s="1124">
        <f>SUM(BV155:CD155)/SUM(BV155:CD159)</f>
        <v>4.2345276872964167E-2</v>
      </c>
      <c r="AV106" s="1124">
        <f>SUM(BV157:CD157)/SUM(BV155:CD159)</f>
        <v>0.38762214983713356</v>
      </c>
      <c r="AW106" s="1137">
        <f>SUM(BV159:CD159)/SUM(BV155:CD159)</f>
        <v>0.57003257328990231</v>
      </c>
      <c r="AX106" s="1139" cm="1">
        <f t="array" ref="AX106">INDEX($I$43:$CH$43,MATCH(AX$88&amp;AM106,$I$33:$CH$33&amp;$I$32:$CH$32,0))</f>
        <v>543.02409251525864</v>
      </c>
      <c r="AY106" s="1128" cm="1">
        <f t="array" ref="AY106">INDEX($I$43:$CH$43,MATCH(AY$88&amp;AM106,$I$33:$CH$33&amp;$I$32:$CH$32,0))</f>
        <v>2737.7793125602311</v>
      </c>
      <c r="AZ106" s="1128" cm="1">
        <f t="array" ref="AZ106">INDEX($I$43:$CH$43,MATCH(AZ$88&amp;AM106,$I$33:$CH$33&amp;$I$32:$CH$32,0))</f>
        <v>9101.1608576935432</v>
      </c>
      <c r="BA106" s="1139">
        <f t="shared" si="25"/>
        <v>566.01859806150742</v>
      </c>
      <c r="BB106" s="1128">
        <f t="shared" si="26"/>
        <v>3799.0032154744572</v>
      </c>
      <c r="BC106" s="1128">
        <f t="shared" si="27"/>
        <v>14289.119001329927</v>
      </c>
      <c r="BD106" s="1139">
        <f t="shared" si="29"/>
        <v>834.35424328525778</v>
      </c>
      <c r="BE106" s="1128">
        <f t="shared" si="30"/>
        <v>3540.3716365228902</v>
      </c>
      <c r="BF106" s="1143">
        <f t="shared" si="31"/>
        <v>12701.22308265802</v>
      </c>
      <c r="BG106" s="460"/>
      <c r="BH106" s="1286" t="s">
        <v>328</v>
      </c>
      <c r="BI106" s="1286" t="s">
        <v>42</v>
      </c>
      <c r="BJ106" s="1117" t="s">
        <v>1101</v>
      </c>
      <c r="BK106" s="1118">
        <v>78</v>
      </c>
      <c r="BL106" s="1118">
        <v>20</v>
      </c>
      <c r="BM106" s="1118">
        <v>13</v>
      </c>
      <c r="BN106" s="1118">
        <v>26</v>
      </c>
      <c r="BO106" s="1118">
        <v>48</v>
      </c>
      <c r="BP106" s="1118">
        <v>79</v>
      </c>
      <c r="BQ106" s="1118">
        <v>82</v>
      </c>
      <c r="BR106" s="1118">
        <v>168</v>
      </c>
      <c r="BS106" s="1118">
        <v>110</v>
      </c>
      <c r="BT106" s="1118">
        <v>210</v>
      </c>
      <c r="BU106" s="1118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</row>
    <row r="107" spans="1:95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16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80" t="s">
        <v>346</v>
      </c>
      <c r="AC107" s="114">
        <f t="shared" si="17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18"/>
        <v>253</v>
      </c>
      <c r="AG107" s="981">
        <f t="shared" si="19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9"/>
      <c r="AK107" s="1119"/>
      <c r="AM107" s="1109" t="s">
        <v>1031</v>
      </c>
      <c r="AN107" s="1111">
        <v>1231</v>
      </c>
      <c r="AO107" s="1111">
        <v>1263</v>
      </c>
      <c r="AP107" s="1111">
        <v>1110</v>
      </c>
      <c r="AQ107" s="1111">
        <v>1101</v>
      </c>
      <c r="AR107" s="1109">
        <v>892</v>
      </c>
      <c r="AS107" s="1127">
        <f t="shared" si="20"/>
        <v>4.0533592114887426E-2</v>
      </c>
      <c r="AT107" s="1111">
        <f t="shared" si="21"/>
        <v>1102.8</v>
      </c>
      <c r="AU107" s="1125">
        <f>SUM(BV161:CD161)/SUM(BV161:CD165)</f>
        <v>6.747687284600036E-2</v>
      </c>
      <c r="AV107" s="1125">
        <f>SUM(BV163:CD163)/SUM(BV161:CD165)</f>
        <v>0.62833303101759475</v>
      </c>
      <c r="AW107" s="1138">
        <f>SUM(BV165:CD165)/SUM(BV161:CD165)</f>
        <v>0.30419009613640485</v>
      </c>
      <c r="AX107" s="1140" cm="1">
        <f t="array" ref="AX107">INDEX($I$43:$CH$43,MATCH(AX$88&amp;AM107,$I$33:$CH$33&amp;$I$32:$CH$32,0))</f>
        <v>7461.1258002920376</v>
      </c>
      <c r="AY107" s="1129" cm="1">
        <f t="array" ref="AY107">INDEX($I$43:$CH$43,MATCH(AY$88&amp;AM107,$I$33:$CH$33&amp;$I$32:$CH$32,0))</f>
        <v>31695.949118274744</v>
      </c>
      <c r="AZ107" s="1129" cm="1">
        <f t="array" ref="AZ107">INDEX($I$43:$CH$43,MATCH(AZ$88&amp;AM107,$I$33:$CH$33&amp;$I$32:$CH$32,0))</f>
        <v>32750.827361563519</v>
      </c>
      <c r="BA107" s="1140">
        <f t="shared" si="25"/>
        <v>7964.579237206357</v>
      </c>
      <c r="BB107" s="1129">
        <f t="shared" si="26"/>
        <v>51611.560898739772</v>
      </c>
      <c r="BC107" s="1129">
        <f t="shared" si="27"/>
        <v>42713.304685224321</v>
      </c>
      <c r="BD107" s="1140">
        <f t="shared" si="29"/>
        <v>11740.392462903956</v>
      </c>
      <c r="BE107" s="1129">
        <f t="shared" si="30"/>
        <v>48097.907782305403</v>
      </c>
      <c r="BF107" s="1144">
        <f t="shared" si="31"/>
        <v>37966.736182551424</v>
      </c>
      <c r="BG107" s="460"/>
      <c r="BH107" s="1287"/>
      <c r="BI107" s="1287"/>
      <c r="BJ107" s="1117" t="s">
        <v>1102</v>
      </c>
      <c r="BK107" s="460"/>
      <c r="BL107" s="460"/>
      <c r="BM107" s="460"/>
      <c r="BN107" s="460"/>
      <c r="BO107" s="460"/>
      <c r="BP107" s="460"/>
      <c r="BV107" s="1118">
        <v>105</v>
      </c>
      <c r="BW107" s="1118">
        <v>110</v>
      </c>
      <c r="BX107" s="1118">
        <v>110</v>
      </c>
      <c r="BY107" s="1118">
        <v>110</v>
      </c>
      <c r="BZ107" s="1118">
        <v>110</v>
      </c>
      <c r="CA107" s="1118">
        <v>110</v>
      </c>
      <c r="CB107" s="1118">
        <v>110</v>
      </c>
      <c r="CC107" s="1118">
        <v>110</v>
      </c>
      <c r="CD107" s="1118">
        <v>110</v>
      </c>
      <c r="CI107" s="460"/>
      <c r="CJ107" s="460"/>
      <c r="CK107" s="460"/>
      <c r="CL107" s="460"/>
      <c r="CM107" s="460"/>
      <c r="CN107" s="460"/>
      <c r="CO107" s="460"/>
      <c r="CP107" s="460"/>
      <c r="CQ107" s="460"/>
    </row>
    <row r="108" spans="1:95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16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80" t="s">
        <v>306</v>
      </c>
      <c r="AC108" s="114">
        <f t="shared" si="17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18"/>
        <v>339</v>
      </c>
      <c r="AG108" s="982">
        <f t="shared" si="19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9"/>
      <c r="AK108" s="1119"/>
      <c r="AM108" s="1108" t="s">
        <v>1032</v>
      </c>
      <c r="AN108" s="1108">
        <v>269</v>
      </c>
      <c r="AO108" s="1108">
        <v>306</v>
      </c>
      <c r="AP108" s="1108">
        <v>312</v>
      </c>
      <c r="AQ108" s="1108">
        <v>332</v>
      </c>
      <c r="AR108" s="1108">
        <v>302</v>
      </c>
      <c r="AS108" s="1126">
        <f t="shared" si="20"/>
        <v>1.1015114098042482E-2</v>
      </c>
      <c r="AT108" s="1108">
        <f t="shared" si="21"/>
        <v>328</v>
      </c>
      <c r="AU108" s="1124">
        <f>SUM(BV167:CD167)/SUM(BV167:CD171)</f>
        <v>4.3604651162790699E-2</v>
      </c>
      <c r="AV108" s="1124">
        <f>SUM(BV169:CD169)/SUM(BV167:CD171)</f>
        <v>0.40310077519379844</v>
      </c>
      <c r="AW108" s="1137">
        <f>SUM(BV171:CD171)/SUM(BV167:CD171)</f>
        <v>0.55329457364341084</v>
      </c>
      <c r="AX108" s="1139" cm="1">
        <f t="array" ref="AX108">INDEX($I$43:$CH$43,MATCH(AX$88&amp;AM108,$I$33:$CH$33&amp;$I$32:$CH$32,0))</f>
        <v>691.43208570294928</v>
      </c>
      <c r="AY108" s="1128" cm="1">
        <f t="array" ref="AY108">INDEX($I$43:$CH$43,MATCH(AY$88&amp;AM108,$I$33:$CH$33&amp;$I$32:$CH$32,0))</f>
        <v>4746.2770797513549</v>
      </c>
      <c r="AZ108" s="1128" cm="1">
        <f t="array" ref="AZ108">INDEX($I$43:$CH$43,MATCH(AZ$88&amp;AM108,$I$33:$CH$33&amp;$I$32:$CH$32,0))</f>
        <v>9718.9087422298653</v>
      </c>
      <c r="BA108" s="1139">
        <f t="shared" si="25"/>
        <v>721.58174060278725</v>
      </c>
      <c r="BB108" s="1128">
        <f t="shared" si="26"/>
        <v>6659.5050498836845</v>
      </c>
      <c r="BC108" s="1128">
        <f t="shared" si="27"/>
        <v>15096.328211041156</v>
      </c>
      <c r="BD108" s="1139">
        <f t="shared" si="29"/>
        <v>1063.6660866109462</v>
      </c>
      <c r="BE108" s="1128">
        <f t="shared" si="30"/>
        <v>6206.1339395167124</v>
      </c>
      <c r="BF108" s="1143">
        <f t="shared" si="31"/>
        <v>13418.730176409857</v>
      </c>
      <c r="BG108" s="460"/>
      <c r="BH108" s="1287"/>
      <c r="BI108" s="1286" t="s">
        <v>1103</v>
      </c>
      <c r="BJ108" s="1117" t="s">
        <v>1101</v>
      </c>
      <c r="BK108" s="1118">
        <v>133</v>
      </c>
      <c r="BL108" s="1118">
        <v>122</v>
      </c>
      <c r="BM108" s="1118">
        <v>186</v>
      </c>
      <c r="BN108" s="1118">
        <v>140</v>
      </c>
      <c r="BO108" s="1118">
        <v>304</v>
      </c>
      <c r="BP108" s="1118">
        <v>425</v>
      </c>
      <c r="BQ108" s="1118">
        <v>756</v>
      </c>
      <c r="BR108" s="1118">
        <v>943</v>
      </c>
      <c r="BS108" s="1118">
        <v>1391</v>
      </c>
      <c r="BT108" s="1118">
        <v>1619</v>
      </c>
      <c r="BU108" s="1118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</row>
    <row r="109" spans="1:95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16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80" t="s">
        <v>332</v>
      </c>
      <c r="AC109" s="114">
        <f t="shared" si="17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18"/>
        <v>764</v>
      </c>
      <c r="AG109" s="981">
        <f t="shared" si="19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9"/>
      <c r="AK109" s="1119"/>
      <c r="AM109" s="1109" t="s">
        <v>1033</v>
      </c>
      <c r="AN109" s="1109">
        <v>743</v>
      </c>
      <c r="AO109" s="1109">
        <v>841</v>
      </c>
      <c r="AP109" s="1109">
        <v>812</v>
      </c>
      <c r="AQ109" s="1109">
        <v>853</v>
      </c>
      <c r="AR109" s="1109">
        <v>744</v>
      </c>
      <c r="AS109" s="1127">
        <f t="shared" si="20"/>
        <v>2.8917390265275233E-2</v>
      </c>
      <c r="AT109" s="1109">
        <f t="shared" si="21"/>
        <v>844.8</v>
      </c>
      <c r="AU109" s="1125">
        <f>SUM(BV173:CD173)/SUM(BV173:CD177)</f>
        <v>7.858910891089109E-2</v>
      </c>
      <c r="AV109" s="1125">
        <f>SUM(BV175:CD175)/SUM(BV173:CD177)</f>
        <v>0.74922648514851486</v>
      </c>
      <c r="AW109" s="1138">
        <f>SUM(BV177:CD177)/SUM(BV173:CD177)</f>
        <v>0.17218440594059406</v>
      </c>
      <c r="AX109" s="1140" cm="1">
        <f t="array" ref="AX109">INDEX($I$43:$CH$43,MATCH(AX$88&amp;AM109,$I$33:$CH$33&amp;$I$32:$CH$32,0))</f>
        <v>3038.8153054039785</v>
      </c>
      <c r="AY109" s="1129" cm="1">
        <f t="array" ref="AY109">INDEX($I$43:$CH$43,MATCH(AY$88&amp;AM109,$I$33:$CH$33&amp;$I$32:$CH$32,0))</f>
        <v>24289.540001760251</v>
      </c>
      <c r="AZ109" s="1129" cm="1">
        <f t="array" ref="AZ109">INDEX($I$43:$CH$43,MATCH(AZ$88&amp;AM109,$I$33:$CH$33&amp;$I$32:$CH$32,0))</f>
        <v>18866.743201020949</v>
      </c>
      <c r="BA109" s="1140">
        <f t="shared" si="25"/>
        <v>3277.6330924004542</v>
      </c>
      <c r="BB109" s="1129">
        <f t="shared" si="26"/>
        <v>42487.906683153335</v>
      </c>
      <c r="BC109" s="1129">
        <f t="shared" si="27"/>
        <v>22115.302171122483</v>
      </c>
      <c r="BD109" s="1140">
        <f t="shared" si="29"/>
        <v>4831.4791915712431</v>
      </c>
      <c r="BE109" s="1129">
        <f t="shared" si="30"/>
        <v>39595.380994559411</v>
      </c>
      <c r="BF109" s="1144">
        <f t="shared" si="31"/>
        <v>19657.712024770353</v>
      </c>
      <c r="BG109" s="460"/>
      <c r="BH109" s="1287"/>
      <c r="BI109" s="1287"/>
      <c r="BJ109" s="1117" t="s">
        <v>1102</v>
      </c>
      <c r="BK109" s="460"/>
      <c r="BL109" s="460"/>
      <c r="BM109" s="460"/>
      <c r="BN109" s="460"/>
      <c r="BO109" s="460"/>
      <c r="BP109" s="460"/>
      <c r="BV109" s="1118">
        <v>1605</v>
      </c>
      <c r="BW109" s="1118">
        <v>1592</v>
      </c>
      <c r="BX109" s="1118">
        <v>1472</v>
      </c>
      <c r="BY109" s="1118">
        <v>1351</v>
      </c>
      <c r="BZ109" s="1118">
        <v>1230</v>
      </c>
      <c r="CA109" s="1118">
        <v>1109</v>
      </c>
      <c r="CB109" s="1118">
        <v>988</v>
      </c>
      <c r="CC109" s="1118">
        <v>867</v>
      </c>
      <c r="CD109" s="1118">
        <v>746</v>
      </c>
      <c r="CI109" s="460"/>
      <c r="CJ109" s="460"/>
      <c r="CK109" s="460"/>
      <c r="CL109" s="460"/>
      <c r="CM109" s="460"/>
      <c r="CN109" s="460"/>
      <c r="CO109" s="460"/>
      <c r="CP109" s="460"/>
      <c r="CQ109" s="460"/>
    </row>
    <row r="110" spans="1:95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16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80" t="s">
        <v>347</v>
      </c>
      <c r="AC110" s="114">
        <f t="shared" si="17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18"/>
        <v>330</v>
      </c>
      <c r="AG110" s="982">
        <f t="shared" si="19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9"/>
      <c r="AK110" s="1119"/>
      <c r="AM110" s="1108" t="s">
        <v>1034</v>
      </c>
      <c r="AN110" s="1108">
        <v>296</v>
      </c>
      <c r="AO110" s="1108">
        <v>429</v>
      </c>
      <c r="AP110" s="1108">
        <v>412</v>
      </c>
      <c r="AQ110" s="1108">
        <v>449</v>
      </c>
      <c r="AR110" s="1108">
        <v>325</v>
      </c>
      <c r="AS110" s="1126">
        <f t="shared" si="20"/>
        <v>1.3839502328309784E-2</v>
      </c>
      <c r="AT110" s="1108">
        <f t="shared" si="21"/>
        <v>441.6</v>
      </c>
      <c r="AU110" s="1124">
        <f>SUM(BV179:CD179)/SUM(BV179:CD183)</f>
        <v>8.9178901576943997E-2</v>
      </c>
      <c r="AV110" s="1124">
        <f>SUM(BV181:CD181)/SUM(BV179:CD183)</f>
        <v>0.36541598694942906</v>
      </c>
      <c r="AW110" s="1137">
        <f>SUM(BV183:CD183)/SUM(BV179:CD183)</f>
        <v>0.54540511147362702</v>
      </c>
      <c r="AX110" s="1139" cm="1">
        <f t="array" ref="AX110">INDEX($I$43:$CH$43,MATCH(AX$88&amp;AM110,$I$33:$CH$33&amp;$I$32:$CH$32,0))</f>
        <v>2141.3166117916521</v>
      </c>
      <c r="AY110" s="1128" cm="1">
        <f t="array" ref="AY110">INDEX($I$43:$CH$43,MATCH(AY$88&amp;AM110,$I$33:$CH$33&amp;$I$32:$CH$32,0))</f>
        <v>12519.701036831018</v>
      </c>
      <c r="AZ110" s="1128" cm="1">
        <f t="array" ref="AZ110">INDEX($I$43:$CH$43,MATCH(AZ$88&amp;AM110,$I$33:$CH$33&amp;$I$32:$CH$32,0))</f>
        <v>34699.30894292317</v>
      </c>
      <c r="BA110" s="1139">
        <f t="shared" si="25"/>
        <v>2332.276875159695</v>
      </c>
      <c r="BB110" s="1128">
        <f t="shared" si="26"/>
        <v>17094.599947516417</v>
      </c>
      <c r="BC110" s="1128">
        <f t="shared" si="27"/>
        <v>53624.489404995998</v>
      </c>
      <c r="BD110" s="1139">
        <f t="shared" si="29"/>
        <v>3437.9525937310514</v>
      </c>
      <c r="BE110" s="1128">
        <f t="shared" si="30"/>
        <v>15930.820101802499</v>
      </c>
      <c r="BF110" s="1143">
        <f t="shared" si="31"/>
        <v>47665.402084137866</v>
      </c>
      <c r="BG110" s="460"/>
      <c r="BH110" s="1287"/>
      <c r="BI110" s="1286" t="s">
        <v>1104</v>
      </c>
      <c r="BJ110" s="1117" t="s">
        <v>1101</v>
      </c>
      <c r="BK110" s="1118">
        <v>666</v>
      </c>
      <c r="BL110" s="1118">
        <v>467</v>
      </c>
      <c r="BM110" s="1118">
        <v>370</v>
      </c>
      <c r="BN110" s="1118">
        <v>395</v>
      </c>
      <c r="BO110" s="1118">
        <v>426</v>
      </c>
      <c r="BP110" s="1118">
        <v>460</v>
      </c>
      <c r="BQ110" s="1118">
        <v>553</v>
      </c>
      <c r="BR110" s="1118">
        <v>628</v>
      </c>
      <c r="BS110" s="1118">
        <v>638</v>
      </c>
      <c r="BT110" s="1118">
        <v>617</v>
      </c>
      <c r="BU110" s="1118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</row>
    <row r="111" spans="1:95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16"/>
        <v>8787.564173814988</v>
      </c>
      <c r="R111" s="189" t="s">
        <v>302</v>
      </c>
      <c r="S111" s="93">
        <f t="shared" ref="S111:Z111" si="32">SUM(S85:S110)</f>
        <v>715133</v>
      </c>
      <c r="T111" s="174">
        <f t="shared" si="32"/>
        <v>471948</v>
      </c>
      <c r="U111" s="176">
        <f t="shared" si="32"/>
        <v>284569</v>
      </c>
      <c r="V111" s="174">
        <f t="shared" si="32"/>
        <v>172096</v>
      </c>
      <c r="W111" s="175">
        <f t="shared" si="32"/>
        <v>28783</v>
      </c>
      <c r="X111" s="175">
        <f t="shared" si="32"/>
        <v>3266</v>
      </c>
      <c r="Y111" s="176">
        <f t="shared" si="32"/>
        <v>4624</v>
      </c>
      <c r="Z111" s="93">
        <f t="shared" si="32"/>
        <v>21870</v>
      </c>
      <c r="AB111" s="168"/>
      <c r="AC111" s="169"/>
      <c r="AD111" s="169"/>
      <c r="AE111" s="169"/>
      <c r="AF111" s="169"/>
      <c r="AG111" s="983">
        <f>SUM(AG85:AG110)</f>
        <v>1702289</v>
      </c>
      <c r="AH111" s="214">
        <v>2003645</v>
      </c>
      <c r="AJ111" s="1119"/>
      <c r="AK111" s="1119"/>
      <c r="AM111" s="1109" t="s">
        <v>1035</v>
      </c>
      <c r="AN111" s="1111">
        <v>1090</v>
      </c>
      <c r="AO111" s="1111">
        <v>1207</v>
      </c>
      <c r="AP111" s="1111">
        <v>1230</v>
      </c>
      <c r="AQ111" s="1111">
        <v>1371</v>
      </c>
      <c r="AR111" s="1111">
        <v>1266</v>
      </c>
      <c r="AS111" s="1127">
        <f t="shared" si="20"/>
        <v>4.463981808042989E-2</v>
      </c>
      <c r="AT111" s="1111">
        <f t="shared" si="21"/>
        <v>1342.8</v>
      </c>
      <c r="AU111" s="1125">
        <f>SUM(BV185:CD185)/SUM(BV185:CD189)</f>
        <v>3.7618069815195075E-2</v>
      </c>
      <c r="AV111" s="1125">
        <f>SUM(BV187:CD187)/SUM(BV185:CD189)</f>
        <v>0.74127310061601648</v>
      </c>
      <c r="AW111" s="1138">
        <f>SUM(BV189:CD189)/SUM(BV185:CD189)</f>
        <v>0.2211088295687885</v>
      </c>
      <c r="AX111" s="1140" cm="1">
        <f t="array" ref="AX111">INDEX($I$43:$CH$43,MATCH(AX$88&amp;AM111,$I$33:$CH$33&amp;$I$32:$CH$32,0))</f>
        <v>5411.4225176697691</v>
      </c>
      <c r="AY111" s="1129" cm="1">
        <f t="array" ref="AY111">INDEX($I$43:$CH$43,MATCH(AY$88&amp;AM111,$I$33:$CH$33&amp;$I$32:$CH$32,0))</f>
        <v>27103.374443441171</v>
      </c>
      <c r="AZ111" s="1129" cm="1">
        <f t="array" ref="AZ111">INDEX($I$43:$CH$43,MATCH(AZ$88&amp;AM111,$I$33:$CH$33&amp;$I$32:$CH$32,0))</f>
        <v>34324.09820344366</v>
      </c>
      <c r="BA111" s="1140">
        <f t="shared" si="25"/>
        <v>5614.9897877389894</v>
      </c>
      <c r="BB111" s="1129">
        <f t="shared" si="26"/>
        <v>47194.376854287708</v>
      </c>
      <c r="BC111" s="1129">
        <f t="shared" si="27"/>
        <v>41913.459383211244</v>
      </c>
      <c r="BD111" s="1140">
        <f t="shared" si="29"/>
        <v>8276.9198246279575</v>
      </c>
      <c r="BE111" s="1129">
        <f t="shared" si="30"/>
        <v>43981.440325636911</v>
      </c>
      <c r="BF111" s="1144">
        <f t="shared" si="31"/>
        <v>37255.774673200249</v>
      </c>
      <c r="BG111" s="460"/>
      <c r="BH111" s="1287"/>
      <c r="BI111" s="1287"/>
      <c r="BJ111" s="1117" t="s">
        <v>1102</v>
      </c>
      <c r="BK111" s="460"/>
      <c r="BL111" s="460"/>
      <c r="BM111" s="460"/>
      <c r="BN111" s="460"/>
      <c r="BO111" s="460"/>
      <c r="BP111" s="460"/>
      <c r="BV111" s="1118">
        <v>588</v>
      </c>
      <c r="BW111" s="1118">
        <v>590</v>
      </c>
      <c r="BX111" s="1118">
        <v>590</v>
      </c>
      <c r="BY111" s="1118">
        <v>590</v>
      </c>
      <c r="BZ111" s="1118">
        <v>590</v>
      </c>
      <c r="CA111" s="1118">
        <v>590</v>
      </c>
      <c r="CB111" s="1118">
        <v>590</v>
      </c>
      <c r="CC111" s="1118">
        <v>590</v>
      </c>
      <c r="CD111" s="1118">
        <v>590</v>
      </c>
      <c r="CI111" s="460"/>
      <c r="CJ111" s="460"/>
      <c r="CK111" s="460"/>
      <c r="CL111" s="460"/>
      <c r="CM111" s="460"/>
      <c r="CN111" s="460"/>
      <c r="CO111" s="460"/>
      <c r="CP111" s="460"/>
      <c r="CQ111" s="460"/>
    </row>
    <row r="112" spans="1:95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16"/>
        <v>14278.215013491201</v>
      </c>
      <c r="Y112" t="s">
        <v>40</v>
      </c>
      <c r="Z112" t="s">
        <v>40</v>
      </c>
      <c r="AA112" t="s">
        <v>40</v>
      </c>
      <c r="AJ112" s="1119"/>
      <c r="AK112" s="1119"/>
      <c r="AM112" s="1108" t="s">
        <v>1036</v>
      </c>
      <c r="AN112" s="1108">
        <v>264</v>
      </c>
      <c r="AO112" s="1108">
        <v>320</v>
      </c>
      <c r="AP112" s="1108">
        <v>309</v>
      </c>
      <c r="AQ112" s="1108">
        <v>344</v>
      </c>
      <c r="AR112" s="1108">
        <v>324</v>
      </c>
      <c r="AS112" s="1126">
        <f t="shared" si="20"/>
        <v>1.1304794942172462E-2</v>
      </c>
      <c r="AT112" s="1108">
        <f t="shared" si="21"/>
        <v>337</v>
      </c>
      <c r="AU112" s="1124">
        <f>SUM(BV191:CD191)/SUM(BV191:CD195)</f>
        <v>6.8714211348256116E-2</v>
      </c>
      <c r="AV112" s="1124">
        <f>SUM(BV193:CD193)/SUM(BV191:CD195)</f>
        <v>0.36647579385736595</v>
      </c>
      <c r="AW112" s="1137">
        <f>SUM(BV195:CD195)/SUM(BV191:CD195)</f>
        <v>0.56480999479437788</v>
      </c>
      <c r="AX112" s="1139" cm="1">
        <f t="array" ref="AX112">INDEX($I$43:$CH$43,MATCH(AX$88&amp;AM112,$I$33:$CH$33&amp;$I$32:$CH$32,0))</f>
        <v>1027.5356632394301</v>
      </c>
      <c r="AY112" s="1128" cm="1">
        <f t="array" ref="AY112">INDEX($I$43:$CH$43,MATCH(AY$88&amp;AM112,$I$33:$CH$33&amp;$I$32:$CH$32,0))</f>
        <v>6619.1242565355706</v>
      </c>
      <c r="AZ112" s="1128" cm="1">
        <f t="array" ref="AZ112">INDEX($I$43:$CH$43,MATCH(AZ$88&amp;AM112,$I$33:$CH$33&amp;$I$32:$CH$32,0))</f>
        <v>14155.109041449583</v>
      </c>
      <c r="BA112" s="1139">
        <f t="shared" si="25"/>
        <v>1098.1419659711348</v>
      </c>
      <c r="BB112" s="1128">
        <f t="shared" si="26"/>
        <v>9044.8730730899915</v>
      </c>
      <c r="BC112" s="1128">
        <f t="shared" si="27"/>
        <v>22150.056105464573</v>
      </c>
      <c r="BD112" s="1139">
        <f t="shared" si="29"/>
        <v>1618.7443525275589</v>
      </c>
      <c r="BE112" s="1128">
        <f t="shared" si="30"/>
        <v>8429.108970869398</v>
      </c>
      <c r="BF112" s="1143">
        <f t="shared" si="31"/>
        <v>19688.603885425855</v>
      </c>
      <c r="BG112" s="460"/>
      <c r="BH112" s="1286" t="s">
        <v>908</v>
      </c>
      <c r="BI112" s="1286" t="s">
        <v>42</v>
      </c>
      <c r="BJ112" s="1117" t="s">
        <v>1101</v>
      </c>
      <c r="BK112" s="1118">
        <v>20</v>
      </c>
      <c r="BL112" s="1118">
        <v>17</v>
      </c>
      <c r="BM112" s="1118">
        <v>6</v>
      </c>
      <c r="BN112" s="1118">
        <v>0</v>
      </c>
      <c r="BO112" s="1118">
        <v>6</v>
      </c>
      <c r="BP112" s="1118">
        <v>4</v>
      </c>
      <c r="BQ112" s="1118">
        <v>10</v>
      </c>
      <c r="BR112" s="1118">
        <v>19</v>
      </c>
      <c r="BS112" s="1118">
        <v>62</v>
      </c>
      <c r="BT112" s="1118">
        <v>68</v>
      </c>
      <c r="BU112" s="1118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</row>
    <row r="113" spans="1:95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16"/>
        <v>2350.2341251096568</v>
      </c>
      <c r="AJ113" s="1119"/>
      <c r="AK113" s="1119"/>
      <c r="AM113" s="1109" t="s">
        <v>1037</v>
      </c>
      <c r="AN113" s="1109">
        <v>462</v>
      </c>
      <c r="AO113" s="1109">
        <v>506</v>
      </c>
      <c r="AP113" s="1109">
        <v>518</v>
      </c>
      <c r="AQ113" s="1109">
        <v>561</v>
      </c>
      <c r="AR113" s="1109">
        <v>519</v>
      </c>
      <c r="AS113" s="1127">
        <f t="shared" si="20"/>
        <v>1.8583026150938205E-2</v>
      </c>
      <c r="AT113" s="1109">
        <f t="shared" si="21"/>
        <v>552.4</v>
      </c>
      <c r="AU113" s="1125">
        <f>SUM(BV197:CD197)/SUM(BV197:CD201)</f>
        <v>2.4008632317237658E-2</v>
      </c>
      <c r="AV113" s="1125">
        <f>SUM(BV199:CD199)/SUM(BV197:CD201)</f>
        <v>0.71486377124359324</v>
      </c>
      <c r="AW113" s="1138">
        <f>SUM(BV201:CD201)/SUM(BV197:CD201)</f>
        <v>0.26112759643916916</v>
      </c>
      <c r="AX113" s="1140" cm="1">
        <f t="array" ref="AX113">INDEX($I$43:$CH$43,MATCH(AX$88&amp;AM113,$I$33:$CH$33&amp;$I$32:$CH$32,0))</f>
        <v>1175.2936766265591</v>
      </c>
      <c r="AY113" s="1129" cm="1">
        <f t="array" ref="AY113">INDEX($I$43:$CH$43,MATCH(AY$88&amp;AM113,$I$33:$CH$33&amp;$I$32:$CH$32,0))</f>
        <v>10239.258420802398</v>
      </c>
      <c r="AZ113" s="1129" cm="1">
        <f t="array" ref="AZ113">INDEX($I$43:$CH$43,MATCH(AZ$88&amp;AM113,$I$33:$CH$33&amp;$I$32:$CH$32,0))</f>
        <v>15966.202026112715</v>
      </c>
      <c r="BA113" s="1140">
        <f t="shared" si="25"/>
        <v>1203.5108703734606</v>
      </c>
      <c r="BB113" s="1129">
        <f t="shared" si="26"/>
        <v>17558.933310234919</v>
      </c>
      <c r="BC113" s="1129">
        <f t="shared" si="27"/>
        <v>20135.417985453721</v>
      </c>
      <c r="BD113" s="1140">
        <f t="shared" si="29"/>
        <v>1774.0660907168858</v>
      </c>
      <c r="BE113" s="1129">
        <f t="shared" si="30"/>
        <v>16363.542206528218</v>
      </c>
      <c r="BF113" s="1144">
        <f t="shared" si="31"/>
        <v>17897.844903664769</v>
      </c>
      <c r="BG113" s="460"/>
      <c r="BH113" s="1287"/>
      <c r="BI113" s="1287"/>
      <c r="BJ113" s="1117" t="s">
        <v>1102</v>
      </c>
      <c r="BK113" s="460"/>
      <c r="BL113" s="460"/>
      <c r="BM113" s="460"/>
      <c r="BN113" s="460"/>
      <c r="BO113" s="460"/>
      <c r="BP113" s="460"/>
      <c r="BV113" s="1118">
        <v>31</v>
      </c>
      <c r="BW113" s="1118">
        <v>39</v>
      </c>
      <c r="BX113" s="1118">
        <v>39</v>
      </c>
      <c r="BY113" s="1118">
        <v>39</v>
      </c>
      <c r="BZ113" s="1118">
        <v>39</v>
      </c>
      <c r="CA113" s="1118">
        <v>39</v>
      </c>
      <c r="CB113" s="1118">
        <v>39</v>
      </c>
      <c r="CC113" s="1118">
        <v>39</v>
      </c>
      <c r="CD113" s="1118">
        <v>39</v>
      </c>
      <c r="CI113" s="460"/>
      <c r="CJ113" s="460"/>
      <c r="CK113" s="460"/>
      <c r="CL113" s="460"/>
      <c r="CM113" s="460"/>
      <c r="CN113" s="460"/>
      <c r="CO113" s="460"/>
      <c r="CP113" s="460"/>
      <c r="CQ113" s="460"/>
    </row>
    <row r="114" spans="1:95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33">L114*N114</f>
        <v>21903.232438086237</v>
      </c>
      <c r="AJ114" s="1119"/>
      <c r="AK114" s="1119"/>
      <c r="AM114" s="1108" t="s">
        <v>1038</v>
      </c>
      <c r="AN114" s="1108">
        <v>305</v>
      </c>
      <c r="AO114" s="1108">
        <v>372</v>
      </c>
      <c r="AP114" s="1108">
        <v>404</v>
      </c>
      <c r="AQ114" s="1108">
        <v>457</v>
      </c>
      <c r="AR114" s="1108">
        <v>410</v>
      </c>
      <c r="AS114" s="1126">
        <f t="shared" si="20"/>
        <v>1.4107457109130016E-2</v>
      </c>
      <c r="AT114" s="1108">
        <f t="shared" si="21"/>
        <v>446.4</v>
      </c>
      <c r="AU114" s="1124">
        <f>SUM(BV203:CD203)/SUM(BV203:CD207)</f>
        <v>6.7383918459796147E-2</v>
      </c>
      <c r="AV114" s="1124">
        <f>SUM(BV205:CD205)/SUM(BV203:CD207)</f>
        <v>0.41902604756511891</v>
      </c>
      <c r="AW114" s="1137">
        <f>SUM(BV207:CD207)/SUM(BV203:CD207)</f>
        <v>0.51359003397508496</v>
      </c>
      <c r="AX114" s="1139" cm="1">
        <f t="array" ref="AX114">INDEX($I$43:$CH$43,MATCH(AX$88&amp;AM114,$I$33:$CH$33&amp;$I$32:$CH$32,0))</f>
        <v>676.45175529921289</v>
      </c>
      <c r="AY114" s="1128" cm="1">
        <f t="array" ref="AY114">INDEX($I$43:$CH$43,MATCH(AY$88&amp;AM114,$I$33:$CH$33&amp;$I$32:$CH$32,0))</f>
        <v>5372.2948402948405</v>
      </c>
      <c r="AZ114" s="1128" cm="1">
        <f t="array" ref="AZ114">INDEX($I$43:$CH$43,MATCH(AZ$88&amp;AM114,$I$33:$CH$33&amp;$I$32:$CH$32,0))</f>
        <v>18080.993461874819</v>
      </c>
      <c r="BA114" s="1139">
        <f t="shared" si="25"/>
        <v>722.0337252202811</v>
      </c>
      <c r="BB114" s="1128">
        <f t="shared" si="26"/>
        <v>7623.4263135780693</v>
      </c>
      <c r="BC114" s="1128">
        <f t="shared" si="27"/>
        <v>27367.211508262397</v>
      </c>
      <c r="BD114" s="1139">
        <f t="shared" si="29"/>
        <v>1064.3323461381017</v>
      </c>
      <c r="BE114" s="1128">
        <f t="shared" si="30"/>
        <v>7104.4326005771236</v>
      </c>
      <c r="BF114" s="1143">
        <f t="shared" si="31"/>
        <v>24325.996479165351</v>
      </c>
      <c r="BG114" s="460"/>
      <c r="BH114" s="1287"/>
      <c r="BI114" s="1286" t="s">
        <v>1103</v>
      </c>
      <c r="BJ114" s="1117" t="s">
        <v>1101</v>
      </c>
      <c r="BK114" s="1118">
        <v>75</v>
      </c>
      <c r="BL114" s="1118">
        <v>48</v>
      </c>
      <c r="BM114" s="1118">
        <v>22</v>
      </c>
      <c r="BN114" s="1118">
        <v>27</v>
      </c>
      <c r="BO114" s="1118">
        <v>42</v>
      </c>
      <c r="BP114" s="1118">
        <v>44</v>
      </c>
      <c r="BQ114" s="1118">
        <v>90</v>
      </c>
      <c r="BR114" s="1118">
        <v>97</v>
      </c>
      <c r="BS114" s="1118">
        <v>58</v>
      </c>
      <c r="BT114" s="1118">
        <v>218</v>
      </c>
      <c r="BU114" s="1118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</row>
    <row r="115" spans="1:95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33"/>
        <v>34582.040184897764</v>
      </c>
      <c r="AJ115" s="1119"/>
      <c r="AK115" s="1119"/>
      <c r="AM115" s="1109" t="s">
        <v>1039</v>
      </c>
      <c r="AN115" s="1109">
        <v>378</v>
      </c>
      <c r="AO115" s="1109">
        <v>463</v>
      </c>
      <c r="AP115" s="1109">
        <v>441</v>
      </c>
      <c r="AQ115" s="1109">
        <v>461</v>
      </c>
      <c r="AR115" s="1109">
        <v>402</v>
      </c>
      <c r="AS115" s="1127">
        <f t="shared" si="20"/>
        <v>1.5534135266470166E-2</v>
      </c>
      <c r="AT115" s="1109">
        <f t="shared" si="21"/>
        <v>457</v>
      </c>
      <c r="AU115" s="1125">
        <f>SUM(BV209:CD209)/SUM(BV209:CD213)</f>
        <v>8.2084225553176307E-2</v>
      </c>
      <c r="AV115" s="1125">
        <f>SUM(BV211:CD211)/SUM(BV209:CD213)</f>
        <v>0.44325481798715205</v>
      </c>
      <c r="AW115" s="1138">
        <f>SUM(BV213:CD213)/SUM(BV209:CD213)</f>
        <v>0.47466095645967166</v>
      </c>
      <c r="AX115" s="1140" cm="1">
        <f t="array" ref="AX115">INDEX($I$43:$CH$43,MATCH(AX$88&amp;AM115,$I$33:$CH$33&amp;$I$32:$CH$32,0))</f>
        <v>1676.0939551367242</v>
      </c>
      <c r="AY115" s="1129" cm="1">
        <f t="array" ref="AY115">INDEX($I$43:$CH$43,MATCH(AY$88&amp;AM115,$I$33:$CH$33&amp;$I$32:$CH$32,0))</f>
        <v>8889.5641738149861</v>
      </c>
      <c r="AZ115" s="1129" cm="1">
        <f t="array" ref="AZ115">INDEX($I$43:$CH$43,MATCH(AZ$88&amp;AM115,$I$33:$CH$33&amp;$I$32:$CH$32,0))</f>
        <v>14494.215013491199</v>
      </c>
      <c r="BA115" s="1140">
        <f t="shared" si="25"/>
        <v>1813.6748293984826</v>
      </c>
      <c r="BB115" s="1129">
        <f t="shared" si="26"/>
        <v>12829.906323664456</v>
      </c>
      <c r="BC115" s="1129">
        <f t="shared" si="27"/>
        <v>21374.052974927061</v>
      </c>
      <c r="BD115" s="1140">
        <f t="shared" si="29"/>
        <v>2673.4939364728261</v>
      </c>
      <c r="BE115" s="1129">
        <f t="shared" si="30"/>
        <v>11956.461700934486</v>
      </c>
      <c r="BF115" s="1144">
        <f t="shared" si="31"/>
        <v>18998.835056929111</v>
      </c>
      <c r="BG115" s="460"/>
      <c r="BH115" s="1287"/>
      <c r="BI115" s="1287"/>
      <c r="BJ115" s="1117" t="s">
        <v>1102</v>
      </c>
      <c r="BK115" s="460"/>
      <c r="BL115" s="460"/>
      <c r="BM115" s="460"/>
      <c r="BN115" s="460"/>
      <c r="BO115" s="460"/>
      <c r="BP115" s="460"/>
      <c r="BV115" s="1118">
        <v>189</v>
      </c>
      <c r="BW115" s="1118">
        <v>170</v>
      </c>
      <c r="BX115" s="1118">
        <v>170</v>
      </c>
      <c r="BY115" s="1118">
        <v>170</v>
      </c>
      <c r="BZ115" s="1118">
        <v>170</v>
      </c>
      <c r="CA115" s="1118">
        <v>170</v>
      </c>
      <c r="CB115" s="1118">
        <v>170</v>
      </c>
      <c r="CC115" s="1118">
        <v>170</v>
      </c>
      <c r="CD115" s="1118">
        <v>170</v>
      </c>
      <c r="CI115" s="460"/>
      <c r="CJ115" s="460"/>
      <c r="CK115" s="460"/>
      <c r="CL115" s="460"/>
      <c r="CM115" s="460"/>
      <c r="CN115" s="460"/>
      <c r="CO115" s="460"/>
      <c r="CP115" s="460"/>
      <c r="CQ115" s="460"/>
    </row>
    <row r="116" spans="1:95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3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9"/>
      <c r="AK116" s="1119"/>
      <c r="AM116" s="1108" t="s">
        <v>1040</v>
      </c>
      <c r="AN116" s="1108">
        <v>667</v>
      </c>
      <c r="AO116" s="1108">
        <v>812</v>
      </c>
      <c r="AP116" s="1108">
        <v>792</v>
      </c>
      <c r="AQ116" s="1108">
        <v>837</v>
      </c>
      <c r="AR116" s="1108">
        <v>694</v>
      </c>
      <c r="AS116" s="1126">
        <f t="shared" si="20"/>
        <v>2.753416423455458E-2</v>
      </c>
      <c r="AT116" s="1108">
        <f t="shared" si="21"/>
        <v>828</v>
      </c>
      <c r="AU116" s="1124">
        <f>SUM(BV215:CD215)/SUM(BV215:CD219)</f>
        <v>8.8096839273705443E-2</v>
      </c>
      <c r="AV116" s="1124">
        <f>SUM(BV217:CD217)/SUM(BV215:CD219)</f>
        <v>0.36449226630800269</v>
      </c>
      <c r="AW116" s="1137">
        <f>SUM(BV219:CD219)/SUM(BV215:CD219)</f>
        <v>0.54741089441829183</v>
      </c>
      <c r="AX116" s="1139" cm="1">
        <f t="array" ref="AX116">INDEX($I$43:$CH$43,MATCH(AX$88&amp;AM116,$I$33:$CH$33&amp;$I$32:$CH$32,0))</f>
        <v>2382.2341251096568</v>
      </c>
      <c r="AY116" s="1128" cm="1">
        <f t="array" ref="AY116">INDEX($I$43:$CH$43,MATCH(AY$88&amp;AM116,$I$33:$CH$33&amp;$I$32:$CH$32,0))</f>
        <v>21954.232438086234</v>
      </c>
      <c r="AZ116" s="1128" cm="1">
        <f t="array" ref="AZ116">INDEX($I$43:$CH$43,MATCH(AZ$88&amp;AM116,$I$33:$CH$33&amp;$I$32:$CH$32,0))</f>
        <v>34965.040184897764</v>
      </c>
      <c r="BA116" s="1139">
        <f t="shared" si="25"/>
        <v>2592.1014219417784</v>
      </c>
      <c r="BB116" s="1128">
        <f t="shared" si="26"/>
        <v>29956.380374496948</v>
      </c>
      <c r="BC116" s="1128">
        <f t="shared" si="27"/>
        <v>54105.284105884166</v>
      </c>
      <c r="BD116" s="1139">
        <f t="shared" si="29"/>
        <v>3820.9536362051767</v>
      </c>
      <c r="BE116" s="1128">
        <f t="shared" si="30"/>
        <v>27916.985955357908</v>
      </c>
      <c r="BF116" s="1143">
        <f t="shared" si="31"/>
        <v>48092.767882713139</v>
      </c>
      <c r="BG116" s="460"/>
      <c r="BH116" s="1287"/>
      <c r="BI116" s="1286" t="s">
        <v>1104</v>
      </c>
      <c r="BJ116" s="1117" t="s">
        <v>1101</v>
      </c>
      <c r="BK116" s="1118">
        <v>365</v>
      </c>
      <c r="BL116" s="1118">
        <v>293</v>
      </c>
      <c r="BM116" s="1118">
        <v>222</v>
      </c>
      <c r="BN116" s="1118">
        <v>229</v>
      </c>
      <c r="BO116" s="1118">
        <v>197</v>
      </c>
      <c r="BP116" s="1118">
        <v>242</v>
      </c>
      <c r="BQ116" s="1118">
        <v>263</v>
      </c>
      <c r="BR116" s="1118">
        <v>317</v>
      </c>
      <c r="BS116" s="1118">
        <v>310</v>
      </c>
      <c r="BT116" s="1118">
        <v>289</v>
      </c>
      <c r="BU116" s="1118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</row>
    <row r="117" spans="1:95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3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9"/>
      <c r="AK117" s="1119"/>
      <c r="AM117" s="1109" t="s">
        <v>1041</v>
      </c>
      <c r="AN117" s="1109">
        <v>510</v>
      </c>
      <c r="AO117" s="1109">
        <v>573</v>
      </c>
      <c r="AP117" s="1109">
        <v>571</v>
      </c>
      <c r="AQ117" s="1109">
        <v>615</v>
      </c>
      <c r="AR117" s="1109">
        <v>500</v>
      </c>
      <c r="AS117" s="1127">
        <f t="shared" si="20"/>
        <v>2.0053156434897853E-2</v>
      </c>
      <c r="AT117" s="1109">
        <f t="shared" si="21"/>
        <v>606.20000000000005</v>
      </c>
      <c r="AU117" s="1125">
        <f>SUM(BV221:CD221)/SUM(BV221:CD225)</f>
        <v>6.497341996455995E-2</v>
      </c>
      <c r="AV117" s="1125">
        <f>SUM(BV223:CD223)/SUM(BV221:CD225)</f>
        <v>0.69482181531797593</v>
      </c>
      <c r="AW117" s="1138">
        <f>SUM(BV225:CD225)/SUM(BV221:CD225)</f>
        <v>0.24020476471746408</v>
      </c>
      <c r="AX117" s="1140" cm="1">
        <f t="array" ref="AX117">INDEX($I$43:$CH$43,MATCH(AX$88&amp;AM117,$I$33:$CH$33&amp;$I$32:$CH$32,0))</f>
        <v>3199.1719442467102</v>
      </c>
      <c r="AY117" s="1129" cm="1">
        <f t="array" ref="AY117">INDEX($I$43:$CH$43,MATCH(AY$88&amp;AM117,$I$33:$CH$33&amp;$I$32:$CH$32,0))</f>
        <v>21769.226916806354</v>
      </c>
      <c r="AZ117" s="1129" cm="1">
        <f t="array" ref="AZ117">INDEX($I$43:$CH$43,MATCH(AZ$88&amp;AM117,$I$33:$CH$33&amp;$I$32:$CH$32,0))</f>
        <v>19142.703253806059</v>
      </c>
      <c r="BA117" s="1140">
        <f t="shared" si="25"/>
        <v>3407.0330865190895</v>
      </c>
      <c r="BB117" s="1129">
        <f t="shared" si="26"/>
        <v>36894.960681210687</v>
      </c>
      <c r="BC117" s="1129">
        <f t="shared" si="27"/>
        <v>23740.871784942778</v>
      </c>
      <c r="BD117" s="1140">
        <f t="shared" si="29"/>
        <v>5022.2245743974072</v>
      </c>
      <c r="BE117" s="1129">
        <f t="shared" si="30"/>
        <v>34383.196043194774</v>
      </c>
      <c r="BF117" s="1144">
        <f t="shared" si="31"/>
        <v>21102.638216483094</v>
      </c>
      <c r="BG117" s="460"/>
      <c r="BH117" s="1287"/>
      <c r="BI117" s="1287"/>
      <c r="BJ117" s="1117" t="s">
        <v>1102</v>
      </c>
      <c r="BK117" s="460"/>
      <c r="BL117" s="460"/>
      <c r="BM117" s="460"/>
      <c r="BN117" s="460"/>
      <c r="BO117" s="460"/>
      <c r="BP117" s="460"/>
      <c r="BV117" s="1118">
        <v>313</v>
      </c>
      <c r="BW117" s="1118">
        <v>324</v>
      </c>
      <c r="BX117" s="1118">
        <v>324</v>
      </c>
      <c r="BY117" s="1118">
        <v>324</v>
      </c>
      <c r="BZ117" s="1118">
        <v>324</v>
      </c>
      <c r="CA117" s="1118">
        <v>324</v>
      </c>
      <c r="CB117" s="1118">
        <v>324</v>
      </c>
      <c r="CC117" s="1118">
        <v>324</v>
      </c>
      <c r="CD117" s="1118">
        <v>324</v>
      </c>
      <c r="CI117" s="460"/>
      <c r="CJ117" s="460"/>
      <c r="CK117" s="460"/>
      <c r="CL117" s="460"/>
      <c r="CM117" s="460"/>
      <c r="CN117" s="460"/>
      <c r="CO117" s="460"/>
      <c r="CP117" s="460"/>
      <c r="CQ117" s="460"/>
    </row>
    <row r="118" spans="1:95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3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9"/>
      <c r="AK118" s="1119"/>
      <c r="AM118" s="1108" t="s">
        <v>1042</v>
      </c>
      <c r="AN118" s="1108">
        <v>507</v>
      </c>
      <c r="AO118" s="1108">
        <v>574</v>
      </c>
      <c r="AP118" s="1108">
        <v>530</v>
      </c>
      <c r="AQ118" s="1108">
        <v>535</v>
      </c>
      <c r="AR118" s="1108">
        <v>426</v>
      </c>
      <c r="AS118" s="1126">
        <f t="shared" si="20"/>
        <v>1.8626478277557701E-2</v>
      </c>
      <c r="AT118" s="1108">
        <f t="shared" si="21"/>
        <v>534</v>
      </c>
      <c r="AU118" s="1124">
        <f>SUM(BV227:CD227)/SUM(BV227:CD231)</f>
        <v>9.1346153846153841E-2</v>
      </c>
      <c r="AV118" s="1124">
        <f>SUM(BV229:CD229)/SUM(BV227:CD231)</f>
        <v>0.37788461538461537</v>
      </c>
      <c r="AW118" s="1137">
        <f>SUM(BV231:CD231)/SUM(BV227:CD231)</f>
        <v>0.53076923076923077</v>
      </c>
      <c r="AX118" s="1139" cm="1">
        <f t="array" ref="AX118">INDEX($I$43:$CH$43,MATCH(AX$88&amp;AM118,$I$33:$CH$33&amp;$I$32:$CH$32,0))</f>
        <v>2888.9605821519499</v>
      </c>
      <c r="AY118" s="1128" cm="1">
        <f t="array" ref="AY118">INDEX($I$43:$CH$43,MATCH(AY$88&amp;AM118,$I$33:$CH$33&amp;$I$32:$CH$32,0))</f>
        <v>12264.197780781444</v>
      </c>
      <c r="AZ118" s="1128" cm="1">
        <f t="array" ref="AZ118">INDEX($I$43:$CH$43,MATCH(AZ$88&amp;AM118,$I$33:$CH$33&amp;$I$32:$CH$32,0))</f>
        <v>16822.932669034672</v>
      </c>
      <c r="BA118" s="1139">
        <f t="shared" si="25"/>
        <v>3152.8560199446756</v>
      </c>
      <c r="BB118" s="1128">
        <f t="shared" si="26"/>
        <v>16898.649442172893</v>
      </c>
      <c r="BC118" s="1128">
        <f t="shared" si="27"/>
        <v>25752.027701060764</v>
      </c>
      <c r="BD118" s="1139">
        <f t="shared" si="29"/>
        <v>4647.5483450853862</v>
      </c>
      <c r="BE118" s="1128">
        <f t="shared" si="30"/>
        <v>15748.209671662629</v>
      </c>
      <c r="BF118" s="1143">
        <f t="shared" si="31"/>
        <v>22890.301958540567</v>
      </c>
      <c r="BG118" s="460"/>
      <c r="BH118" s="1117" t="s">
        <v>336</v>
      </c>
      <c r="BI118" s="1286" t="s">
        <v>42</v>
      </c>
      <c r="BJ118" s="1117" t="s">
        <v>1101</v>
      </c>
      <c r="BK118" s="1118">
        <v>447</v>
      </c>
      <c r="BL118" s="1118">
        <v>201</v>
      </c>
      <c r="BM118" s="1118">
        <v>283</v>
      </c>
      <c r="BN118" s="1118">
        <v>605</v>
      </c>
      <c r="BO118" s="1118">
        <v>347</v>
      </c>
      <c r="BP118" s="1118">
        <v>839</v>
      </c>
      <c r="BQ118" s="1118">
        <v>1775</v>
      </c>
      <c r="BR118" s="1118">
        <v>1698</v>
      </c>
      <c r="BS118" s="1118">
        <v>2572</v>
      </c>
      <c r="BT118" s="1118">
        <v>2945</v>
      </c>
      <c r="BU118" s="1118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</row>
    <row r="119" spans="1:95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3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9"/>
      <c r="AK119" s="1119"/>
      <c r="AM119" s="1109" t="s">
        <v>1043</v>
      </c>
      <c r="AN119" s="1109">
        <v>701</v>
      </c>
      <c r="AO119" s="1109">
        <v>805</v>
      </c>
      <c r="AP119" s="1109">
        <v>844</v>
      </c>
      <c r="AQ119" s="1109">
        <v>911</v>
      </c>
      <c r="AR119" s="1109">
        <v>814</v>
      </c>
      <c r="AS119" s="1127">
        <f t="shared" si="20"/>
        <v>2.9511235995741691E-2</v>
      </c>
      <c r="AT119" s="1109">
        <f t="shared" si="21"/>
        <v>897.6</v>
      </c>
      <c r="AU119" s="1125">
        <f>SUM(BV233:CD233)/SUM(BV233:CD237)</f>
        <v>0.13193866634969689</v>
      </c>
      <c r="AV119" s="1125">
        <f>SUM(BV235:CD235)/SUM(BV233:CD237)</f>
        <v>0.58171876857244742</v>
      </c>
      <c r="AW119" s="1138">
        <f>SUM(BV237:CD237)/SUM(BV233:CD237)</f>
        <v>0.28634256507785572</v>
      </c>
      <c r="AX119" s="1140" cm="1">
        <f t="array" ref="AX119">INDEX($I$43:$CH$43,MATCH(AX$88&amp;AM119,$I$33:$CH$33&amp;$I$32:$CH$32,0))</f>
        <v>2668.9797196485479</v>
      </c>
      <c r="AY119" s="1129" cm="1">
        <f t="array" ref="AY119">INDEX($I$43:$CH$43,MATCH(AY$88&amp;AM119,$I$33:$CH$33&amp;$I$32:$CH$32,0))</f>
        <v>18385.501077566361</v>
      </c>
      <c r="AZ119" s="1129" cm="1">
        <f t="array" ref="AZ119">INDEX($I$43:$CH$43,MATCH(AZ$88&amp;AM119,$I$33:$CH$33&amp;$I$32:$CH$32,0))</f>
        <v>33878.287885206948</v>
      </c>
      <c r="BA119" s="1140">
        <f t="shared" si="25"/>
        <v>3021.121344373365</v>
      </c>
      <c r="BB119" s="1129">
        <f t="shared" si="26"/>
        <v>29080.692123995672</v>
      </c>
      <c r="BC119" s="1129">
        <f t="shared" si="27"/>
        <v>43579.08373870315</v>
      </c>
      <c r="BD119" s="1140">
        <f t="shared" si="29"/>
        <v>4453.3614651362832</v>
      </c>
      <c r="BE119" s="1129">
        <f t="shared" si="30"/>
        <v>27100.913509858838</v>
      </c>
      <c r="BF119" s="1144">
        <f t="shared" si="31"/>
        <v>38736.304474165743</v>
      </c>
      <c r="BG119" s="460"/>
      <c r="BH119" s="460"/>
      <c r="BI119" s="1287"/>
      <c r="BJ119" s="1117" t="s">
        <v>1102</v>
      </c>
      <c r="BK119" s="460"/>
      <c r="BL119" s="460"/>
      <c r="BM119" s="460"/>
      <c r="BN119" s="460"/>
      <c r="BO119" s="460"/>
      <c r="BP119" s="460"/>
      <c r="BV119" s="1118">
        <v>6424</v>
      </c>
      <c r="BW119" s="1118">
        <v>9014</v>
      </c>
      <c r="BX119" s="1118">
        <v>12885</v>
      </c>
      <c r="BY119" s="1118">
        <v>18419</v>
      </c>
      <c r="BZ119" s="1118">
        <v>26329</v>
      </c>
      <c r="CA119" s="1118">
        <v>37636</v>
      </c>
      <c r="CB119" s="1118">
        <v>53799</v>
      </c>
      <c r="CC119" s="1118">
        <v>76904</v>
      </c>
      <c r="CD119" s="1118">
        <v>109931</v>
      </c>
      <c r="CI119" s="460"/>
      <c r="CJ119" s="460"/>
      <c r="CK119" s="460"/>
      <c r="CL119" s="460"/>
      <c r="CM119" s="460"/>
      <c r="CN119" s="460"/>
      <c r="CO119" s="460"/>
      <c r="CP119" s="460"/>
      <c r="CQ119" s="460"/>
    </row>
    <row r="120" spans="1:95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3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M120" s="1108" t="s">
        <v>1044</v>
      </c>
      <c r="AN120" s="1108">
        <v>682</v>
      </c>
      <c r="AO120" s="1108">
        <v>839</v>
      </c>
      <c r="AP120" s="1108">
        <v>827</v>
      </c>
      <c r="AQ120" s="1108">
        <v>881</v>
      </c>
      <c r="AR120" s="1108">
        <v>773</v>
      </c>
      <c r="AS120" s="1126">
        <f t="shared" si="20"/>
        <v>2.8982568455204478E-2</v>
      </c>
      <c r="AT120" s="1108">
        <f t="shared" si="21"/>
        <v>870.2</v>
      </c>
      <c r="AU120" s="1124">
        <f>SUM(BV239:CD239)/SUM(BV239:CD243)</f>
        <v>0.1074361820199778</v>
      </c>
      <c r="AV120" s="1124">
        <f>SUM(BV241:CD241)/SUM(BV239:CD243)</f>
        <v>0.76958934517203104</v>
      </c>
      <c r="AW120" s="1137">
        <f>SUM(BV243:CD243)/SUM(BV239:CD243)</f>
        <v>0.12297447280799112</v>
      </c>
      <c r="AX120" s="1141" cm="1">
        <f t="array" ref="AX120">INDEX($I$43:$CH$43,MATCH(AX$88&amp;AM120,$I$33:$CH$33&amp;$I$32:$CH$32,0))</f>
        <v>4513.1911767694201</v>
      </c>
      <c r="AY120" s="1142" cm="1">
        <f t="array" ref="AY120">INDEX($I$43:$CH$43,MATCH(AY$88&amp;AM120,$I$33:$CH$33&amp;$I$32:$CH$32,0))</f>
        <v>23167.339151815657</v>
      </c>
      <c r="AZ120" s="1142" cm="1">
        <f t="array" ref="AZ120">INDEX($I$43:$CH$43,MATCH(AZ$88&amp;AM120,$I$33:$CH$33&amp;$I$32:$CH$32,0))</f>
        <v>22529.580764463226</v>
      </c>
      <c r="BA120" s="1141">
        <f t="shared" si="25"/>
        <v>4998.0712055277772</v>
      </c>
      <c r="BB120" s="1142">
        <f t="shared" si="26"/>
        <v>40996.676519039822</v>
      </c>
      <c r="BC120" s="1142">
        <f t="shared" si="27"/>
        <v>25300.144081558148</v>
      </c>
      <c r="BD120" s="1141">
        <f t="shared" si="29"/>
        <v>7367.5351531837941</v>
      </c>
      <c r="BE120" s="1142">
        <f t="shared" si="30"/>
        <v>38205.67199008954</v>
      </c>
      <c r="BF120" s="1145">
        <f t="shared" si="31"/>
        <v>22488.634461883325</v>
      </c>
      <c r="BG120" s="460"/>
      <c r="BH120" s="460"/>
      <c r="BI120" s="1286" t="s">
        <v>1103</v>
      </c>
      <c r="BJ120" s="1117" t="s">
        <v>1101</v>
      </c>
      <c r="BK120" s="1118">
        <v>318</v>
      </c>
      <c r="BL120" s="1118">
        <v>226</v>
      </c>
      <c r="BM120" s="1118">
        <v>412</v>
      </c>
      <c r="BN120" s="1118">
        <v>949</v>
      </c>
      <c r="BO120" s="1118">
        <v>1577</v>
      </c>
      <c r="BP120" s="1118">
        <v>2487</v>
      </c>
      <c r="BQ120" s="1118">
        <v>3492</v>
      </c>
      <c r="BR120" s="1118">
        <v>4884</v>
      </c>
      <c r="BS120" s="1118">
        <v>4036</v>
      </c>
      <c r="BT120" s="1118">
        <v>2845</v>
      </c>
      <c r="BU120" s="1118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</row>
    <row r="121" spans="1:95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3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X121" s="460"/>
      <c r="AY121" s="46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287"/>
      <c r="BJ121" s="1117" t="s">
        <v>1102</v>
      </c>
      <c r="BK121" s="460"/>
      <c r="BL121" s="460"/>
      <c r="BM121" s="460"/>
      <c r="BN121" s="460"/>
      <c r="BO121" s="460"/>
      <c r="BP121" s="460"/>
      <c r="BV121" s="1118">
        <v>2301</v>
      </c>
      <c r="BW121" s="1118">
        <v>2272</v>
      </c>
      <c r="BX121" s="1118">
        <v>2272</v>
      </c>
      <c r="BY121" s="1118">
        <v>2272</v>
      </c>
      <c r="BZ121" s="1118">
        <v>2272</v>
      </c>
      <c r="CA121" s="1118">
        <v>2272</v>
      </c>
      <c r="CB121" s="1118">
        <v>2272</v>
      </c>
      <c r="CC121" s="1118">
        <v>2272</v>
      </c>
      <c r="CD121" s="1118">
        <v>2272</v>
      </c>
      <c r="CI121" s="460"/>
      <c r="CJ121" s="460"/>
      <c r="CK121" s="460"/>
      <c r="CL121" s="460"/>
      <c r="CM121" s="460"/>
      <c r="CN121" s="460"/>
      <c r="CO121" s="460"/>
      <c r="CP121" s="460"/>
      <c r="CQ121" s="460"/>
    </row>
    <row r="122" spans="1:95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3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X122" s="460"/>
      <c r="AY122" s="460"/>
      <c r="AZ122" s="1147" t="s">
        <v>218</v>
      </c>
      <c r="BA122" s="1148">
        <f>SUM(BA90:BA120)</f>
        <v>334330.19115129771</v>
      </c>
      <c r="BB122" s="1148">
        <f>SUM(BB90:BB120)</f>
        <v>1076738.0328646933</v>
      </c>
      <c r="BC122" s="1148">
        <f t="shared" ref="BC122:BF122" si="34">SUM(BC90:BC120)</f>
        <v>987242.54129775881</v>
      </c>
      <c r="BD122" s="1148">
        <f>SUM(BD90:BD120)</f>
        <v>492827.99999999994</v>
      </c>
      <c r="BE122" s="1148">
        <f>SUM(BE90:BE120)</f>
        <v>1003435.0000000002</v>
      </c>
      <c r="BF122" s="1148">
        <f t="shared" si="34"/>
        <v>877534</v>
      </c>
      <c r="BG122" s="460"/>
      <c r="BH122" s="460"/>
      <c r="BI122" s="1117" t="s">
        <v>1104</v>
      </c>
      <c r="BJ122" s="1117" t="s">
        <v>1101</v>
      </c>
      <c r="BK122" s="1118">
        <v>199</v>
      </c>
      <c r="BL122" s="1118">
        <v>157</v>
      </c>
      <c r="BM122" s="1118">
        <v>134</v>
      </c>
      <c r="BN122" s="1118">
        <v>154</v>
      </c>
      <c r="BO122" s="1118">
        <v>193</v>
      </c>
      <c r="BP122" s="1118">
        <v>241</v>
      </c>
      <c r="BQ122" s="1118">
        <v>298</v>
      </c>
      <c r="BR122" s="1118">
        <v>272</v>
      </c>
      <c r="BS122" s="1118">
        <v>297</v>
      </c>
      <c r="BT122" s="1118">
        <v>248</v>
      </c>
      <c r="BU122" s="1118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</row>
    <row r="123" spans="1:95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3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U123" s="460"/>
      <c r="AW123" s="460"/>
      <c r="AX123" s="460"/>
      <c r="AY123" s="1146" t="s">
        <v>1107</v>
      </c>
      <c r="BA123" s="460"/>
      <c r="BB123" s="460"/>
      <c r="BC123" s="460"/>
      <c r="BD123" s="1044">
        <v>492828</v>
      </c>
      <c r="BE123" s="1044">
        <v>1003435</v>
      </c>
      <c r="BF123" s="1044">
        <v>877534</v>
      </c>
      <c r="BG123" s="460"/>
      <c r="BH123" s="460"/>
      <c r="BI123" s="460"/>
      <c r="BJ123" s="1117" t="s">
        <v>1102</v>
      </c>
      <c r="BK123" s="460"/>
      <c r="BL123" s="460"/>
      <c r="BM123" s="460"/>
      <c r="BN123" s="460"/>
      <c r="BO123" s="460"/>
      <c r="BP123" s="460"/>
      <c r="BV123" s="1118">
        <v>237</v>
      </c>
      <c r="BW123" s="1118">
        <v>242</v>
      </c>
      <c r="BX123" s="1118">
        <v>242</v>
      </c>
      <c r="BY123" s="1118">
        <v>242</v>
      </c>
      <c r="BZ123" s="1118">
        <v>242</v>
      </c>
      <c r="CA123" s="1118">
        <v>242</v>
      </c>
      <c r="CB123" s="1118">
        <v>242</v>
      </c>
      <c r="CC123" s="1118">
        <v>242</v>
      </c>
      <c r="CD123" s="1118">
        <v>242</v>
      </c>
      <c r="CI123" s="460"/>
      <c r="CJ123" s="460"/>
      <c r="CK123" s="460"/>
      <c r="CL123" s="460"/>
      <c r="CM123" s="460"/>
      <c r="CN123" s="460"/>
      <c r="CO123" s="460"/>
      <c r="CP123" s="460"/>
      <c r="CQ123" s="460"/>
    </row>
    <row r="124" spans="1:95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3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P124" s="460"/>
      <c r="AQ124" s="460"/>
      <c r="AR124" s="460"/>
      <c r="AX124" s="460"/>
      <c r="AY124" s="460"/>
      <c r="AZ124" s="460"/>
      <c r="BA124" s="460"/>
      <c r="BB124" s="460"/>
      <c r="BC124" s="460"/>
      <c r="BD124" s="460"/>
      <c r="BE124" s="460"/>
      <c r="BF124" s="460"/>
      <c r="BH124" s="1286" t="s">
        <v>338</v>
      </c>
      <c r="BI124" s="1286" t="s">
        <v>42</v>
      </c>
      <c r="BJ124" s="1117" t="s">
        <v>1101</v>
      </c>
      <c r="BK124" s="1118">
        <v>18</v>
      </c>
      <c r="BL124" s="1118">
        <v>24</v>
      </c>
      <c r="BM124" s="1118">
        <v>30</v>
      </c>
      <c r="BN124" s="1118">
        <v>34</v>
      </c>
      <c r="BO124" s="1118">
        <v>33</v>
      </c>
      <c r="BP124" s="1118">
        <v>48</v>
      </c>
      <c r="BQ124" s="1118">
        <v>65</v>
      </c>
      <c r="BR124" s="1118">
        <v>31</v>
      </c>
      <c r="BS124" s="1118">
        <v>103</v>
      </c>
      <c r="BT124" s="1118">
        <v>63</v>
      </c>
      <c r="BU124" s="1118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</row>
    <row r="125" spans="1:95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3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P125" s="460"/>
      <c r="AQ125" s="460"/>
      <c r="AR125" s="460"/>
      <c r="AX125" s="460"/>
      <c r="AY125" s="460"/>
      <c r="AZ125" s="460"/>
      <c r="BA125" s="460"/>
      <c r="BB125" s="460"/>
      <c r="BC125" s="460"/>
      <c r="BD125" s="460"/>
      <c r="BE125" s="460"/>
      <c r="BF125" s="460"/>
      <c r="BH125" s="1287"/>
      <c r="BI125" s="1287"/>
      <c r="BJ125" s="1117" t="s">
        <v>1102</v>
      </c>
      <c r="BK125" s="460"/>
      <c r="BL125" s="460"/>
      <c r="BM125" s="460"/>
      <c r="BN125" s="460"/>
      <c r="BO125" s="460"/>
      <c r="BP125" s="460"/>
      <c r="BV125" s="1118">
        <v>88</v>
      </c>
      <c r="BW125" s="1118">
        <v>109</v>
      </c>
      <c r="BX125" s="1118">
        <v>123</v>
      </c>
      <c r="BY125" s="1118">
        <v>136</v>
      </c>
      <c r="BZ125" s="1118">
        <v>150</v>
      </c>
      <c r="CA125" s="1118">
        <v>163</v>
      </c>
      <c r="CB125" s="1118">
        <v>176</v>
      </c>
      <c r="CC125" s="1118">
        <v>190</v>
      </c>
      <c r="CD125" s="1118">
        <v>203</v>
      </c>
      <c r="CI125" s="460"/>
      <c r="CJ125" s="460"/>
      <c r="CK125" s="460"/>
      <c r="CL125" s="460"/>
      <c r="CM125" s="460"/>
      <c r="CN125" s="460"/>
      <c r="CO125" s="460"/>
      <c r="CP125" s="460"/>
      <c r="CQ125" s="460"/>
    </row>
    <row r="126" spans="1:95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3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P126" s="460"/>
      <c r="AQ126" s="460"/>
      <c r="AR126" s="460"/>
      <c r="AX126" s="460"/>
      <c r="AY126" s="460"/>
      <c r="AZ126" s="460"/>
      <c r="BA126" s="460"/>
      <c r="BB126" s="460"/>
      <c r="BC126" s="460"/>
      <c r="BD126" s="460"/>
      <c r="BE126" s="460"/>
      <c r="BF126" s="460"/>
      <c r="BH126" s="1287"/>
      <c r="BI126" s="1286" t="s">
        <v>1103</v>
      </c>
      <c r="BJ126" s="1117" t="s">
        <v>1101</v>
      </c>
      <c r="BK126" s="1118">
        <v>35</v>
      </c>
      <c r="BL126" s="1118">
        <v>9</v>
      </c>
      <c r="BM126" s="1118">
        <v>14</v>
      </c>
      <c r="BN126" s="1118">
        <v>23</v>
      </c>
      <c r="BO126" s="1118">
        <v>59</v>
      </c>
      <c r="BP126" s="1118">
        <v>128</v>
      </c>
      <c r="BQ126" s="1118">
        <v>192</v>
      </c>
      <c r="BR126" s="1118">
        <v>219</v>
      </c>
      <c r="BS126" s="1118">
        <v>477</v>
      </c>
      <c r="BT126" s="1118">
        <v>540</v>
      </c>
      <c r="BU126" s="1118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</row>
    <row r="127" spans="1:95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3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P127" s="460"/>
      <c r="AQ127" s="460"/>
      <c r="AR127" s="460"/>
      <c r="AX127" s="460"/>
      <c r="AY127" s="460"/>
      <c r="AZ127" s="460"/>
      <c r="BA127" s="460"/>
      <c r="BB127" s="460"/>
      <c r="BC127" s="460"/>
      <c r="BD127" s="460"/>
      <c r="BE127" s="460"/>
      <c r="BF127" s="460"/>
      <c r="BH127" s="1287"/>
      <c r="BI127" s="1287"/>
      <c r="BJ127" s="1117" t="s">
        <v>1102</v>
      </c>
      <c r="BK127" s="460"/>
      <c r="BL127" s="460"/>
      <c r="BM127" s="460"/>
      <c r="BN127" s="460"/>
      <c r="BO127" s="460"/>
      <c r="BP127" s="460"/>
      <c r="BV127" s="1118">
        <v>321</v>
      </c>
      <c r="BW127" s="1118">
        <v>346</v>
      </c>
      <c r="BX127" s="1118">
        <v>346</v>
      </c>
      <c r="BY127" s="1118">
        <v>346</v>
      </c>
      <c r="BZ127" s="1118">
        <v>346</v>
      </c>
      <c r="CA127" s="1118">
        <v>346</v>
      </c>
      <c r="CB127" s="1118">
        <v>346</v>
      </c>
      <c r="CC127" s="1118">
        <v>346</v>
      </c>
      <c r="CD127" s="1118">
        <v>346</v>
      </c>
      <c r="CI127" s="460"/>
      <c r="CJ127" s="460"/>
      <c r="CK127" s="460"/>
      <c r="CL127" s="460"/>
      <c r="CM127" s="460"/>
      <c r="CN127" s="460"/>
      <c r="CO127" s="460"/>
      <c r="CP127" s="460"/>
      <c r="CQ127" s="460"/>
    </row>
    <row r="128" spans="1:95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X128" s="460"/>
      <c r="AY128" s="460"/>
      <c r="AZ128" s="460"/>
      <c r="BA128" s="460"/>
      <c r="BB128" s="460"/>
      <c r="BC128" s="460"/>
      <c r="BD128" s="460"/>
      <c r="BE128" s="460"/>
      <c r="BF128" s="460"/>
      <c r="BH128" s="1287"/>
      <c r="BI128" s="1286" t="s">
        <v>1104</v>
      </c>
      <c r="BJ128" s="1117" t="s">
        <v>1101</v>
      </c>
      <c r="BK128" s="1118">
        <v>419</v>
      </c>
      <c r="BL128" s="1118">
        <v>300</v>
      </c>
      <c r="BM128" s="1118">
        <v>267</v>
      </c>
      <c r="BN128" s="1118">
        <v>253</v>
      </c>
      <c r="BO128" s="1118">
        <v>297</v>
      </c>
      <c r="BP128" s="1118">
        <v>333</v>
      </c>
      <c r="BQ128" s="1118">
        <v>383</v>
      </c>
      <c r="BR128" s="1118">
        <v>424</v>
      </c>
      <c r="BS128" s="1118">
        <v>463</v>
      </c>
      <c r="BT128" s="1118">
        <v>449</v>
      </c>
      <c r="BU128" s="1118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</row>
    <row r="129" spans="2:95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X129" s="460"/>
      <c r="AY129" s="460"/>
      <c r="AZ129" s="460"/>
      <c r="BA129" s="460"/>
      <c r="BB129" s="460"/>
      <c r="BC129" s="460"/>
      <c r="BD129" s="460"/>
      <c r="BE129" s="460"/>
      <c r="BF129" s="460"/>
      <c r="BH129" s="1287"/>
      <c r="BI129" s="1287"/>
      <c r="BJ129" s="1117" t="s">
        <v>1102</v>
      </c>
      <c r="BK129" s="460"/>
      <c r="BL129" s="460"/>
      <c r="BM129" s="460"/>
      <c r="BN129" s="460"/>
      <c r="BO129" s="460"/>
      <c r="BP129" s="460"/>
      <c r="BV129" s="1118">
        <v>454</v>
      </c>
      <c r="BW129" s="1118">
        <v>454</v>
      </c>
      <c r="BX129" s="1118">
        <v>454</v>
      </c>
      <c r="BY129" s="1118">
        <v>454</v>
      </c>
      <c r="BZ129" s="1118">
        <v>454</v>
      </c>
      <c r="CA129" s="1118">
        <v>454</v>
      </c>
      <c r="CB129" s="1118">
        <v>454</v>
      </c>
      <c r="CC129" s="1118">
        <v>454</v>
      </c>
      <c r="CD129" s="1118">
        <v>454</v>
      </c>
      <c r="CI129" s="460"/>
      <c r="CJ129" s="460"/>
      <c r="CK129" s="460"/>
      <c r="CL129" s="460"/>
      <c r="CM129" s="460"/>
      <c r="CN129" s="460"/>
      <c r="CO129" s="460"/>
      <c r="CP129" s="460"/>
      <c r="CQ129" s="460"/>
    </row>
    <row r="130" spans="2:95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X130" s="460"/>
      <c r="AY130" s="460"/>
      <c r="AZ130" s="460"/>
      <c r="BA130" s="460"/>
      <c r="BB130" s="460"/>
      <c r="BC130" s="460"/>
      <c r="BD130" s="460"/>
      <c r="BE130" s="460"/>
      <c r="BF130" s="460"/>
      <c r="BH130" s="1286" t="s">
        <v>914</v>
      </c>
      <c r="BI130" s="1286" t="s">
        <v>42</v>
      </c>
      <c r="BJ130" s="1117" t="s">
        <v>1101</v>
      </c>
      <c r="BK130" s="1118">
        <v>12</v>
      </c>
      <c r="BL130" s="1118">
        <v>26</v>
      </c>
      <c r="BM130" s="1118">
        <v>6</v>
      </c>
      <c r="BN130" s="1118">
        <v>2</v>
      </c>
      <c r="BO130" s="1118">
        <v>0</v>
      </c>
      <c r="BP130" s="1118">
        <v>11</v>
      </c>
      <c r="BQ130" s="1118">
        <v>27</v>
      </c>
      <c r="BR130" s="1118">
        <v>26</v>
      </c>
      <c r="BS130" s="1118">
        <v>17</v>
      </c>
      <c r="BT130" s="1118">
        <v>55</v>
      </c>
      <c r="BU130" s="1118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</row>
    <row r="131" spans="2:95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X131" s="460"/>
      <c r="AY131" s="460"/>
      <c r="AZ131" s="460"/>
      <c r="BA131" s="460"/>
      <c r="BB131" s="460"/>
      <c r="BC131" s="460"/>
      <c r="BD131" s="460"/>
      <c r="BE131" s="460"/>
      <c r="BF131" s="460"/>
      <c r="BH131" s="1287"/>
      <c r="BI131" s="1287"/>
      <c r="BJ131" s="1117" t="s">
        <v>1102</v>
      </c>
      <c r="BK131" s="460"/>
      <c r="BL131" s="460"/>
      <c r="BM131" s="460"/>
      <c r="BN131" s="460"/>
      <c r="BO131" s="460"/>
      <c r="BP131" s="460"/>
      <c r="BV131" s="1118">
        <v>40</v>
      </c>
      <c r="BW131" s="1118">
        <v>34</v>
      </c>
      <c r="BX131" s="1118">
        <v>34</v>
      </c>
      <c r="BY131" s="1118">
        <v>34</v>
      </c>
      <c r="BZ131" s="1118">
        <v>34</v>
      </c>
      <c r="CA131" s="1118">
        <v>34</v>
      </c>
      <c r="CB131" s="1118">
        <v>34</v>
      </c>
      <c r="CC131" s="1118">
        <v>34</v>
      </c>
      <c r="CD131" s="1118">
        <v>34</v>
      </c>
      <c r="CI131" s="460"/>
      <c r="CJ131" s="460"/>
      <c r="CK131" s="460"/>
      <c r="CL131" s="460"/>
      <c r="CM131" s="460"/>
      <c r="CN131" s="460"/>
      <c r="CO131" s="460"/>
      <c r="CP131" s="460"/>
      <c r="CQ131" s="460"/>
    </row>
    <row r="132" spans="2:95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X132" s="460"/>
      <c r="AY132" s="460"/>
      <c r="AZ132" s="460"/>
      <c r="BA132" s="460"/>
      <c r="BB132" s="460"/>
      <c r="BC132" s="460"/>
      <c r="BD132" s="460"/>
      <c r="BE132" s="460"/>
      <c r="BF132" s="460"/>
      <c r="BH132" s="1287"/>
      <c r="BI132" s="1286" t="s">
        <v>1103</v>
      </c>
      <c r="BJ132" s="1117" t="s">
        <v>1101</v>
      </c>
      <c r="BK132" s="1118">
        <v>33</v>
      </c>
      <c r="BL132" s="1118">
        <v>7</v>
      </c>
      <c r="BM132" s="1118">
        <v>16</v>
      </c>
      <c r="BN132" s="1118">
        <v>29</v>
      </c>
      <c r="BO132" s="1118">
        <v>34</v>
      </c>
      <c r="BP132" s="1118">
        <v>53</v>
      </c>
      <c r="BQ132" s="1118">
        <v>68</v>
      </c>
      <c r="BR132" s="1118">
        <v>170</v>
      </c>
      <c r="BS132" s="1118">
        <v>190</v>
      </c>
      <c r="BT132" s="1118">
        <v>289</v>
      </c>
      <c r="BU132" s="1118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</row>
    <row r="133" spans="2:95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X133" s="460"/>
      <c r="AY133" s="460"/>
      <c r="AZ133" s="460"/>
      <c r="BA133" s="460"/>
      <c r="BB133" s="460"/>
      <c r="BC133" s="460"/>
      <c r="BD133" s="460"/>
      <c r="BE133" s="460"/>
      <c r="BF133" s="460"/>
      <c r="BH133" s="1287"/>
      <c r="BI133" s="1287"/>
      <c r="BJ133" s="1117" t="s">
        <v>1102</v>
      </c>
      <c r="BK133" s="460"/>
      <c r="BL133" s="460"/>
      <c r="BM133" s="460"/>
      <c r="BN133" s="460"/>
      <c r="BO133" s="460"/>
      <c r="BP133" s="460"/>
      <c r="BV133" s="1118">
        <v>265</v>
      </c>
      <c r="BW133" s="1118">
        <v>249</v>
      </c>
      <c r="BX133" s="1118">
        <v>249</v>
      </c>
      <c r="BY133" s="1118">
        <v>249</v>
      </c>
      <c r="BZ133" s="1118">
        <v>249</v>
      </c>
      <c r="CA133" s="1118">
        <v>249</v>
      </c>
      <c r="CB133" s="1118">
        <v>249</v>
      </c>
      <c r="CC133" s="1118">
        <v>249</v>
      </c>
      <c r="CD133" s="1118">
        <v>249</v>
      </c>
      <c r="CI133" s="460"/>
      <c r="CJ133" s="460"/>
      <c r="CK133" s="460"/>
      <c r="CL133" s="460"/>
      <c r="CM133" s="460"/>
      <c r="CN133" s="460"/>
      <c r="CO133" s="460"/>
      <c r="CP133" s="460"/>
      <c r="CQ133" s="460"/>
    </row>
    <row r="134" spans="2:95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X134" s="460"/>
      <c r="AY134" s="460"/>
      <c r="AZ134" s="460"/>
      <c r="BA134" s="460"/>
      <c r="BB134" s="460"/>
      <c r="BC134" s="460"/>
      <c r="BD134" s="460"/>
      <c r="BE134" s="460"/>
      <c r="BF134" s="460"/>
      <c r="BH134" s="1287"/>
      <c r="BI134" s="1286" t="s">
        <v>1104</v>
      </c>
      <c r="BJ134" s="1117" t="s">
        <v>1101</v>
      </c>
      <c r="BK134" s="1118">
        <v>240</v>
      </c>
      <c r="BL134" s="1118">
        <v>185</v>
      </c>
      <c r="BM134" s="1118">
        <v>172</v>
      </c>
      <c r="BN134" s="1118">
        <v>147</v>
      </c>
      <c r="BO134" s="1118">
        <v>158</v>
      </c>
      <c r="BP134" s="1118">
        <v>188</v>
      </c>
      <c r="BQ134" s="1118">
        <v>211</v>
      </c>
      <c r="BR134" s="1118">
        <v>200</v>
      </c>
      <c r="BS134" s="1118">
        <v>230</v>
      </c>
      <c r="BT134" s="1118">
        <v>229</v>
      </c>
      <c r="BU134" s="1118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</row>
    <row r="135" spans="2:95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X135" s="460"/>
      <c r="AY135" s="460"/>
      <c r="AZ135" s="460"/>
      <c r="BA135" s="460"/>
      <c r="BB135" s="460"/>
      <c r="BC135" s="460"/>
      <c r="BD135" s="460"/>
      <c r="BE135" s="460"/>
      <c r="BF135" s="460"/>
      <c r="BH135" s="1287"/>
      <c r="BI135" s="1287"/>
      <c r="BJ135" s="1117" t="s">
        <v>1102</v>
      </c>
      <c r="BK135" s="460"/>
      <c r="BL135" s="460"/>
      <c r="BM135" s="460"/>
      <c r="BN135" s="460"/>
      <c r="BO135" s="460"/>
      <c r="BP135" s="460"/>
      <c r="BV135" s="1118">
        <v>197</v>
      </c>
      <c r="BW135" s="1118">
        <v>209</v>
      </c>
      <c r="BX135" s="1118">
        <v>209</v>
      </c>
      <c r="BY135" s="1118">
        <v>209</v>
      </c>
      <c r="BZ135" s="1118">
        <v>209</v>
      </c>
      <c r="CA135" s="1118">
        <v>209</v>
      </c>
      <c r="CB135" s="1118">
        <v>209</v>
      </c>
      <c r="CC135" s="1118">
        <v>209</v>
      </c>
      <c r="CD135" s="1118">
        <v>209</v>
      </c>
      <c r="CI135" s="460"/>
      <c r="CJ135" s="460"/>
      <c r="CK135" s="460"/>
      <c r="CL135" s="460"/>
      <c r="CM135" s="460"/>
      <c r="CN135" s="460"/>
      <c r="CO135" s="460"/>
      <c r="CP135" s="460"/>
      <c r="CQ135" s="460"/>
    </row>
    <row r="136" spans="2:95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X136" s="460"/>
      <c r="AY136" s="460"/>
      <c r="AZ136" s="460"/>
      <c r="BA136" s="460"/>
      <c r="BB136" s="460"/>
      <c r="BC136" s="460"/>
      <c r="BD136" s="460"/>
      <c r="BE136" s="460"/>
      <c r="BF136" s="460"/>
      <c r="BH136" s="1286" t="s">
        <v>912</v>
      </c>
      <c r="BI136" s="1286" t="s">
        <v>42</v>
      </c>
      <c r="BJ136" s="1117" t="s">
        <v>1101</v>
      </c>
      <c r="BK136" s="1118">
        <v>75</v>
      </c>
      <c r="BL136" s="1118">
        <v>12</v>
      </c>
      <c r="BM136" s="1118">
        <v>1</v>
      </c>
      <c r="BN136" s="1118">
        <v>0</v>
      </c>
      <c r="BO136" s="1118">
        <v>17</v>
      </c>
      <c r="BP136" s="1118">
        <v>8</v>
      </c>
      <c r="BQ136" s="1118">
        <v>25</v>
      </c>
      <c r="BR136" s="1118">
        <v>30</v>
      </c>
      <c r="BS136" s="1118">
        <v>62</v>
      </c>
      <c r="BT136" s="1118">
        <v>16</v>
      </c>
      <c r="BU136" s="1118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</row>
    <row r="137" spans="2:95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X137" s="460"/>
      <c r="AY137" s="460"/>
      <c r="AZ137" s="460"/>
      <c r="BA137" s="460"/>
      <c r="BB137" s="460"/>
      <c r="BC137" s="460"/>
      <c r="BD137" s="460"/>
      <c r="BE137" s="460"/>
      <c r="BF137" s="460"/>
      <c r="BH137" s="1287"/>
      <c r="BI137" s="1287"/>
      <c r="BJ137" s="1117" t="s">
        <v>1102</v>
      </c>
      <c r="BK137" s="460"/>
      <c r="BL137" s="460"/>
      <c r="BM137" s="460"/>
      <c r="BN137" s="460"/>
      <c r="BO137" s="460"/>
      <c r="BP137" s="460"/>
      <c r="BV137" s="1118">
        <v>137</v>
      </c>
      <c r="BW137" s="1118">
        <v>161</v>
      </c>
      <c r="BX137" s="1118">
        <v>161</v>
      </c>
      <c r="BY137" s="1118">
        <v>161</v>
      </c>
      <c r="BZ137" s="1118">
        <v>161</v>
      </c>
      <c r="CA137" s="1118">
        <v>161</v>
      </c>
      <c r="CB137" s="1118">
        <v>161</v>
      </c>
      <c r="CC137" s="1118">
        <v>161</v>
      </c>
      <c r="CD137" s="1118">
        <v>161</v>
      </c>
      <c r="CI137" s="460"/>
      <c r="CJ137" s="460"/>
      <c r="CK137" s="460"/>
      <c r="CL137" s="460"/>
      <c r="CM137" s="460"/>
      <c r="CN137" s="460"/>
      <c r="CO137" s="460"/>
      <c r="CP137" s="460"/>
      <c r="CQ137" s="460"/>
    </row>
    <row r="138" spans="2:95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X138" s="460"/>
      <c r="AY138" s="460"/>
      <c r="AZ138" s="460"/>
      <c r="BA138" s="460"/>
      <c r="BB138" s="460"/>
      <c r="BC138" s="460"/>
      <c r="BD138" s="460"/>
      <c r="BE138" s="460"/>
      <c r="BF138" s="460"/>
      <c r="BH138" s="1287"/>
      <c r="BI138" s="1286" t="s">
        <v>1103</v>
      </c>
      <c r="BJ138" s="1117" t="s">
        <v>1101</v>
      </c>
      <c r="BK138" s="1118">
        <v>52</v>
      </c>
      <c r="BL138" s="1118">
        <v>74</v>
      </c>
      <c r="BM138" s="1118">
        <v>104</v>
      </c>
      <c r="BN138" s="1118">
        <v>204</v>
      </c>
      <c r="BO138" s="1118">
        <v>436</v>
      </c>
      <c r="BP138" s="1118">
        <v>496</v>
      </c>
      <c r="BQ138" s="1118">
        <v>792</v>
      </c>
      <c r="BR138" s="1118">
        <v>1032</v>
      </c>
      <c r="BS138" s="1118">
        <v>1632</v>
      </c>
      <c r="BT138" s="1118">
        <v>1477</v>
      </c>
      <c r="BU138" s="1118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</row>
    <row r="139" spans="2:95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X139" s="460"/>
      <c r="AY139" s="460"/>
      <c r="AZ139" s="460"/>
      <c r="BA139" s="460"/>
      <c r="BB139" s="460"/>
      <c r="BC139" s="460"/>
      <c r="BD139" s="460"/>
      <c r="BE139" s="460"/>
      <c r="BF139" s="460"/>
      <c r="BH139" s="1287"/>
      <c r="BI139" s="1287"/>
      <c r="BJ139" s="1117" t="s">
        <v>1102</v>
      </c>
      <c r="BK139" s="460"/>
      <c r="BL139" s="460"/>
      <c r="BM139" s="460"/>
      <c r="BN139" s="460"/>
      <c r="BO139" s="460"/>
      <c r="BP139" s="460"/>
      <c r="BV139" s="1118">
        <v>1533</v>
      </c>
      <c r="BW139" s="1118">
        <v>1822</v>
      </c>
      <c r="BX139" s="1118">
        <v>1957</v>
      </c>
      <c r="BY139" s="1118">
        <v>2093</v>
      </c>
      <c r="BZ139" s="1118">
        <v>2228</v>
      </c>
      <c r="CA139" s="1118">
        <v>2363</v>
      </c>
      <c r="CB139" s="1118">
        <v>2498</v>
      </c>
      <c r="CC139" s="1118">
        <v>2633</v>
      </c>
      <c r="CD139" s="1118">
        <v>2768</v>
      </c>
      <c r="CI139" s="460"/>
      <c r="CJ139" s="460"/>
      <c r="CK139" s="460"/>
      <c r="CL139" s="460"/>
      <c r="CM139" s="460"/>
      <c r="CN139" s="460"/>
      <c r="CO139" s="460"/>
      <c r="CP139" s="460"/>
      <c r="CQ139" s="460"/>
    </row>
    <row r="140" spans="2:95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X140" s="460"/>
      <c r="AY140" s="460"/>
      <c r="AZ140" s="460"/>
      <c r="BA140" s="460"/>
      <c r="BB140" s="460"/>
      <c r="BC140" s="460"/>
      <c r="BD140" s="460"/>
      <c r="BE140" s="460"/>
      <c r="BF140" s="460"/>
      <c r="BH140" s="1287"/>
      <c r="BI140" s="1286" t="s">
        <v>1104</v>
      </c>
      <c r="BJ140" s="1117" t="s">
        <v>1101</v>
      </c>
      <c r="BK140" s="1118">
        <v>159</v>
      </c>
      <c r="BL140" s="1118">
        <v>121</v>
      </c>
      <c r="BM140" s="1118">
        <v>89</v>
      </c>
      <c r="BN140" s="1118">
        <v>96</v>
      </c>
      <c r="BO140" s="1118">
        <v>124</v>
      </c>
      <c r="BP140" s="1118">
        <v>132</v>
      </c>
      <c r="BQ140" s="1118">
        <v>168</v>
      </c>
      <c r="BR140" s="1118">
        <v>159</v>
      </c>
      <c r="BS140" s="1118">
        <v>203</v>
      </c>
      <c r="BT140" s="1118">
        <v>168</v>
      </c>
      <c r="BU140" s="1118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</row>
    <row r="141" spans="2:95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X141" s="460"/>
      <c r="AY141" s="460"/>
      <c r="AZ141" s="460"/>
      <c r="BA141" s="460"/>
      <c r="BB141" s="460"/>
      <c r="BC141" s="460"/>
      <c r="BD141" s="460"/>
      <c r="BE141" s="460"/>
      <c r="BF141" s="460"/>
      <c r="BH141" s="1287"/>
      <c r="BI141" s="1287"/>
      <c r="BJ141" s="1117" t="s">
        <v>1102</v>
      </c>
      <c r="BK141" s="460"/>
      <c r="BL141" s="460"/>
      <c r="BM141" s="460"/>
      <c r="BN141" s="460"/>
      <c r="BO141" s="460"/>
      <c r="BP141" s="460"/>
      <c r="BV141" s="1118">
        <v>162</v>
      </c>
      <c r="BW141" s="1118">
        <v>170</v>
      </c>
      <c r="BX141" s="1118">
        <v>170</v>
      </c>
      <c r="BY141" s="1118">
        <v>170</v>
      </c>
      <c r="BZ141" s="1118">
        <v>170</v>
      </c>
      <c r="CA141" s="1118">
        <v>170</v>
      </c>
      <c r="CB141" s="1118">
        <v>170</v>
      </c>
      <c r="CC141" s="1118">
        <v>170</v>
      </c>
      <c r="CD141" s="1118">
        <v>170</v>
      </c>
      <c r="CI141" s="460"/>
      <c r="CJ141" s="460"/>
      <c r="CK141" s="460"/>
      <c r="CL141" s="460"/>
      <c r="CM141" s="460"/>
      <c r="CN141" s="460"/>
      <c r="CO141" s="460"/>
      <c r="CP141" s="460"/>
      <c r="CQ141" s="460"/>
    </row>
    <row r="142" spans="2:95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X142" s="460"/>
      <c r="AY142" s="460"/>
      <c r="AZ142" s="460"/>
      <c r="BA142" s="460"/>
      <c r="BB142" s="460"/>
      <c r="BC142" s="460"/>
      <c r="BD142" s="460"/>
      <c r="BE142" s="460"/>
      <c r="BF142" s="460"/>
      <c r="BH142" s="1286" t="s">
        <v>913</v>
      </c>
      <c r="BI142" s="1286" t="s">
        <v>42</v>
      </c>
      <c r="BJ142" s="1117" t="s">
        <v>1101</v>
      </c>
      <c r="BK142" s="1118">
        <v>11</v>
      </c>
      <c r="BL142" s="1118">
        <v>0</v>
      </c>
      <c r="BM142" s="1118">
        <v>12</v>
      </c>
      <c r="BN142" s="1118">
        <v>1</v>
      </c>
      <c r="BO142" s="1118">
        <v>2</v>
      </c>
      <c r="BP142" s="1118">
        <v>7</v>
      </c>
      <c r="BQ142" s="1118">
        <v>13</v>
      </c>
      <c r="BR142" s="1118">
        <v>32</v>
      </c>
      <c r="BS142" s="1118">
        <v>35</v>
      </c>
      <c r="BT142" s="1118">
        <v>38</v>
      </c>
      <c r="BU142" s="1118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</row>
    <row r="143" spans="2:95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X143" s="460"/>
      <c r="AY143" s="460"/>
      <c r="AZ143" s="460"/>
      <c r="BA143" s="460"/>
      <c r="BB143" s="460"/>
      <c r="BC143" s="460"/>
      <c r="BD143" s="460"/>
      <c r="BE143" s="460"/>
      <c r="BF143" s="460"/>
      <c r="BH143" s="1287"/>
      <c r="BI143" s="1287"/>
      <c r="BJ143" s="1117" t="s">
        <v>1102</v>
      </c>
      <c r="BK143" s="460"/>
      <c r="BL143" s="460"/>
      <c r="BM143" s="460"/>
      <c r="BN143" s="460"/>
      <c r="BO143" s="460"/>
      <c r="BP143" s="460"/>
      <c r="BV143" s="1118">
        <v>23</v>
      </c>
      <c r="BW143" s="1118">
        <v>29</v>
      </c>
      <c r="BX143" s="1118">
        <v>29</v>
      </c>
      <c r="BY143" s="1118">
        <v>29</v>
      </c>
      <c r="BZ143" s="1118">
        <v>29</v>
      </c>
      <c r="CA143" s="1118">
        <v>29</v>
      </c>
      <c r="CB143" s="1118">
        <v>29</v>
      </c>
      <c r="CC143" s="1118">
        <v>29</v>
      </c>
      <c r="CD143" s="1118">
        <v>29</v>
      </c>
      <c r="CI143" s="460"/>
      <c r="CJ143" s="460"/>
      <c r="CK143" s="460"/>
      <c r="CL143" s="460"/>
      <c r="CM143" s="460"/>
      <c r="CN143" s="460"/>
      <c r="CO143" s="460"/>
      <c r="CP143" s="460"/>
      <c r="CQ143" s="460"/>
    </row>
    <row r="144" spans="2:95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X144" s="460"/>
      <c r="AY144" s="460"/>
      <c r="AZ144" s="460"/>
      <c r="BA144" s="460"/>
      <c r="BB144" s="460"/>
      <c r="BC144" s="460"/>
      <c r="BD144" s="460"/>
      <c r="BE144" s="460"/>
      <c r="BF144" s="460"/>
      <c r="BH144" s="1287"/>
      <c r="BI144" s="1286" t="s">
        <v>1103</v>
      </c>
      <c r="BJ144" s="1117" t="s">
        <v>1101</v>
      </c>
      <c r="BK144" s="1118">
        <v>49</v>
      </c>
      <c r="BL144" s="1118">
        <v>22</v>
      </c>
      <c r="BM144" s="1118">
        <v>6</v>
      </c>
      <c r="BN144" s="1118">
        <v>8</v>
      </c>
      <c r="BO144" s="1118">
        <v>14</v>
      </c>
      <c r="BP144" s="1118">
        <v>36</v>
      </c>
      <c r="BQ144" s="1118">
        <v>24</v>
      </c>
      <c r="BR144" s="1118">
        <v>39</v>
      </c>
      <c r="BS144" s="1118">
        <v>99</v>
      </c>
      <c r="BT144" s="1118">
        <v>197</v>
      </c>
      <c r="BU144" s="1118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</row>
    <row r="145" spans="2:95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X145" s="460"/>
      <c r="AY145" s="460"/>
      <c r="AZ145" s="460"/>
      <c r="BA145" s="460"/>
      <c r="BB145" s="460"/>
      <c r="BC145" s="460"/>
      <c r="BD145" s="460"/>
      <c r="BE145" s="460"/>
      <c r="BF145" s="460"/>
      <c r="BH145" s="1287"/>
      <c r="BI145" s="1287"/>
      <c r="BJ145" s="1117" t="s">
        <v>1102</v>
      </c>
      <c r="BK145" s="460"/>
      <c r="BL145" s="460"/>
      <c r="BM145" s="460"/>
      <c r="BN145" s="460"/>
      <c r="BO145" s="460"/>
      <c r="BP145" s="460"/>
      <c r="BV145" s="1118">
        <v>110</v>
      </c>
      <c r="BW145" s="1118">
        <v>123</v>
      </c>
      <c r="BX145" s="1118">
        <v>123</v>
      </c>
      <c r="BY145" s="1118">
        <v>123</v>
      </c>
      <c r="BZ145" s="1118">
        <v>123</v>
      </c>
      <c r="CA145" s="1118">
        <v>123</v>
      </c>
      <c r="CB145" s="1118">
        <v>123</v>
      </c>
      <c r="CC145" s="1118">
        <v>123</v>
      </c>
      <c r="CD145" s="1118">
        <v>123</v>
      </c>
      <c r="CI145" s="460"/>
      <c r="CJ145" s="460"/>
      <c r="CK145" s="460"/>
      <c r="CL145" s="460"/>
      <c r="CM145" s="460"/>
      <c r="CN145" s="460"/>
      <c r="CO145" s="460"/>
      <c r="CP145" s="460"/>
      <c r="CQ145" s="460"/>
    </row>
    <row r="146" spans="2:95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X146" s="460"/>
      <c r="AY146" s="460"/>
      <c r="AZ146" s="460"/>
      <c r="BA146" s="460"/>
      <c r="BB146" s="460"/>
      <c r="BC146" s="460"/>
      <c r="BD146" s="460"/>
      <c r="BE146" s="460"/>
      <c r="BF146" s="460"/>
      <c r="BH146" s="1287"/>
      <c r="BI146" s="1286" t="s">
        <v>1104</v>
      </c>
      <c r="BJ146" s="1117" t="s">
        <v>1101</v>
      </c>
      <c r="BK146" s="1118">
        <v>168</v>
      </c>
      <c r="BL146" s="1118">
        <v>87</v>
      </c>
      <c r="BM146" s="1118">
        <v>94</v>
      </c>
      <c r="BN146" s="1118">
        <v>94</v>
      </c>
      <c r="BO146" s="1118">
        <v>94</v>
      </c>
      <c r="BP146" s="1118">
        <v>116</v>
      </c>
      <c r="BQ146" s="1118">
        <v>158</v>
      </c>
      <c r="BR146" s="1118">
        <v>151</v>
      </c>
      <c r="BS146" s="1118">
        <v>153</v>
      </c>
      <c r="BT146" s="1118">
        <v>145</v>
      </c>
      <c r="BU146" s="1118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</row>
    <row r="147" spans="2:95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X147" s="460"/>
      <c r="AY147" s="460"/>
      <c r="AZ147" s="460"/>
      <c r="BA147" s="460"/>
      <c r="BB147" s="460"/>
      <c r="BC147" s="460"/>
      <c r="BD147" s="460"/>
      <c r="BE147" s="460"/>
      <c r="BF147" s="460"/>
      <c r="BH147" s="1287"/>
      <c r="BI147" s="1287"/>
      <c r="BJ147" s="1117" t="s">
        <v>1102</v>
      </c>
      <c r="BK147" s="460"/>
      <c r="BL147" s="460"/>
      <c r="BM147" s="460"/>
      <c r="BN147" s="460"/>
      <c r="BO147" s="460"/>
      <c r="BP147" s="460"/>
      <c r="BV147" s="1118">
        <v>157</v>
      </c>
      <c r="BW147" s="1118">
        <v>158</v>
      </c>
      <c r="BX147" s="1118">
        <v>158</v>
      </c>
      <c r="BY147" s="1118">
        <v>158</v>
      </c>
      <c r="BZ147" s="1118">
        <v>158</v>
      </c>
      <c r="CA147" s="1118">
        <v>158</v>
      </c>
      <c r="CB147" s="1118">
        <v>158</v>
      </c>
      <c r="CC147" s="1118">
        <v>158</v>
      </c>
      <c r="CD147" s="1118">
        <v>158</v>
      </c>
      <c r="CI147" s="460"/>
      <c r="CJ147" s="460"/>
      <c r="CK147" s="460"/>
      <c r="CL147" s="460"/>
      <c r="CM147" s="460"/>
      <c r="CN147" s="460"/>
      <c r="CO147" s="460"/>
      <c r="CP147" s="460"/>
      <c r="CQ147" s="460"/>
    </row>
    <row r="148" spans="2:95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X148" s="460"/>
      <c r="AY148" s="460"/>
      <c r="AZ148" s="460"/>
      <c r="BA148" s="460"/>
      <c r="BB148" s="460"/>
      <c r="BC148" s="460"/>
      <c r="BD148" s="460"/>
      <c r="BE148" s="460"/>
      <c r="BF148" s="460"/>
      <c r="BH148" s="1286" t="s">
        <v>919</v>
      </c>
      <c r="BI148" s="1286" t="s">
        <v>42</v>
      </c>
      <c r="BJ148" s="1117" t="s">
        <v>1101</v>
      </c>
      <c r="BK148" s="1118">
        <v>5</v>
      </c>
      <c r="BL148" s="1118">
        <v>2</v>
      </c>
      <c r="BM148" s="1118">
        <v>2</v>
      </c>
      <c r="BN148" s="1118">
        <v>12</v>
      </c>
      <c r="BO148" s="1118">
        <v>7</v>
      </c>
      <c r="BP148" s="1118">
        <v>3</v>
      </c>
      <c r="BQ148" s="1118">
        <v>2</v>
      </c>
      <c r="BR148" s="1118">
        <v>12</v>
      </c>
      <c r="BS148" s="1118">
        <v>2</v>
      </c>
      <c r="BT148" s="1118">
        <v>26</v>
      </c>
      <c r="BU148" s="1118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</row>
    <row r="149" spans="2:95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X149" s="460"/>
      <c r="AY149" s="460"/>
      <c r="AZ149" s="460"/>
      <c r="BA149" s="460"/>
      <c r="BB149" s="460"/>
      <c r="BC149" s="460"/>
      <c r="BD149" s="460"/>
      <c r="BE149" s="460"/>
      <c r="BF149" s="460"/>
      <c r="BH149" s="1287"/>
      <c r="BI149" s="1287"/>
      <c r="BJ149" s="1117" t="s">
        <v>1102</v>
      </c>
      <c r="BK149" s="460"/>
      <c r="BL149" s="460"/>
      <c r="BM149" s="460"/>
      <c r="BN149" s="460"/>
      <c r="BO149" s="460"/>
      <c r="BP149" s="460"/>
      <c r="BV149" s="1118">
        <v>9</v>
      </c>
      <c r="BW149" s="1118">
        <v>12</v>
      </c>
      <c r="BX149" s="1118">
        <v>12</v>
      </c>
      <c r="BY149" s="1118">
        <v>12</v>
      </c>
      <c r="BZ149" s="1118">
        <v>12</v>
      </c>
      <c r="CA149" s="1118">
        <v>12</v>
      </c>
      <c r="CB149" s="1118">
        <v>12</v>
      </c>
      <c r="CC149" s="1118">
        <v>12</v>
      </c>
      <c r="CD149" s="1118">
        <v>12</v>
      </c>
      <c r="CI149" s="460"/>
      <c r="CJ149" s="460"/>
      <c r="CK149" s="460"/>
      <c r="CL149" s="460"/>
      <c r="CM149" s="460"/>
      <c r="CN149" s="460"/>
      <c r="CO149" s="460"/>
      <c r="CP149" s="460"/>
      <c r="CQ149" s="460"/>
    </row>
    <row r="150" spans="2:95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X150" s="460"/>
      <c r="AY150" s="460"/>
      <c r="AZ150" s="460"/>
      <c r="BA150" s="460"/>
      <c r="BB150" s="460"/>
      <c r="BC150" s="460"/>
      <c r="BD150" s="460"/>
      <c r="BE150" s="460"/>
      <c r="BF150" s="460"/>
      <c r="BH150" s="1287"/>
      <c r="BI150" s="1286" t="s">
        <v>1103</v>
      </c>
      <c r="BJ150" s="1117" t="s">
        <v>1101</v>
      </c>
      <c r="BK150" s="1118">
        <v>31</v>
      </c>
      <c r="BL150" s="1118">
        <v>32</v>
      </c>
      <c r="BM150" s="1118">
        <v>20</v>
      </c>
      <c r="BN150" s="1118">
        <v>11</v>
      </c>
      <c r="BO150" s="1118">
        <v>21</v>
      </c>
      <c r="BP150" s="1118">
        <v>33</v>
      </c>
      <c r="BQ150" s="1118">
        <v>18</v>
      </c>
      <c r="BR150" s="1118">
        <v>105</v>
      </c>
      <c r="BS150" s="1118">
        <v>97</v>
      </c>
      <c r="BT150" s="1118">
        <v>189</v>
      </c>
      <c r="BU150" s="1118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</row>
    <row r="151" spans="2:95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X151" s="460"/>
      <c r="AY151" s="460"/>
      <c r="AZ151" s="460"/>
      <c r="BA151" s="460"/>
      <c r="BB151" s="460"/>
      <c r="BC151" s="460"/>
      <c r="BD151" s="460"/>
      <c r="BE151" s="460"/>
      <c r="BF151" s="460"/>
      <c r="BH151" s="1287"/>
      <c r="BI151" s="1287"/>
      <c r="BJ151" s="1117" t="s">
        <v>1102</v>
      </c>
      <c r="BK151" s="460"/>
      <c r="BL151" s="460"/>
      <c r="BM151" s="460"/>
      <c r="BN151" s="460"/>
      <c r="BO151" s="460"/>
      <c r="BP151" s="460"/>
      <c r="BV151" s="1118">
        <v>182</v>
      </c>
      <c r="BW151" s="1118">
        <v>189</v>
      </c>
      <c r="BX151" s="1118">
        <v>189</v>
      </c>
      <c r="BY151" s="1118">
        <v>189</v>
      </c>
      <c r="BZ151" s="1118">
        <v>189</v>
      </c>
      <c r="CA151" s="1118">
        <v>189</v>
      </c>
      <c r="CB151" s="1118">
        <v>189</v>
      </c>
      <c r="CC151" s="1118">
        <v>189</v>
      </c>
      <c r="CD151" s="1118">
        <v>189</v>
      </c>
      <c r="CI151" s="460"/>
      <c r="CJ151" s="460"/>
      <c r="CK151" s="460"/>
      <c r="CL151" s="460"/>
      <c r="CM151" s="460"/>
      <c r="CN151" s="460"/>
      <c r="CO151" s="460"/>
      <c r="CP151" s="460"/>
      <c r="CQ151" s="460"/>
    </row>
    <row r="152" spans="2:95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X152" s="460"/>
      <c r="AY152" s="460"/>
      <c r="AZ152" s="460"/>
      <c r="BA152" s="460"/>
      <c r="BB152" s="460"/>
      <c r="BC152" s="460"/>
      <c r="BD152" s="460"/>
      <c r="BE152" s="460"/>
      <c r="BF152" s="460"/>
      <c r="BH152" s="1287"/>
      <c r="BI152" s="1286" t="s">
        <v>1104</v>
      </c>
      <c r="BJ152" s="1117" t="s">
        <v>1101</v>
      </c>
      <c r="BK152" s="1118">
        <v>89</v>
      </c>
      <c r="BL152" s="1118">
        <v>90</v>
      </c>
      <c r="BM152" s="1118">
        <v>63</v>
      </c>
      <c r="BN152" s="1118">
        <v>56</v>
      </c>
      <c r="BO152" s="1118">
        <v>56</v>
      </c>
      <c r="BP152" s="1118">
        <v>66</v>
      </c>
      <c r="BQ152" s="1118">
        <v>98</v>
      </c>
      <c r="BR152" s="1118">
        <v>118</v>
      </c>
      <c r="BS152" s="1118">
        <v>139</v>
      </c>
      <c r="BT152" s="1118">
        <v>119</v>
      </c>
      <c r="BU152" s="1118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</row>
    <row r="153" spans="2:95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X153" s="460"/>
      <c r="AY153" s="460"/>
      <c r="AZ153" s="460"/>
      <c r="BA153" s="460"/>
      <c r="BB153" s="460"/>
      <c r="BC153" s="460"/>
      <c r="BD153" s="460"/>
      <c r="BE153" s="460"/>
      <c r="BF153" s="460"/>
      <c r="BH153" s="1287"/>
      <c r="BI153" s="1287"/>
      <c r="BJ153" s="1117" t="s">
        <v>1102</v>
      </c>
      <c r="BK153" s="460"/>
      <c r="BL153" s="460"/>
      <c r="BM153" s="460"/>
      <c r="BN153" s="460"/>
      <c r="BO153" s="460"/>
      <c r="BP153" s="460"/>
      <c r="BV153" s="1118">
        <v>132</v>
      </c>
      <c r="BW153" s="1118">
        <v>128</v>
      </c>
      <c r="BX153" s="1118">
        <v>128</v>
      </c>
      <c r="BY153" s="1118">
        <v>128</v>
      </c>
      <c r="BZ153" s="1118">
        <v>128</v>
      </c>
      <c r="CA153" s="1118">
        <v>128</v>
      </c>
      <c r="CB153" s="1118">
        <v>128</v>
      </c>
      <c r="CC153" s="1118">
        <v>128</v>
      </c>
      <c r="CD153" s="1118">
        <v>128</v>
      </c>
      <c r="CI153" s="460"/>
      <c r="CJ153" s="460"/>
      <c r="CK153" s="460"/>
      <c r="CL153" s="460"/>
      <c r="CM153" s="460"/>
      <c r="CN153" s="460"/>
      <c r="CO153" s="460"/>
      <c r="CP153" s="460"/>
      <c r="CQ153" s="460"/>
    </row>
    <row r="154" spans="2:95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X154" s="460"/>
      <c r="AY154" s="460"/>
      <c r="AZ154" s="460"/>
      <c r="BA154" s="460"/>
      <c r="BB154" s="460"/>
      <c r="BC154" s="460"/>
      <c r="BD154" s="460"/>
      <c r="BE154" s="460"/>
      <c r="BF154" s="460"/>
      <c r="BH154" s="1286" t="s">
        <v>918</v>
      </c>
      <c r="BI154" s="1286" t="s">
        <v>42</v>
      </c>
      <c r="BJ154" s="1117" t="s">
        <v>1101</v>
      </c>
      <c r="BK154" s="1118">
        <v>22</v>
      </c>
      <c r="BL154" s="1118">
        <v>1</v>
      </c>
      <c r="BM154" s="1118">
        <v>4</v>
      </c>
      <c r="BN154" s="1118">
        <v>0</v>
      </c>
      <c r="BO154" s="1118">
        <v>0</v>
      </c>
      <c r="BP154" s="1118">
        <v>9</v>
      </c>
      <c r="BQ154" s="1118">
        <v>9</v>
      </c>
      <c r="BR154" s="1118">
        <v>2</v>
      </c>
      <c r="BS154" s="1118">
        <v>8</v>
      </c>
      <c r="BT154" s="1118">
        <v>0</v>
      </c>
      <c r="BU154" s="1118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</row>
    <row r="155" spans="2:95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X155" s="460"/>
      <c r="AY155" s="460"/>
      <c r="AZ155" s="460"/>
      <c r="BA155" s="460"/>
      <c r="BB155" s="460"/>
      <c r="BC155" s="460"/>
      <c r="BD155" s="460"/>
      <c r="BE155" s="460"/>
      <c r="BF155" s="460"/>
      <c r="BH155" s="1287"/>
      <c r="BI155" s="1287"/>
      <c r="BJ155" s="1117" t="s">
        <v>1102</v>
      </c>
      <c r="BK155" s="460"/>
      <c r="BL155" s="460"/>
      <c r="BM155" s="460"/>
      <c r="BN155" s="460"/>
      <c r="BO155" s="460"/>
      <c r="BP155" s="460"/>
      <c r="BV155" s="1118">
        <v>2</v>
      </c>
      <c r="BW155" s="1118">
        <v>3</v>
      </c>
      <c r="BX155" s="1118">
        <v>3</v>
      </c>
      <c r="BY155" s="1118">
        <v>3</v>
      </c>
      <c r="BZ155" s="1118">
        <v>3</v>
      </c>
      <c r="CA155" s="1118">
        <v>3</v>
      </c>
      <c r="CB155" s="1118">
        <v>3</v>
      </c>
      <c r="CC155" s="1118">
        <v>3</v>
      </c>
      <c r="CD155" s="1118">
        <v>3</v>
      </c>
      <c r="CI155" s="460"/>
      <c r="CJ155" s="460"/>
      <c r="CK155" s="460"/>
      <c r="CL155" s="460"/>
      <c r="CM155" s="460"/>
      <c r="CN155" s="460"/>
      <c r="CO155" s="460"/>
      <c r="CP155" s="460"/>
      <c r="CQ155" s="460"/>
    </row>
    <row r="156" spans="2:95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X156" s="460"/>
      <c r="AY156" s="460"/>
      <c r="AZ156" s="460"/>
      <c r="BA156" s="460"/>
      <c r="BB156" s="460"/>
      <c r="BC156" s="460"/>
      <c r="BD156" s="460"/>
      <c r="BE156" s="460"/>
      <c r="BF156" s="460"/>
      <c r="BH156" s="1287"/>
      <c r="BI156" s="1286" t="s">
        <v>1103</v>
      </c>
      <c r="BJ156" s="1117" t="s">
        <v>1101</v>
      </c>
      <c r="BK156" s="1118">
        <v>1</v>
      </c>
      <c r="BL156" s="1118">
        <v>3</v>
      </c>
      <c r="BM156" s="1118">
        <v>0</v>
      </c>
      <c r="BN156" s="1118">
        <v>1</v>
      </c>
      <c r="BO156" s="1118">
        <v>8</v>
      </c>
      <c r="BP156" s="1118">
        <v>8</v>
      </c>
      <c r="BQ156" s="1118">
        <v>26</v>
      </c>
      <c r="BR156" s="1118">
        <v>22</v>
      </c>
      <c r="BS156" s="1118">
        <v>1</v>
      </c>
      <c r="BT156" s="1118">
        <v>1</v>
      </c>
      <c r="BU156" s="1118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</row>
    <row r="157" spans="2:95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X157" s="460"/>
      <c r="AY157" s="460"/>
      <c r="AZ157" s="460"/>
      <c r="BA157" s="460"/>
      <c r="BB157" s="460"/>
      <c r="BC157" s="460"/>
      <c r="BD157" s="460"/>
      <c r="BE157" s="460"/>
      <c r="BF157" s="460"/>
      <c r="BH157" s="1287"/>
      <c r="BI157" s="1287"/>
      <c r="BJ157" s="1117" t="s">
        <v>1102</v>
      </c>
      <c r="BK157" s="460"/>
      <c r="BL157" s="460"/>
      <c r="BM157" s="460"/>
      <c r="BN157" s="460"/>
      <c r="BO157" s="460"/>
      <c r="BP157" s="460"/>
      <c r="BV157" s="1118">
        <v>22</v>
      </c>
      <c r="BW157" s="1118">
        <v>27</v>
      </c>
      <c r="BX157" s="1118">
        <v>27</v>
      </c>
      <c r="BY157" s="1118">
        <v>27</v>
      </c>
      <c r="BZ157" s="1118">
        <v>27</v>
      </c>
      <c r="CA157" s="1118">
        <v>27</v>
      </c>
      <c r="CB157" s="1118">
        <v>27</v>
      </c>
      <c r="CC157" s="1118">
        <v>27</v>
      </c>
      <c r="CD157" s="1118">
        <v>27</v>
      </c>
      <c r="CI157" s="460"/>
      <c r="CJ157" s="460"/>
      <c r="CK157" s="460"/>
      <c r="CL157" s="460"/>
      <c r="CM157" s="460"/>
      <c r="CN157" s="460"/>
      <c r="CO157" s="460"/>
      <c r="CP157" s="460"/>
      <c r="CQ157" s="460"/>
    </row>
    <row r="158" spans="2:95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X158" s="460"/>
      <c r="AY158" s="460"/>
      <c r="AZ158" s="460"/>
      <c r="BA158" s="460"/>
      <c r="BB158" s="460"/>
      <c r="BC158" s="460"/>
      <c r="BD158" s="460"/>
      <c r="BE158" s="460"/>
      <c r="BF158" s="460"/>
      <c r="BH158" s="1287"/>
      <c r="BI158" s="1286" t="s">
        <v>1104</v>
      </c>
      <c r="BJ158" s="1117" t="s">
        <v>1101</v>
      </c>
      <c r="BK158" s="1118">
        <v>62</v>
      </c>
      <c r="BL158" s="1118">
        <v>40</v>
      </c>
      <c r="BM158" s="1118">
        <v>37</v>
      </c>
      <c r="BN158" s="1118">
        <v>35</v>
      </c>
      <c r="BO158" s="1118">
        <v>47</v>
      </c>
      <c r="BP158" s="1118">
        <v>42</v>
      </c>
      <c r="BQ158" s="1118">
        <v>43</v>
      </c>
      <c r="BR158" s="1118">
        <v>38</v>
      </c>
      <c r="BS158" s="1118">
        <v>31</v>
      </c>
      <c r="BT158" s="1118">
        <v>36</v>
      </c>
      <c r="BU158" s="1118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</row>
    <row r="159" spans="2:95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X159" s="460"/>
      <c r="AY159" s="460"/>
      <c r="AZ159" s="460"/>
      <c r="BA159" s="460"/>
      <c r="BB159" s="460"/>
      <c r="BC159" s="460"/>
      <c r="BD159" s="460"/>
      <c r="BE159" s="460"/>
      <c r="BF159" s="460"/>
      <c r="BH159" s="1287"/>
      <c r="BI159" s="1287"/>
      <c r="BJ159" s="1117" t="s">
        <v>1102</v>
      </c>
      <c r="BK159" s="460"/>
      <c r="BL159" s="460"/>
      <c r="BM159" s="460"/>
      <c r="BN159" s="460"/>
      <c r="BO159" s="460"/>
      <c r="BP159" s="460"/>
      <c r="BV159" s="1118">
        <v>38</v>
      </c>
      <c r="BW159" s="1118">
        <v>39</v>
      </c>
      <c r="BX159" s="1118">
        <v>39</v>
      </c>
      <c r="BY159" s="1118">
        <v>39</v>
      </c>
      <c r="BZ159" s="1118">
        <v>39</v>
      </c>
      <c r="CA159" s="1118">
        <v>39</v>
      </c>
      <c r="CB159" s="1118">
        <v>39</v>
      </c>
      <c r="CC159" s="1118">
        <v>39</v>
      </c>
      <c r="CD159" s="1118">
        <v>39</v>
      </c>
      <c r="CI159" s="460"/>
      <c r="CJ159" s="460"/>
      <c r="CK159" s="460"/>
      <c r="CL159" s="460"/>
      <c r="CM159" s="460"/>
      <c r="CN159" s="460"/>
      <c r="CO159" s="460"/>
      <c r="CP159" s="460"/>
      <c r="CQ159" s="460"/>
    </row>
    <row r="160" spans="2:95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X160" s="460"/>
      <c r="AY160" s="460"/>
      <c r="AZ160" s="460"/>
      <c r="BA160" s="460"/>
      <c r="BB160" s="460"/>
      <c r="BC160" s="460"/>
      <c r="BD160" s="460"/>
      <c r="BE160" s="460"/>
      <c r="BF160" s="460"/>
      <c r="BH160" s="1286" t="s">
        <v>917</v>
      </c>
      <c r="BI160" s="1286" t="s">
        <v>42</v>
      </c>
      <c r="BJ160" s="1117" t="s">
        <v>1101</v>
      </c>
      <c r="BK160" s="1118">
        <v>12</v>
      </c>
      <c r="BL160" s="1118">
        <v>56</v>
      </c>
      <c r="BM160" s="1118">
        <v>76</v>
      </c>
      <c r="BN160" s="1118">
        <v>7</v>
      </c>
      <c r="BO160" s="1118">
        <v>37</v>
      </c>
      <c r="BP160" s="1118">
        <v>12</v>
      </c>
      <c r="BQ160" s="1118">
        <v>15</v>
      </c>
      <c r="BR160" s="1118">
        <v>29</v>
      </c>
      <c r="BS160" s="1118">
        <v>13</v>
      </c>
      <c r="BT160" s="1118">
        <v>30</v>
      </c>
      <c r="BU160" s="1118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</row>
    <row r="161" spans="2:95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X161" s="460"/>
      <c r="AY161" s="460"/>
      <c r="AZ161" s="460"/>
      <c r="BA161" s="460"/>
      <c r="BB161" s="460"/>
      <c r="BC161" s="460"/>
      <c r="BD161" s="460"/>
      <c r="BE161" s="460"/>
      <c r="BF161" s="460"/>
      <c r="BH161" s="1287"/>
      <c r="BI161" s="1287"/>
      <c r="BJ161" s="1117" t="s">
        <v>1102</v>
      </c>
      <c r="BK161" s="460"/>
      <c r="BL161" s="460"/>
      <c r="BM161" s="460"/>
      <c r="BN161" s="460"/>
      <c r="BO161" s="460"/>
      <c r="BP161" s="460"/>
      <c r="BV161" s="1118">
        <v>52</v>
      </c>
      <c r="BW161" s="1118">
        <v>40</v>
      </c>
      <c r="BX161" s="1118">
        <v>40</v>
      </c>
      <c r="BY161" s="1118">
        <v>40</v>
      </c>
      <c r="BZ161" s="1118">
        <v>40</v>
      </c>
      <c r="CA161" s="1118">
        <v>40</v>
      </c>
      <c r="CB161" s="1118">
        <v>40</v>
      </c>
      <c r="CC161" s="1118">
        <v>40</v>
      </c>
      <c r="CD161" s="1118">
        <v>40</v>
      </c>
      <c r="CI161" s="460"/>
      <c r="CJ161" s="460"/>
      <c r="CK161" s="460"/>
      <c r="CL161" s="460"/>
      <c r="CM161" s="460"/>
      <c r="CN161" s="460"/>
      <c r="CO161" s="460"/>
      <c r="CP161" s="460"/>
      <c r="CQ161" s="460"/>
    </row>
    <row r="162" spans="2:95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X162" s="460"/>
      <c r="AY162" s="460"/>
      <c r="AZ162" s="460"/>
      <c r="BA162" s="460"/>
      <c r="BB162" s="460"/>
      <c r="BC162" s="460"/>
      <c r="BD162" s="460"/>
      <c r="BE162" s="460"/>
      <c r="BF162" s="460"/>
      <c r="BH162" s="1287"/>
      <c r="BI162" s="1286" t="s">
        <v>1103</v>
      </c>
      <c r="BJ162" s="1117" t="s">
        <v>1101</v>
      </c>
      <c r="BK162" s="1118">
        <v>31</v>
      </c>
      <c r="BL162" s="1118">
        <v>49</v>
      </c>
      <c r="BM162" s="1118">
        <v>18</v>
      </c>
      <c r="BN162" s="1118">
        <v>22</v>
      </c>
      <c r="BO162" s="1118">
        <v>54</v>
      </c>
      <c r="BP162" s="1118">
        <v>140</v>
      </c>
      <c r="BQ162" s="1118">
        <v>294</v>
      </c>
      <c r="BR162" s="1118">
        <v>307</v>
      </c>
      <c r="BS162" s="1118">
        <v>375</v>
      </c>
      <c r="BT162" s="1118">
        <v>278</v>
      </c>
      <c r="BU162" s="1118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</row>
    <row r="163" spans="2:95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X163" s="460"/>
      <c r="AY163" s="460"/>
      <c r="AZ163" s="460"/>
      <c r="BA163" s="460"/>
      <c r="BB163" s="460"/>
      <c r="BC163" s="460"/>
      <c r="BD163" s="460"/>
      <c r="BE163" s="460"/>
      <c r="BF163" s="460"/>
      <c r="BH163" s="1287"/>
      <c r="BI163" s="1287"/>
      <c r="BJ163" s="1117" t="s">
        <v>1102</v>
      </c>
      <c r="BK163" s="460"/>
      <c r="BL163" s="460"/>
      <c r="BM163" s="460"/>
      <c r="BN163" s="460"/>
      <c r="BO163" s="460"/>
      <c r="BP163" s="460"/>
      <c r="BV163" s="1118">
        <v>384</v>
      </c>
      <c r="BW163" s="1118">
        <v>385</v>
      </c>
      <c r="BX163" s="1118">
        <v>385</v>
      </c>
      <c r="BY163" s="1118">
        <v>385</v>
      </c>
      <c r="BZ163" s="1118">
        <v>385</v>
      </c>
      <c r="CA163" s="1118">
        <v>385</v>
      </c>
      <c r="CB163" s="1118">
        <v>385</v>
      </c>
      <c r="CC163" s="1118">
        <v>385</v>
      </c>
      <c r="CD163" s="1118">
        <v>385</v>
      </c>
      <c r="CI163" s="460"/>
      <c r="CJ163" s="460"/>
      <c r="CK163" s="460"/>
      <c r="CL163" s="460"/>
      <c r="CM163" s="460"/>
      <c r="CN163" s="460"/>
      <c r="CO163" s="460"/>
      <c r="CP163" s="460"/>
      <c r="CQ163" s="460"/>
    </row>
    <row r="164" spans="2:95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X164" s="460"/>
      <c r="AY164" s="460"/>
      <c r="AZ164" s="460"/>
      <c r="BA164" s="460"/>
      <c r="BB164" s="460"/>
      <c r="BC164" s="460"/>
      <c r="BD164" s="460"/>
      <c r="BE164" s="460"/>
      <c r="BF164" s="460"/>
      <c r="BH164" s="1287"/>
      <c r="BI164" s="1286" t="s">
        <v>1104</v>
      </c>
      <c r="BJ164" s="1117" t="s">
        <v>1101</v>
      </c>
      <c r="BK164" s="1118">
        <v>210</v>
      </c>
      <c r="BL164" s="1118">
        <v>132</v>
      </c>
      <c r="BM164" s="1118">
        <v>120</v>
      </c>
      <c r="BN164" s="1118">
        <v>103</v>
      </c>
      <c r="BO164" s="1118">
        <v>121</v>
      </c>
      <c r="BP164" s="1118">
        <v>126</v>
      </c>
      <c r="BQ164" s="1118">
        <v>166</v>
      </c>
      <c r="BR164" s="1118">
        <v>175</v>
      </c>
      <c r="BS164" s="1118">
        <v>164</v>
      </c>
      <c r="BT164" s="1118">
        <v>201</v>
      </c>
      <c r="BU164" s="1118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</row>
    <row r="165" spans="2:95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X165" s="460"/>
      <c r="AY165" s="460"/>
      <c r="AZ165" s="460"/>
      <c r="BA165" s="460"/>
      <c r="BB165" s="460"/>
      <c r="BC165" s="460"/>
      <c r="BD165" s="460"/>
      <c r="BE165" s="460"/>
      <c r="BF165" s="460"/>
      <c r="BH165" s="1287"/>
      <c r="BI165" s="1287"/>
      <c r="BJ165" s="1117" t="s">
        <v>1102</v>
      </c>
      <c r="BK165" s="460"/>
      <c r="BL165" s="460"/>
      <c r="BM165" s="460"/>
      <c r="BN165" s="460"/>
      <c r="BO165" s="460"/>
      <c r="BP165" s="460"/>
      <c r="BV165" s="1118">
        <v>189</v>
      </c>
      <c r="BW165" s="1118">
        <v>186</v>
      </c>
      <c r="BX165" s="1118">
        <v>186</v>
      </c>
      <c r="BY165" s="1118">
        <v>186</v>
      </c>
      <c r="BZ165" s="1118">
        <v>186</v>
      </c>
      <c r="CA165" s="1118">
        <v>186</v>
      </c>
      <c r="CB165" s="1118">
        <v>186</v>
      </c>
      <c r="CC165" s="1118">
        <v>186</v>
      </c>
      <c r="CD165" s="1118">
        <v>186</v>
      </c>
      <c r="CI165" s="460"/>
      <c r="CJ165" s="460"/>
      <c r="CK165" s="460"/>
      <c r="CL165" s="460"/>
      <c r="CM165" s="460"/>
      <c r="CN165" s="460"/>
      <c r="CO165" s="460"/>
      <c r="CP165" s="460"/>
      <c r="CQ165" s="460"/>
    </row>
    <row r="166" spans="2:95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X166" s="460"/>
      <c r="AY166" s="460"/>
      <c r="AZ166" s="460"/>
      <c r="BA166" s="460"/>
      <c r="BB166" s="460"/>
      <c r="BC166" s="460"/>
      <c r="BD166" s="460"/>
      <c r="BE166" s="460"/>
      <c r="BF166" s="460"/>
      <c r="BH166" s="1286" t="s">
        <v>915</v>
      </c>
      <c r="BI166" s="1286" t="s">
        <v>42</v>
      </c>
      <c r="BJ166" s="1117" t="s">
        <v>1101</v>
      </c>
      <c r="BK166" s="1118">
        <v>2</v>
      </c>
      <c r="BL166" s="1118">
        <v>0</v>
      </c>
      <c r="BM166" s="1118">
        <v>0</v>
      </c>
      <c r="BN166" s="1118">
        <v>2</v>
      </c>
      <c r="BO166" s="1118">
        <v>7</v>
      </c>
      <c r="BP166" s="1118">
        <v>10</v>
      </c>
      <c r="BQ166" s="1118">
        <v>11</v>
      </c>
      <c r="BR166" s="1118">
        <v>1</v>
      </c>
      <c r="BS166" s="1118">
        <v>3</v>
      </c>
      <c r="BT166" s="1118">
        <v>9</v>
      </c>
      <c r="BU166" s="1118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</row>
    <row r="167" spans="2:95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X167" s="460"/>
      <c r="AY167" s="460"/>
      <c r="AZ167" s="460"/>
      <c r="BA167" s="460"/>
      <c r="BB167" s="460"/>
      <c r="BC167" s="460"/>
      <c r="BD167" s="460"/>
      <c r="BE167" s="460"/>
      <c r="BF167" s="460"/>
      <c r="BH167" s="1287"/>
      <c r="BI167" s="1287"/>
      <c r="BJ167" s="1117" t="s">
        <v>1102</v>
      </c>
      <c r="BK167" s="460"/>
      <c r="BL167" s="460"/>
      <c r="BM167" s="460"/>
      <c r="BN167" s="460"/>
      <c r="BO167" s="460"/>
      <c r="BP167" s="460"/>
      <c r="BV167" s="1118">
        <v>5</v>
      </c>
      <c r="BW167" s="1118">
        <v>5</v>
      </c>
      <c r="BX167" s="1118">
        <v>5</v>
      </c>
      <c r="BY167" s="1118">
        <v>5</v>
      </c>
      <c r="BZ167" s="1118">
        <v>5</v>
      </c>
      <c r="CA167" s="1118">
        <v>5</v>
      </c>
      <c r="CB167" s="1118">
        <v>5</v>
      </c>
      <c r="CC167" s="1118">
        <v>5</v>
      </c>
      <c r="CD167" s="1118">
        <v>5</v>
      </c>
      <c r="CI167" s="460"/>
      <c r="CJ167" s="460"/>
      <c r="CK167" s="460"/>
      <c r="CL167" s="460"/>
      <c r="CM167" s="460"/>
      <c r="CN167" s="460"/>
      <c r="CO167" s="460"/>
      <c r="CP167" s="460"/>
      <c r="CQ167" s="460"/>
    </row>
    <row r="168" spans="2:95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X168" s="460"/>
      <c r="AY168" s="460"/>
      <c r="AZ168" s="460"/>
      <c r="BA168" s="460"/>
      <c r="BB168" s="460"/>
      <c r="BC168" s="460"/>
      <c r="BD168" s="460"/>
      <c r="BE168" s="460"/>
      <c r="BF168" s="460"/>
      <c r="BH168" s="1287"/>
      <c r="BI168" s="1286" t="s">
        <v>1103</v>
      </c>
      <c r="BJ168" s="1117" t="s">
        <v>1101</v>
      </c>
      <c r="BK168" s="1118">
        <v>6</v>
      </c>
      <c r="BL168" s="1118">
        <v>36</v>
      </c>
      <c r="BM168" s="1118">
        <v>4</v>
      </c>
      <c r="BN168" s="1118">
        <v>16</v>
      </c>
      <c r="BO168" s="1118">
        <v>17</v>
      </c>
      <c r="BP168" s="1118">
        <v>8</v>
      </c>
      <c r="BQ168" s="1118">
        <v>21</v>
      </c>
      <c r="BR168" s="1118">
        <v>15</v>
      </c>
      <c r="BS168" s="1118">
        <v>82</v>
      </c>
      <c r="BT168" s="1118">
        <v>33</v>
      </c>
      <c r="BU168" s="1118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</row>
    <row r="169" spans="2:95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X169" s="460"/>
      <c r="AY169" s="460"/>
      <c r="AZ169" s="460"/>
      <c r="BA169" s="460"/>
      <c r="BB169" s="460"/>
      <c r="BC169" s="460"/>
      <c r="BD169" s="460"/>
      <c r="BE169" s="460"/>
      <c r="BF169" s="460"/>
      <c r="BH169" s="1287"/>
      <c r="BI169" s="1287"/>
      <c r="BJ169" s="1117" t="s">
        <v>1102</v>
      </c>
      <c r="BK169" s="460"/>
      <c r="BL169" s="460"/>
      <c r="BM169" s="460"/>
      <c r="BN169" s="460"/>
      <c r="BO169" s="460"/>
      <c r="BP169" s="460"/>
      <c r="BV169" s="1118">
        <v>40</v>
      </c>
      <c r="BW169" s="1118">
        <v>47</v>
      </c>
      <c r="BX169" s="1118">
        <v>47</v>
      </c>
      <c r="BY169" s="1118">
        <v>47</v>
      </c>
      <c r="BZ169" s="1118">
        <v>47</v>
      </c>
      <c r="CA169" s="1118">
        <v>47</v>
      </c>
      <c r="CB169" s="1118">
        <v>47</v>
      </c>
      <c r="CC169" s="1118">
        <v>47</v>
      </c>
      <c r="CD169" s="1118">
        <v>47</v>
      </c>
      <c r="CI169" s="460"/>
      <c r="CJ169" s="460"/>
      <c r="CK169" s="460"/>
      <c r="CL169" s="460"/>
      <c r="CM169" s="460"/>
      <c r="CN169" s="460"/>
      <c r="CO169" s="460"/>
      <c r="CP169" s="460"/>
      <c r="CQ169" s="460"/>
    </row>
    <row r="170" spans="2:95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X170" s="460"/>
      <c r="AY170" s="460"/>
      <c r="AZ170" s="460"/>
      <c r="BA170" s="460"/>
      <c r="BB170" s="460"/>
      <c r="BC170" s="460"/>
      <c r="BD170" s="460"/>
      <c r="BE170" s="460"/>
      <c r="BF170" s="460"/>
      <c r="BH170" s="1287"/>
      <c r="BI170" s="1286" t="s">
        <v>1104</v>
      </c>
      <c r="BJ170" s="1117" t="s">
        <v>1101</v>
      </c>
      <c r="BK170" s="1118">
        <v>42</v>
      </c>
      <c r="BL170" s="1118">
        <v>41</v>
      </c>
      <c r="BM170" s="1118">
        <v>31</v>
      </c>
      <c r="BN170" s="1118">
        <v>36</v>
      </c>
      <c r="BO170" s="1118">
        <v>26</v>
      </c>
      <c r="BP170" s="1118">
        <v>42</v>
      </c>
      <c r="BQ170" s="1118">
        <v>43</v>
      </c>
      <c r="BR170" s="1118">
        <v>50</v>
      </c>
      <c r="BS170" s="1118">
        <v>46</v>
      </c>
      <c r="BT170" s="1118">
        <v>59</v>
      </c>
      <c r="BU170" s="1118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</row>
    <row r="171" spans="2:95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X171" s="460"/>
      <c r="AY171" s="460"/>
      <c r="AZ171" s="460"/>
      <c r="BA171" s="460"/>
      <c r="BB171" s="460"/>
      <c r="BC171" s="460"/>
      <c r="BD171" s="460"/>
      <c r="BE171" s="460"/>
      <c r="BF171" s="460"/>
      <c r="BH171" s="1287"/>
      <c r="BI171" s="1287"/>
      <c r="BJ171" s="1117" t="s">
        <v>1102</v>
      </c>
      <c r="BK171" s="460"/>
      <c r="BL171" s="460"/>
      <c r="BM171" s="460"/>
      <c r="BN171" s="460"/>
      <c r="BO171" s="460"/>
      <c r="BP171" s="460"/>
      <c r="BV171" s="1118">
        <v>67</v>
      </c>
      <c r="BW171" s="1118">
        <v>63</v>
      </c>
      <c r="BX171" s="1118">
        <v>63</v>
      </c>
      <c r="BY171" s="1118">
        <v>63</v>
      </c>
      <c r="BZ171" s="1118">
        <v>63</v>
      </c>
      <c r="CA171" s="1118">
        <v>63</v>
      </c>
      <c r="CB171" s="1118">
        <v>63</v>
      </c>
      <c r="CC171" s="1118">
        <v>63</v>
      </c>
      <c r="CD171" s="1118">
        <v>63</v>
      </c>
      <c r="CI171" s="460"/>
      <c r="CJ171" s="460"/>
      <c r="CK171" s="460"/>
      <c r="CL171" s="460"/>
      <c r="CM171" s="460"/>
      <c r="CN171" s="460"/>
      <c r="CO171" s="460"/>
      <c r="CP171" s="460"/>
      <c r="CQ171" s="460"/>
    </row>
    <row r="172" spans="2:95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X172" s="460"/>
      <c r="AY172" s="460"/>
      <c r="AZ172" s="460"/>
      <c r="BA172" s="460"/>
      <c r="BB172" s="460"/>
      <c r="BC172" s="460"/>
      <c r="BD172" s="460"/>
      <c r="BE172" s="460"/>
      <c r="BF172" s="460"/>
      <c r="BH172" s="1286" t="s">
        <v>916</v>
      </c>
      <c r="BI172" s="1286" t="s">
        <v>42</v>
      </c>
      <c r="BJ172" s="1117" t="s">
        <v>1101</v>
      </c>
      <c r="BK172" s="1118">
        <v>9</v>
      </c>
      <c r="BL172" s="1118">
        <v>9</v>
      </c>
      <c r="BM172" s="1118">
        <v>2</v>
      </c>
      <c r="BN172" s="1118">
        <v>20</v>
      </c>
      <c r="BO172" s="1118">
        <v>5</v>
      </c>
      <c r="BP172" s="1118">
        <v>12</v>
      </c>
      <c r="BQ172" s="1118">
        <v>7</v>
      </c>
      <c r="BR172" s="1118">
        <v>36</v>
      </c>
      <c r="BS172" s="1118">
        <v>91</v>
      </c>
      <c r="BT172" s="1118">
        <v>26</v>
      </c>
      <c r="BU172" s="1118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</row>
    <row r="173" spans="2:95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X173" s="460"/>
      <c r="AY173" s="460"/>
      <c r="AZ173" s="460"/>
      <c r="BA173" s="460"/>
      <c r="BB173" s="460"/>
      <c r="BC173" s="460"/>
      <c r="BD173" s="460"/>
      <c r="BE173" s="460"/>
      <c r="BF173" s="460"/>
      <c r="BH173" s="1287"/>
      <c r="BI173" s="1287"/>
      <c r="BJ173" s="1117" t="s">
        <v>1102</v>
      </c>
      <c r="BK173" s="460"/>
      <c r="BL173" s="460"/>
      <c r="BM173" s="460"/>
      <c r="BN173" s="460"/>
      <c r="BO173" s="460"/>
      <c r="BP173" s="460"/>
      <c r="BV173" s="1118">
        <v>60</v>
      </c>
      <c r="BW173" s="1118">
        <v>56</v>
      </c>
      <c r="BX173" s="1118">
        <v>56</v>
      </c>
      <c r="BY173" s="1118">
        <v>56</v>
      </c>
      <c r="BZ173" s="1118">
        <v>56</v>
      </c>
      <c r="CA173" s="1118">
        <v>56</v>
      </c>
      <c r="CB173" s="1118">
        <v>56</v>
      </c>
      <c r="CC173" s="1118">
        <v>56</v>
      </c>
      <c r="CD173" s="1118">
        <v>56</v>
      </c>
      <c r="CI173" s="460"/>
      <c r="CJ173" s="460"/>
      <c r="CK173" s="460"/>
      <c r="CL173" s="460"/>
      <c r="CM173" s="460"/>
      <c r="CN173" s="460"/>
      <c r="CO173" s="460"/>
      <c r="CP173" s="460"/>
      <c r="CQ173" s="460"/>
    </row>
    <row r="174" spans="2:95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X174" s="460"/>
      <c r="AY174" s="460"/>
      <c r="AZ174" s="460"/>
      <c r="BA174" s="460"/>
      <c r="BB174" s="460"/>
      <c r="BC174" s="460"/>
      <c r="BD174" s="460"/>
      <c r="BE174" s="460"/>
      <c r="BF174" s="460"/>
      <c r="BH174" s="1287"/>
      <c r="BI174" s="1286" t="s">
        <v>1103</v>
      </c>
      <c r="BJ174" s="1117" t="s">
        <v>1101</v>
      </c>
      <c r="BK174" s="1118">
        <v>44</v>
      </c>
      <c r="BL174" s="1118">
        <v>93</v>
      </c>
      <c r="BM174" s="1118">
        <v>127</v>
      </c>
      <c r="BN174" s="1118">
        <v>49</v>
      </c>
      <c r="BO174" s="1118">
        <v>91</v>
      </c>
      <c r="BP174" s="1118">
        <v>119</v>
      </c>
      <c r="BQ174" s="1118">
        <v>265</v>
      </c>
      <c r="BR174" s="1118">
        <v>424</v>
      </c>
      <c r="BS174" s="1118">
        <v>450</v>
      </c>
      <c r="BT174" s="1118">
        <v>479</v>
      </c>
      <c r="BU174" s="1118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</row>
    <row r="175" spans="2:95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X175" s="460"/>
      <c r="AY175" s="460"/>
      <c r="AZ175" s="460"/>
      <c r="BA175" s="460"/>
      <c r="BB175" s="460"/>
      <c r="BC175" s="460"/>
      <c r="BD175" s="460"/>
      <c r="BE175" s="460"/>
      <c r="BF175" s="460"/>
      <c r="BH175" s="1287"/>
      <c r="BI175" s="1287"/>
      <c r="BJ175" s="1117" t="s">
        <v>1102</v>
      </c>
      <c r="BK175" s="460"/>
      <c r="BL175" s="460"/>
      <c r="BM175" s="460"/>
      <c r="BN175" s="460"/>
      <c r="BO175" s="460"/>
      <c r="BP175" s="460"/>
      <c r="BV175" s="1118">
        <v>555</v>
      </c>
      <c r="BW175" s="1118">
        <v>536</v>
      </c>
      <c r="BX175" s="1118">
        <v>536</v>
      </c>
      <c r="BY175" s="1118">
        <v>536</v>
      </c>
      <c r="BZ175" s="1118">
        <v>536</v>
      </c>
      <c r="CA175" s="1118">
        <v>536</v>
      </c>
      <c r="CB175" s="1118">
        <v>536</v>
      </c>
      <c r="CC175" s="1118">
        <v>536</v>
      </c>
      <c r="CD175" s="1118">
        <v>536</v>
      </c>
      <c r="CI175" s="460"/>
      <c r="CJ175" s="460"/>
      <c r="CK175" s="460"/>
      <c r="CL175" s="460"/>
      <c r="CM175" s="460"/>
      <c r="CN175" s="460"/>
      <c r="CO175" s="460"/>
      <c r="CP175" s="460"/>
      <c r="CQ175" s="460"/>
    </row>
    <row r="176" spans="2:95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X176" s="460"/>
      <c r="AY176" s="460"/>
      <c r="AZ176" s="460"/>
      <c r="BA176" s="460"/>
      <c r="BB176" s="460"/>
      <c r="BC176" s="460"/>
      <c r="BD176" s="460"/>
      <c r="BE176" s="460"/>
      <c r="BF176" s="460"/>
      <c r="BH176" s="1287"/>
      <c r="BI176" s="1286" t="s">
        <v>1104</v>
      </c>
      <c r="BJ176" s="1117" t="s">
        <v>1101</v>
      </c>
      <c r="BK176" s="1118">
        <v>116</v>
      </c>
      <c r="BL176" s="1118">
        <v>89</v>
      </c>
      <c r="BM176" s="1118">
        <v>76</v>
      </c>
      <c r="BN176" s="1118">
        <v>77</v>
      </c>
      <c r="BO176" s="1118">
        <v>75</v>
      </c>
      <c r="BP176" s="1118">
        <v>69</v>
      </c>
      <c r="BQ176" s="1118">
        <v>99</v>
      </c>
      <c r="BR176" s="1118">
        <v>137</v>
      </c>
      <c r="BS176" s="1118">
        <v>127</v>
      </c>
      <c r="BT176" s="1118">
        <v>114</v>
      </c>
      <c r="BU176" s="1118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</row>
    <row r="177" spans="2:95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X177" s="460"/>
      <c r="AY177" s="460"/>
      <c r="AZ177" s="460"/>
      <c r="BA177" s="460"/>
      <c r="BB177" s="460"/>
      <c r="BC177" s="460"/>
      <c r="BD177" s="460"/>
      <c r="BE177" s="460"/>
      <c r="BF177" s="460"/>
      <c r="BH177" s="1287"/>
      <c r="BI177" s="1287"/>
      <c r="BJ177" s="1117" t="s">
        <v>1102</v>
      </c>
      <c r="BK177" s="460"/>
      <c r="BL177" s="460"/>
      <c r="BM177" s="460"/>
      <c r="BN177" s="460"/>
      <c r="BO177" s="460"/>
      <c r="BP177" s="460"/>
      <c r="BV177" s="1118">
        <v>121</v>
      </c>
      <c r="BW177" s="1118">
        <v>124</v>
      </c>
      <c r="BX177" s="1118">
        <v>124</v>
      </c>
      <c r="BY177" s="1118">
        <v>124</v>
      </c>
      <c r="BZ177" s="1118">
        <v>124</v>
      </c>
      <c r="CA177" s="1118">
        <v>124</v>
      </c>
      <c r="CB177" s="1118">
        <v>124</v>
      </c>
      <c r="CC177" s="1118">
        <v>124</v>
      </c>
      <c r="CD177" s="1118">
        <v>124</v>
      </c>
      <c r="CI177" s="460"/>
      <c r="CJ177" s="460"/>
      <c r="CK177" s="460"/>
      <c r="CL177" s="460"/>
      <c r="CM177" s="460"/>
      <c r="CN177" s="460"/>
      <c r="CO177" s="460"/>
      <c r="CP177" s="460"/>
      <c r="CQ177" s="460"/>
    </row>
    <row r="178" spans="2:95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X178" s="460"/>
      <c r="AY178" s="460"/>
      <c r="AZ178" s="460"/>
      <c r="BA178" s="460"/>
      <c r="BB178" s="460"/>
      <c r="BC178" s="460"/>
      <c r="BD178" s="460"/>
      <c r="BE178" s="460"/>
      <c r="BF178" s="460"/>
      <c r="BH178" s="1286" t="s">
        <v>922</v>
      </c>
      <c r="BI178" s="1286" t="s">
        <v>42</v>
      </c>
      <c r="BJ178" s="1117" t="s">
        <v>1101</v>
      </c>
      <c r="BK178" s="1118">
        <v>14</v>
      </c>
      <c r="BL178" s="1118">
        <v>1</v>
      </c>
      <c r="BM178" s="1118">
        <v>6</v>
      </c>
      <c r="BN178" s="1118">
        <v>4</v>
      </c>
      <c r="BO178" s="1118">
        <v>10</v>
      </c>
      <c r="BP178" s="1118">
        <v>0</v>
      </c>
      <c r="BQ178" s="1118">
        <v>15</v>
      </c>
      <c r="BR178" s="1118">
        <v>3</v>
      </c>
      <c r="BS178" s="1118">
        <v>9</v>
      </c>
      <c r="BT178" s="1118">
        <v>16</v>
      </c>
      <c r="BU178" s="1118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</row>
    <row r="179" spans="2:95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X179" s="460"/>
      <c r="AY179" s="460"/>
      <c r="AZ179" s="460"/>
      <c r="BA179" s="460"/>
      <c r="BB179" s="460"/>
      <c r="BC179" s="460"/>
      <c r="BD179" s="460"/>
      <c r="BE179" s="460"/>
      <c r="BF179" s="460"/>
      <c r="BH179" s="1287"/>
      <c r="BI179" s="1287"/>
      <c r="BJ179" s="1117" t="s">
        <v>1102</v>
      </c>
      <c r="BK179" s="460"/>
      <c r="BL179" s="460"/>
      <c r="BM179" s="460"/>
      <c r="BN179" s="460"/>
      <c r="BO179" s="460"/>
      <c r="BP179" s="460"/>
      <c r="BV179" s="1118">
        <v>40</v>
      </c>
      <c r="BW179" s="1118">
        <v>36</v>
      </c>
      <c r="BX179" s="1118">
        <v>36</v>
      </c>
      <c r="BY179" s="1118">
        <v>36</v>
      </c>
      <c r="BZ179" s="1118">
        <v>36</v>
      </c>
      <c r="CA179" s="1118">
        <v>36</v>
      </c>
      <c r="CB179" s="1118">
        <v>36</v>
      </c>
      <c r="CC179" s="1118">
        <v>36</v>
      </c>
      <c r="CD179" s="1118">
        <v>36</v>
      </c>
      <c r="CI179" s="460"/>
      <c r="CJ179" s="460"/>
      <c r="CK179" s="460"/>
      <c r="CL179" s="460"/>
      <c r="CM179" s="460"/>
      <c r="CN179" s="460"/>
      <c r="CO179" s="460"/>
      <c r="CP179" s="460"/>
      <c r="CQ179" s="460"/>
    </row>
    <row r="180" spans="2:95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X180" s="460"/>
      <c r="AY180" s="460"/>
      <c r="AZ180" s="460"/>
      <c r="BA180" s="460"/>
      <c r="BB180" s="460"/>
      <c r="BC180" s="460"/>
      <c r="BD180" s="460"/>
      <c r="BE180" s="460"/>
      <c r="BF180" s="460"/>
      <c r="BH180" s="1287"/>
      <c r="BI180" s="1286" t="s">
        <v>1103</v>
      </c>
      <c r="BJ180" s="1117" t="s">
        <v>1101</v>
      </c>
      <c r="BK180" s="1118">
        <v>65</v>
      </c>
      <c r="BL180" s="1118">
        <v>12</v>
      </c>
      <c r="BM180" s="1118">
        <v>43</v>
      </c>
      <c r="BN180" s="1118">
        <v>5</v>
      </c>
      <c r="BO180" s="1118">
        <v>18</v>
      </c>
      <c r="BP180" s="1118">
        <v>36</v>
      </c>
      <c r="BQ180" s="1118">
        <v>34</v>
      </c>
      <c r="BR180" s="1118">
        <v>75</v>
      </c>
      <c r="BS180" s="1118">
        <v>174</v>
      </c>
      <c r="BT180" s="1118">
        <v>158</v>
      </c>
      <c r="BU180" s="1118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</row>
    <row r="181" spans="2:95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X181" s="460"/>
      <c r="AY181" s="460"/>
      <c r="AZ181" s="460"/>
      <c r="BA181" s="460"/>
      <c r="BB181" s="460"/>
      <c r="BC181" s="460"/>
      <c r="BD181" s="460"/>
      <c r="BE181" s="460"/>
      <c r="BF181" s="460"/>
      <c r="BH181" s="1287"/>
      <c r="BI181" s="1287"/>
      <c r="BJ181" s="1117" t="s">
        <v>1102</v>
      </c>
      <c r="BK181" s="460"/>
      <c r="BL181" s="460"/>
      <c r="BM181" s="460"/>
      <c r="BN181" s="460"/>
      <c r="BO181" s="460"/>
      <c r="BP181" s="460"/>
      <c r="BV181" s="1118">
        <v>160</v>
      </c>
      <c r="BW181" s="1118">
        <v>148</v>
      </c>
      <c r="BX181" s="1118">
        <v>148</v>
      </c>
      <c r="BY181" s="1118">
        <v>148</v>
      </c>
      <c r="BZ181" s="1118">
        <v>148</v>
      </c>
      <c r="CA181" s="1118">
        <v>148</v>
      </c>
      <c r="CB181" s="1118">
        <v>148</v>
      </c>
      <c r="CC181" s="1118">
        <v>148</v>
      </c>
      <c r="CD181" s="1118">
        <v>148</v>
      </c>
      <c r="CI181" s="460"/>
      <c r="CJ181" s="460"/>
      <c r="CK181" s="460"/>
      <c r="CL181" s="460"/>
      <c r="CM181" s="460"/>
      <c r="CN181" s="460"/>
      <c r="CO181" s="460"/>
      <c r="CP181" s="460"/>
      <c r="CQ181" s="460"/>
    </row>
    <row r="182" spans="2:95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X182" s="460"/>
      <c r="AY182" s="460"/>
      <c r="AZ182" s="460"/>
      <c r="BA182" s="460"/>
      <c r="BB182" s="460"/>
      <c r="BC182" s="460"/>
      <c r="BD182" s="460"/>
      <c r="BE182" s="460"/>
      <c r="BF182" s="460"/>
      <c r="BH182" s="1287"/>
      <c r="BI182" s="1286" t="s">
        <v>1104</v>
      </c>
      <c r="BJ182" s="1117" t="s">
        <v>1101</v>
      </c>
      <c r="BK182" s="1118">
        <v>259</v>
      </c>
      <c r="BL182" s="1118">
        <v>183</v>
      </c>
      <c r="BM182" s="1118">
        <v>165</v>
      </c>
      <c r="BN182" s="1118">
        <v>172</v>
      </c>
      <c r="BO182" s="1118">
        <v>168</v>
      </c>
      <c r="BP182" s="1118">
        <v>213</v>
      </c>
      <c r="BQ182" s="1118">
        <v>191</v>
      </c>
      <c r="BR182" s="1118">
        <v>237</v>
      </c>
      <c r="BS182" s="1118">
        <v>256</v>
      </c>
      <c r="BT182" s="1118">
        <v>243</v>
      </c>
      <c r="BU182" s="1118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</row>
    <row r="183" spans="2:95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X183" s="460"/>
      <c r="AY183" s="460"/>
      <c r="AZ183" s="460"/>
      <c r="BA183" s="460"/>
      <c r="BB183" s="460"/>
      <c r="BC183" s="460"/>
      <c r="BD183" s="460"/>
      <c r="BE183" s="460"/>
      <c r="BF183" s="460"/>
      <c r="BH183" s="1287"/>
      <c r="BI183" s="1287"/>
      <c r="BJ183" s="1117" t="s">
        <v>1102</v>
      </c>
      <c r="BK183" s="460"/>
      <c r="BL183" s="460"/>
      <c r="BM183" s="460"/>
      <c r="BN183" s="460"/>
      <c r="BO183" s="460"/>
      <c r="BP183" s="460"/>
      <c r="BV183" s="1118">
        <v>206</v>
      </c>
      <c r="BW183" s="1118">
        <v>225</v>
      </c>
      <c r="BX183" s="1118">
        <v>225</v>
      </c>
      <c r="BY183" s="1118">
        <v>225</v>
      </c>
      <c r="BZ183" s="1118">
        <v>225</v>
      </c>
      <c r="CA183" s="1118">
        <v>225</v>
      </c>
      <c r="CB183" s="1118">
        <v>225</v>
      </c>
      <c r="CC183" s="1118">
        <v>225</v>
      </c>
      <c r="CD183" s="1118">
        <v>225</v>
      </c>
      <c r="CI183" s="460"/>
      <c r="CJ183" s="460"/>
      <c r="CK183" s="460"/>
      <c r="CL183" s="460"/>
      <c r="CM183" s="460"/>
      <c r="CN183" s="460"/>
      <c r="CO183" s="460"/>
      <c r="CP183" s="460"/>
      <c r="CQ183" s="460"/>
    </row>
    <row r="184" spans="2:95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X184" s="460"/>
      <c r="AY184" s="460"/>
      <c r="AZ184" s="460"/>
      <c r="BA184" s="460"/>
      <c r="BB184" s="460"/>
      <c r="BC184" s="460"/>
      <c r="BD184" s="460"/>
      <c r="BE184" s="460"/>
      <c r="BF184" s="460"/>
      <c r="BH184" s="1286" t="s">
        <v>920</v>
      </c>
      <c r="BI184" s="1286" t="s">
        <v>42</v>
      </c>
      <c r="BJ184" s="1117" t="s">
        <v>1101</v>
      </c>
      <c r="BK184" s="1118">
        <v>8</v>
      </c>
      <c r="BL184" s="1118">
        <v>4</v>
      </c>
      <c r="BM184" s="1118">
        <v>5</v>
      </c>
      <c r="BN184" s="1118">
        <v>4</v>
      </c>
      <c r="BO184" s="1118">
        <v>9</v>
      </c>
      <c r="BP184" s="1118">
        <v>33</v>
      </c>
      <c r="BQ184" s="1118">
        <v>17</v>
      </c>
      <c r="BR184" s="1118">
        <v>23</v>
      </c>
      <c r="BS184" s="1118">
        <v>44</v>
      </c>
      <c r="BT184" s="1118">
        <v>51</v>
      </c>
      <c r="BU184" s="1118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</row>
    <row r="185" spans="2:95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X185" s="460"/>
      <c r="AY185" s="460"/>
      <c r="AZ185" s="460"/>
      <c r="BA185" s="460"/>
      <c r="BB185" s="460"/>
      <c r="BC185" s="460"/>
      <c r="BD185" s="460"/>
      <c r="BE185" s="460"/>
      <c r="BF185" s="460"/>
      <c r="BH185" s="1287"/>
      <c r="BI185" s="1287"/>
      <c r="BJ185" s="1117" t="s">
        <v>1102</v>
      </c>
      <c r="BK185" s="460"/>
      <c r="BL185" s="460"/>
      <c r="BM185" s="460"/>
      <c r="BN185" s="460"/>
      <c r="BO185" s="460"/>
      <c r="BP185" s="460"/>
      <c r="BV185" s="1118">
        <v>50</v>
      </c>
      <c r="BW185" s="1118">
        <v>51</v>
      </c>
      <c r="BX185" s="1118">
        <v>51</v>
      </c>
      <c r="BY185" s="1118">
        <v>51</v>
      </c>
      <c r="BZ185" s="1118">
        <v>51</v>
      </c>
      <c r="CA185" s="1118">
        <v>51</v>
      </c>
      <c r="CB185" s="1118">
        <v>51</v>
      </c>
      <c r="CC185" s="1118">
        <v>51</v>
      </c>
      <c r="CD185" s="1118">
        <v>51</v>
      </c>
      <c r="CI185" s="460"/>
      <c r="CJ185" s="460"/>
      <c r="CK185" s="460"/>
      <c r="CL185" s="460"/>
      <c r="CM185" s="460"/>
      <c r="CN185" s="460"/>
      <c r="CO185" s="460"/>
      <c r="CP185" s="460"/>
      <c r="CQ185" s="460"/>
    </row>
    <row r="186" spans="2:95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X186" s="460"/>
      <c r="AY186" s="460"/>
      <c r="AZ186" s="460"/>
      <c r="BA186" s="460"/>
      <c r="BB186" s="460"/>
      <c r="BC186" s="460"/>
      <c r="BD186" s="460"/>
      <c r="BE186" s="460"/>
      <c r="BF186" s="460"/>
      <c r="BH186" s="1287"/>
      <c r="BI186" s="1286" t="s">
        <v>1103</v>
      </c>
      <c r="BJ186" s="1117" t="s">
        <v>1101</v>
      </c>
      <c r="BK186" s="1118">
        <v>51</v>
      </c>
      <c r="BL186" s="1118">
        <v>33</v>
      </c>
      <c r="BM186" s="1118">
        <v>40</v>
      </c>
      <c r="BN186" s="1118">
        <v>76</v>
      </c>
      <c r="BO186" s="1118">
        <v>146</v>
      </c>
      <c r="BP186" s="1118">
        <v>372</v>
      </c>
      <c r="BQ186" s="1118">
        <v>823</v>
      </c>
      <c r="BR186" s="1118">
        <v>1221</v>
      </c>
      <c r="BS186" s="1118">
        <v>1316</v>
      </c>
      <c r="BT186" s="1118">
        <v>1134</v>
      </c>
      <c r="BU186" s="1118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</row>
    <row r="187" spans="2:95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X187" s="460"/>
      <c r="AY187" s="460"/>
      <c r="AZ187" s="460"/>
      <c r="BA187" s="460"/>
      <c r="BB187" s="460"/>
      <c r="BC187" s="460"/>
      <c r="BD187" s="460"/>
      <c r="BE187" s="460"/>
      <c r="BF187" s="460"/>
      <c r="BH187" s="1287"/>
      <c r="BI187" s="1287"/>
      <c r="BJ187" s="1117" t="s">
        <v>1102</v>
      </c>
      <c r="BK187" s="460"/>
      <c r="BL187" s="460"/>
      <c r="BM187" s="460"/>
      <c r="BN187" s="460"/>
      <c r="BO187" s="460"/>
      <c r="BP187" s="460"/>
      <c r="BV187" s="1118">
        <v>961</v>
      </c>
      <c r="BW187" s="1118">
        <v>1008</v>
      </c>
      <c r="BX187" s="1118">
        <v>1008</v>
      </c>
      <c r="BY187" s="1118">
        <v>1008</v>
      </c>
      <c r="BZ187" s="1118">
        <v>1008</v>
      </c>
      <c r="CA187" s="1118">
        <v>1008</v>
      </c>
      <c r="CB187" s="1118">
        <v>1008</v>
      </c>
      <c r="CC187" s="1118">
        <v>1008</v>
      </c>
      <c r="CD187" s="1118">
        <v>1008</v>
      </c>
      <c r="CI187" s="460"/>
      <c r="CJ187" s="460"/>
      <c r="CK187" s="460"/>
      <c r="CL187" s="460"/>
      <c r="CM187" s="460"/>
      <c r="CN187" s="460"/>
      <c r="CO187" s="460"/>
      <c r="CP187" s="460"/>
      <c r="CQ187" s="460"/>
    </row>
    <row r="188" spans="2:95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X188" s="460"/>
      <c r="AY188" s="460"/>
      <c r="AZ188" s="460"/>
      <c r="BA188" s="460"/>
      <c r="BB188" s="460"/>
      <c r="BC188" s="460"/>
      <c r="BD188" s="460"/>
      <c r="BE188" s="460"/>
      <c r="BF188" s="460"/>
      <c r="BH188" s="1287"/>
      <c r="BI188" s="1286" t="s">
        <v>1104</v>
      </c>
      <c r="BJ188" s="1117" t="s">
        <v>1101</v>
      </c>
      <c r="BK188" s="1118">
        <v>219</v>
      </c>
      <c r="BL188" s="1118">
        <v>156</v>
      </c>
      <c r="BM188" s="1118">
        <v>115</v>
      </c>
      <c r="BN188" s="1118">
        <v>144</v>
      </c>
      <c r="BO188" s="1118">
        <v>170</v>
      </c>
      <c r="BP188" s="1118">
        <v>210</v>
      </c>
      <c r="BQ188" s="1118">
        <v>250</v>
      </c>
      <c r="BR188" s="1118">
        <v>268</v>
      </c>
      <c r="BS188" s="1118">
        <v>273</v>
      </c>
      <c r="BT188" s="1118">
        <v>325</v>
      </c>
      <c r="BU188" s="1118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</row>
    <row r="189" spans="2:95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X189" s="460"/>
      <c r="AY189" s="460"/>
      <c r="AZ189" s="460"/>
      <c r="BA189" s="460"/>
      <c r="BB189" s="460"/>
      <c r="BC189" s="460"/>
      <c r="BD189" s="460"/>
      <c r="BE189" s="460"/>
      <c r="BF189" s="460"/>
      <c r="BH189" s="1287"/>
      <c r="BI189" s="1287"/>
      <c r="BJ189" s="1117" t="s">
        <v>1102</v>
      </c>
      <c r="BK189" s="460"/>
      <c r="BL189" s="460"/>
      <c r="BM189" s="460"/>
      <c r="BN189" s="460"/>
      <c r="BO189" s="460"/>
      <c r="BP189" s="460"/>
      <c r="BV189" s="1118">
        <v>292</v>
      </c>
      <c r="BW189" s="1118">
        <v>300</v>
      </c>
      <c r="BX189" s="1118">
        <v>300</v>
      </c>
      <c r="BY189" s="1118">
        <v>300</v>
      </c>
      <c r="BZ189" s="1118">
        <v>300</v>
      </c>
      <c r="CA189" s="1118">
        <v>300</v>
      </c>
      <c r="CB189" s="1118">
        <v>300</v>
      </c>
      <c r="CC189" s="1118">
        <v>300</v>
      </c>
      <c r="CD189" s="1118">
        <v>300</v>
      </c>
      <c r="CI189" s="460"/>
      <c r="CJ189" s="460"/>
      <c r="CK189" s="460"/>
      <c r="CL189" s="460"/>
      <c r="CM189" s="460"/>
      <c r="CN189" s="460"/>
      <c r="CO189" s="460"/>
      <c r="CP189" s="460"/>
      <c r="CQ189" s="460"/>
    </row>
    <row r="190" spans="2:95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X190" s="460"/>
      <c r="AY190" s="460"/>
      <c r="AZ190" s="460"/>
      <c r="BA190" s="460"/>
      <c r="BB190" s="460"/>
      <c r="BC190" s="460"/>
      <c r="BD190" s="460"/>
      <c r="BE190" s="460"/>
      <c r="BF190" s="460"/>
      <c r="BH190" s="1286" t="s">
        <v>921</v>
      </c>
      <c r="BI190" s="1286" t="s">
        <v>42</v>
      </c>
      <c r="BJ190" s="1117" t="s">
        <v>1101</v>
      </c>
      <c r="BK190" s="1118">
        <v>4</v>
      </c>
      <c r="BL190" s="1118">
        <v>1</v>
      </c>
      <c r="BM190" s="1118">
        <v>0</v>
      </c>
      <c r="BN190" s="1118">
        <v>2</v>
      </c>
      <c r="BO190" s="1118">
        <v>0</v>
      </c>
      <c r="BP190" s="1118">
        <v>8</v>
      </c>
      <c r="BQ190" s="1118">
        <v>8</v>
      </c>
      <c r="BR190" s="1118">
        <v>4</v>
      </c>
      <c r="BS190" s="1118">
        <v>12</v>
      </c>
      <c r="BT190" s="1118">
        <v>16</v>
      </c>
      <c r="BU190" s="1118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</row>
    <row r="191" spans="2:95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X191" s="460"/>
      <c r="AY191" s="460"/>
      <c r="AZ191" s="460"/>
      <c r="BA191" s="460"/>
      <c r="BB191" s="460"/>
      <c r="BC191" s="460"/>
      <c r="BD191" s="460"/>
      <c r="BE191" s="460"/>
      <c r="BF191" s="460"/>
      <c r="BH191" s="1287"/>
      <c r="BI191" s="1287"/>
      <c r="BJ191" s="1117" t="s">
        <v>1102</v>
      </c>
      <c r="BK191" s="460"/>
      <c r="BL191" s="460"/>
      <c r="BM191" s="460"/>
      <c r="BN191" s="460"/>
      <c r="BO191" s="460"/>
      <c r="BP191" s="460"/>
      <c r="BV191" s="1118">
        <v>12</v>
      </c>
      <c r="BW191" s="1118">
        <v>15</v>
      </c>
      <c r="BX191" s="1118">
        <v>15</v>
      </c>
      <c r="BY191" s="1118">
        <v>15</v>
      </c>
      <c r="BZ191" s="1118">
        <v>15</v>
      </c>
      <c r="CA191" s="1118">
        <v>15</v>
      </c>
      <c r="CB191" s="1118">
        <v>15</v>
      </c>
      <c r="CC191" s="1118">
        <v>15</v>
      </c>
      <c r="CD191" s="1118">
        <v>15</v>
      </c>
      <c r="CI191" s="460"/>
      <c r="CJ191" s="460"/>
      <c r="CK191" s="460"/>
      <c r="CL191" s="460"/>
      <c r="CM191" s="460"/>
      <c r="CN191" s="460"/>
      <c r="CO191" s="460"/>
      <c r="CP191" s="460"/>
      <c r="CQ191" s="460"/>
    </row>
    <row r="192" spans="2:95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X192" s="460"/>
      <c r="AY192" s="460"/>
      <c r="AZ192" s="460"/>
      <c r="BA192" s="460"/>
      <c r="BB192" s="460"/>
      <c r="BC192" s="460"/>
      <c r="BD192" s="460"/>
      <c r="BE192" s="460"/>
      <c r="BF192" s="460"/>
      <c r="BH192" s="1287"/>
      <c r="BI192" s="1286" t="s">
        <v>1103</v>
      </c>
      <c r="BJ192" s="1117" t="s">
        <v>1101</v>
      </c>
      <c r="BK192" s="1118">
        <v>9</v>
      </c>
      <c r="BL192" s="1118">
        <v>22</v>
      </c>
      <c r="BM192" s="1118">
        <v>12</v>
      </c>
      <c r="BN192" s="1118">
        <v>7</v>
      </c>
      <c r="BO192" s="1118">
        <v>30</v>
      </c>
      <c r="BP192" s="1118">
        <v>9</v>
      </c>
      <c r="BQ192" s="1118">
        <v>46</v>
      </c>
      <c r="BR192" s="1118">
        <v>14</v>
      </c>
      <c r="BS192" s="1118">
        <v>129</v>
      </c>
      <c r="BT192" s="1118">
        <v>69</v>
      </c>
      <c r="BU192" s="1118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</row>
    <row r="193" spans="2:95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X193" s="460"/>
      <c r="AY193" s="460"/>
      <c r="AZ193" s="460"/>
      <c r="BA193" s="460"/>
      <c r="BB193" s="460"/>
      <c r="BC193" s="460"/>
      <c r="BD193" s="460"/>
      <c r="BE193" s="460"/>
      <c r="BF193" s="460"/>
      <c r="BH193" s="1287"/>
      <c r="BI193" s="1287"/>
      <c r="BJ193" s="1117" t="s">
        <v>1102</v>
      </c>
      <c r="BK193" s="460"/>
      <c r="BL193" s="460"/>
      <c r="BM193" s="460"/>
      <c r="BN193" s="460"/>
      <c r="BO193" s="460"/>
      <c r="BP193" s="460"/>
      <c r="BV193" s="1118">
        <v>96</v>
      </c>
      <c r="BW193" s="1118">
        <v>76</v>
      </c>
      <c r="BX193" s="1118">
        <v>76</v>
      </c>
      <c r="BY193" s="1118">
        <v>76</v>
      </c>
      <c r="BZ193" s="1118">
        <v>76</v>
      </c>
      <c r="CA193" s="1118">
        <v>76</v>
      </c>
      <c r="CB193" s="1118">
        <v>76</v>
      </c>
      <c r="CC193" s="1118">
        <v>76</v>
      </c>
      <c r="CD193" s="1118">
        <v>76</v>
      </c>
      <c r="CI193" s="460"/>
      <c r="CJ193" s="460"/>
      <c r="CK193" s="460"/>
      <c r="CL193" s="460"/>
      <c r="CM193" s="460"/>
      <c r="CN193" s="460"/>
      <c r="CO193" s="460"/>
      <c r="CP193" s="460"/>
      <c r="CQ193" s="460"/>
    </row>
    <row r="194" spans="2:95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X194" s="460"/>
      <c r="AY194" s="460"/>
      <c r="AZ194" s="460"/>
      <c r="BA194" s="460"/>
      <c r="BB194" s="460"/>
      <c r="BC194" s="460"/>
      <c r="BD194" s="460"/>
      <c r="BE194" s="460"/>
      <c r="BF194" s="460"/>
      <c r="BH194" s="1287"/>
      <c r="BI194" s="1286" t="s">
        <v>1104</v>
      </c>
      <c r="BJ194" s="1117" t="s">
        <v>1101</v>
      </c>
      <c r="BK194" s="1118">
        <v>99</v>
      </c>
      <c r="BL194" s="1118">
        <v>79</v>
      </c>
      <c r="BM194" s="1118">
        <v>73</v>
      </c>
      <c r="BN194" s="1118">
        <v>63</v>
      </c>
      <c r="BO194" s="1118">
        <v>89</v>
      </c>
      <c r="BP194" s="1118">
        <v>70</v>
      </c>
      <c r="BQ194" s="1118">
        <v>94</v>
      </c>
      <c r="BR194" s="1118">
        <v>111</v>
      </c>
      <c r="BS194" s="1118">
        <v>140</v>
      </c>
      <c r="BT194" s="1118">
        <v>127</v>
      </c>
      <c r="BU194" s="1118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</row>
    <row r="195" spans="2:95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X195" s="460"/>
      <c r="AY195" s="460"/>
      <c r="AZ195" s="460"/>
      <c r="BA195" s="460"/>
      <c r="BB195" s="460"/>
      <c r="BC195" s="460"/>
      <c r="BD195" s="460"/>
      <c r="BE195" s="460"/>
      <c r="BF195" s="460"/>
      <c r="BH195" s="1287"/>
      <c r="BI195" s="1287"/>
      <c r="BJ195" s="1117" t="s">
        <v>1102</v>
      </c>
      <c r="BK195" s="460"/>
      <c r="BL195" s="460"/>
      <c r="BM195" s="460"/>
      <c r="BN195" s="460"/>
      <c r="BO195" s="460"/>
      <c r="BP195" s="460"/>
      <c r="BV195" s="1118">
        <v>109</v>
      </c>
      <c r="BW195" s="1118">
        <v>122</v>
      </c>
      <c r="BX195" s="1118">
        <v>122</v>
      </c>
      <c r="BY195" s="1118">
        <v>122</v>
      </c>
      <c r="BZ195" s="1118">
        <v>122</v>
      </c>
      <c r="CA195" s="1118">
        <v>122</v>
      </c>
      <c r="CB195" s="1118">
        <v>122</v>
      </c>
      <c r="CC195" s="1118">
        <v>122</v>
      </c>
      <c r="CD195" s="1118">
        <v>122</v>
      </c>
      <c r="CI195" s="460"/>
      <c r="CJ195" s="460"/>
      <c r="CK195" s="460"/>
      <c r="CL195" s="460"/>
      <c r="CM195" s="460"/>
      <c r="CN195" s="460"/>
      <c r="CO195" s="460"/>
      <c r="CP195" s="460"/>
      <c r="CQ195" s="460"/>
    </row>
    <row r="196" spans="2:95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X196" s="460"/>
      <c r="AY196" s="460"/>
      <c r="AZ196" s="460"/>
      <c r="BA196" s="460"/>
      <c r="BB196" s="460"/>
      <c r="BC196" s="460"/>
      <c r="BD196" s="460"/>
      <c r="BE196" s="460"/>
      <c r="BF196" s="460"/>
      <c r="BH196" s="1286" t="s">
        <v>923</v>
      </c>
      <c r="BI196" s="1286" t="s">
        <v>42</v>
      </c>
      <c r="BJ196" s="1117" t="s">
        <v>1101</v>
      </c>
      <c r="BK196" s="1118">
        <v>4</v>
      </c>
      <c r="BL196" s="1118">
        <v>3</v>
      </c>
      <c r="BM196" s="1118">
        <v>1</v>
      </c>
      <c r="BN196" s="1118">
        <v>1</v>
      </c>
      <c r="BO196" s="1118">
        <v>6</v>
      </c>
      <c r="BP196" s="1118">
        <v>5</v>
      </c>
      <c r="BQ196" s="1118">
        <v>1</v>
      </c>
      <c r="BR196" s="1118">
        <v>11</v>
      </c>
      <c r="BS196" s="1118">
        <v>11</v>
      </c>
      <c r="BT196" s="1118">
        <v>2</v>
      </c>
      <c r="BU196" s="1118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</row>
    <row r="197" spans="2:95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X197" s="460"/>
      <c r="AY197" s="460"/>
      <c r="AZ197" s="460"/>
      <c r="BA197" s="460"/>
      <c r="BB197" s="460"/>
      <c r="BC197" s="460"/>
      <c r="BD197" s="460"/>
      <c r="BE197" s="460"/>
      <c r="BF197" s="460"/>
      <c r="BH197" s="1287"/>
      <c r="BI197" s="1287"/>
      <c r="BJ197" s="1117" t="s">
        <v>1102</v>
      </c>
      <c r="BK197" s="460"/>
      <c r="BL197" s="460"/>
      <c r="BM197" s="460"/>
      <c r="BN197" s="460"/>
      <c r="BO197" s="460"/>
      <c r="BP197" s="460"/>
      <c r="BV197" s="1118">
        <v>25</v>
      </c>
      <c r="BW197" s="1118">
        <v>8</v>
      </c>
      <c r="BX197" s="1118">
        <v>8</v>
      </c>
      <c r="BY197" s="1118">
        <v>8</v>
      </c>
      <c r="BZ197" s="1118">
        <v>8</v>
      </c>
      <c r="CA197" s="1118">
        <v>8</v>
      </c>
      <c r="CB197" s="1118">
        <v>8</v>
      </c>
      <c r="CC197" s="1118">
        <v>8</v>
      </c>
      <c r="CD197" s="1118">
        <v>8</v>
      </c>
      <c r="CI197" s="460"/>
      <c r="CJ197" s="460"/>
      <c r="CK197" s="460"/>
      <c r="CL197" s="460"/>
      <c r="CM197" s="460"/>
      <c r="CN197" s="460"/>
      <c r="CO197" s="460"/>
      <c r="CP197" s="460"/>
      <c r="CQ197" s="460"/>
    </row>
    <row r="198" spans="2:95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X198" s="460"/>
      <c r="AY198" s="460"/>
      <c r="AZ198" s="460"/>
      <c r="BA198" s="460"/>
      <c r="BB198" s="460"/>
      <c r="BC198" s="460"/>
      <c r="BD198" s="460"/>
      <c r="BE198" s="460"/>
      <c r="BF198" s="460"/>
      <c r="BH198" s="1287"/>
      <c r="BI198" s="1286" t="s">
        <v>1103</v>
      </c>
      <c r="BJ198" s="1117" t="s">
        <v>1101</v>
      </c>
      <c r="BK198" s="1118">
        <v>15</v>
      </c>
      <c r="BL198" s="1118">
        <v>4</v>
      </c>
      <c r="BM198" s="1118">
        <v>3</v>
      </c>
      <c r="BN198" s="1118">
        <v>11</v>
      </c>
      <c r="BO198" s="1118">
        <v>27</v>
      </c>
      <c r="BP198" s="1118">
        <v>13</v>
      </c>
      <c r="BQ198" s="1118">
        <v>54</v>
      </c>
      <c r="BR198" s="1118">
        <v>19</v>
      </c>
      <c r="BS198" s="1118">
        <v>108</v>
      </c>
      <c r="BT198" s="1118">
        <v>72</v>
      </c>
      <c r="BU198" s="1118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</row>
    <row r="199" spans="2:95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X199" s="460"/>
      <c r="AY199" s="460"/>
      <c r="AZ199" s="460"/>
      <c r="BA199" s="460"/>
      <c r="BB199" s="460"/>
      <c r="BC199" s="460"/>
      <c r="BD199" s="460"/>
      <c r="BE199" s="460"/>
      <c r="BF199" s="460"/>
      <c r="BH199" s="1287"/>
      <c r="BI199" s="1287"/>
      <c r="BJ199" s="1117" t="s">
        <v>1102</v>
      </c>
      <c r="BK199" s="460"/>
      <c r="BL199" s="460"/>
      <c r="BM199" s="460"/>
      <c r="BN199" s="460"/>
      <c r="BO199" s="460"/>
      <c r="BP199" s="460"/>
      <c r="BV199" s="1118">
        <v>322</v>
      </c>
      <c r="BW199" s="1118">
        <v>291</v>
      </c>
      <c r="BX199" s="1118">
        <v>291</v>
      </c>
      <c r="BY199" s="1118">
        <v>291</v>
      </c>
      <c r="BZ199" s="1118">
        <v>291</v>
      </c>
      <c r="CA199" s="1118">
        <v>291</v>
      </c>
      <c r="CB199" s="1118">
        <v>291</v>
      </c>
      <c r="CC199" s="1118">
        <v>291</v>
      </c>
      <c r="CD199" s="1118">
        <v>291</v>
      </c>
      <c r="CI199" s="460"/>
      <c r="CJ199" s="460"/>
      <c r="CK199" s="460"/>
      <c r="CL199" s="460"/>
      <c r="CM199" s="460"/>
      <c r="CN199" s="460"/>
      <c r="CO199" s="460"/>
      <c r="CP199" s="460"/>
      <c r="CQ199" s="460"/>
    </row>
    <row r="200" spans="2:95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X200" s="460"/>
      <c r="AY200" s="460"/>
      <c r="AZ200" s="460"/>
      <c r="BA200" s="460"/>
      <c r="BB200" s="460"/>
      <c r="BC200" s="460"/>
      <c r="BD200" s="460"/>
      <c r="BE200" s="460"/>
      <c r="BF200" s="460"/>
      <c r="BH200" s="1287"/>
      <c r="BI200" s="1286" t="s">
        <v>1104</v>
      </c>
      <c r="BJ200" s="1117" t="s">
        <v>1101</v>
      </c>
      <c r="BK200" s="1118">
        <v>98</v>
      </c>
      <c r="BL200" s="1118">
        <v>75</v>
      </c>
      <c r="BM200" s="1118">
        <v>51</v>
      </c>
      <c r="BN200" s="1118">
        <v>55</v>
      </c>
      <c r="BO200" s="1118">
        <v>79</v>
      </c>
      <c r="BP200" s="1118">
        <v>67</v>
      </c>
      <c r="BQ200" s="1118">
        <v>79</v>
      </c>
      <c r="BR200" s="1118">
        <v>77</v>
      </c>
      <c r="BS200" s="1118">
        <v>111</v>
      </c>
      <c r="BT200" s="1118">
        <v>123</v>
      </c>
      <c r="BU200" s="1118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</row>
    <row r="201" spans="2:95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X201" s="460"/>
      <c r="AY201" s="460"/>
      <c r="AZ201" s="460"/>
      <c r="BA201" s="460"/>
      <c r="BB201" s="460"/>
      <c r="BC201" s="460"/>
      <c r="BD201" s="460"/>
      <c r="BE201" s="460"/>
      <c r="BF201" s="460"/>
      <c r="BH201" s="1287"/>
      <c r="BI201" s="1287"/>
      <c r="BJ201" s="1117" t="s">
        <v>1102</v>
      </c>
      <c r="BK201" s="460"/>
      <c r="BL201" s="460"/>
      <c r="BM201" s="460"/>
      <c r="BN201" s="460"/>
      <c r="BO201" s="460"/>
      <c r="BP201" s="460"/>
      <c r="BV201" s="1118">
        <v>104</v>
      </c>
      <c r="BW201" s="1118">
        <v>108</v>
      </c>
      <c r="BX201" s="1118">
        <v>108</v>
      </c>
      <c r="BY201" s="1118">
        <v>108</v>
      </c>
      <c r="BZ201" s="1118">
        <v>108</v>
      </c>
      <c r="CA201" s="1118">
        <v>108</v>
      </c>
      <c r="CB201" s="1118">
        <v>108</v>
      </c>
      <c r="CC201" s="1118">
        <v>108</v>
      </c>
      <c r="CD201" s="1118">
        <v>108</v>
      </c>
      <c r="CI201" s="460"/>
      <c r="CJ201" s="460"/>
      <c r="CK201" s="460"/>
      <c r="CL201" s="460"/>
      <c r="CM201" s="460"/>
      <c r="CN201" s="460"/>
      <c r="CO201" s="460"/>
      <c r="CP201" s="460"/>
      <c r="CQ201" s="460"/>
    </row>
    <row r="202" spans="2:95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X202" s="460"/>
      <c r="AY202" s="460"/>
      <c r="AZ202" s="460"/>
      <c r="BA202" s="460"/>
      <c r="BB202" s="460"/>
      <c r="BC202" s="460"/>
      <c r="BD202" s="460"/>
      <c r="BE202" s="460"/>
      <c r="BF202" s="460"/>
      <c r="BH202" s="1286" t="s">
        <v>924</v>
      </c>
      <c r="BI202" s="1286" t="s">
        <v>42</v>
      </c>
      <c r="BJ202" s="1117" t="s">
        <v>1101</v>
      </c>
      <c r="BK202" s="1118">
        <v>2</v>
      </c>
      <c r="BL202" s="1118">
        <v>1</v>
      </c>
      <c r="BM202" s="1118">
        <v>1</v>
      </c>
      <c r="BN202" s="1118">
        <v>0</v>
      </c>
      <c r="BO202" s="1118">
        <v>10</v>
      </c>
      <c r="BP202" s="1118">
        <v>4</v>
      </c>
      <c r="BQ202" s="1118">
        <v>4</v>
      </c>
      <c r="BR202" s="1118">
        <v>13</v>
      </c>
      <c r="BS202" s="1118">
        <v>9</v>
      </c>
      <c r="BT202" s="1118">
        <v>5</v>
      </c>
      <c r="BU202" s="1118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</row>
    <row r="203" spans="2:95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X203" s="460"/>
      <c r="AY203" s="460"/>
      <c r="AZ203" s="460"/>
      <c r="BA203" s="460"/>
      <c r="BB203" s="460"/>
      <c r="BC203" s="460"/>
      <c r="BD203" s="460"/>
      <c r="BE203" s="460"/>
      <c r="BF203" s="460"/>
      <c r="BH203" s="1287"/>
      <c r="BI203" s="1287"/>
      <c r="BJ203" s="1117" t="s">
        <v>1102</v>
      </c>
      <c r="BK203" s="460"/>
      <c r="BL203" s="460"/>
      <c r="BM203" s="460"/>
      <c r="BN203" s="460"/>
      <c r="BO203" s="460"/>
      <c r="BP203" s="460"/>
      <c r="BV203" s="1118">
        <v>10</v>
      </c>
      <c r="BW203" s="1118">
        <v>11</v>
      </c>
      <c r="BX203" s="1118">
        <v>12</v>
      </c>
      <c r="BY203" s="1118">
        <v>13</v>
      </c>
      <c r="BZ203" s="1118">
        <v>13</v>
      </c>
      <c r="CA203" s="1118">
        <v>14</v>
      </c>
      <c r="CB203" s="1118">
        <v>15</v>
      </c>
      <c r="CC203" s="1118">
        <v>15</v>
      </c>
      <c r="CD203" s="1118">
        <v>16</v>
      </c>
      <c r="CI203" s="460"/>
      <c r="CJ203" s="460"/>
      <c r="CK203" s="460"/>
      <c r="CL203" s="460"/>
      <c r="CM203" s="460"/>
      <c r="CN203" s="460"/>
      <c r="CO203" s="460"/>
      <c r="CP203" s="460"/>
      <c r="CQ203" s="460"/>
    </row>
    <row r="204" spans="2:95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X204" s="460"/>
      <c r="AY204" s="460"/>
      <c r="AZ204" s="460"/>
      <c r="BA204" s="460"/>
      <c r="BB204" s="460"/>
      <c r="BC204" s="460"/>
      <c r="BD204" s="460"/>
      <c r="BE204" s="460"/>
      <c r="BF204" s="460"/>
      <c r="BH204" s="1287"/>
      <c r="BI204" s="1286" t="s">
        <v>1103</v>
      </c>
      <c r="BJ204" s="1117" t="s">
        <v>1101</v>
      </c>
      <c r="BK204" s="1118">
        <v>31</v>
      </c>
      <c r="BL204" s="1118">
        <v>4</v>
      </c>
      <c r="BM204" s="1118">
        <v>8</v>
      </c>
      <c r="BN204" s="1118">
        <v>4</v>
      </c>
      <c r="BO204" s="1118">
        <v>1</v>
      </c>
      <c r="BP204" s="1118">
        <v>19</v>
      </c>
      <c r="BQ204" s="1118">
        <v>26</v>
      </c>
      <c r="BR204" s="1118">
        <v>44</v>
      </c>
      <c r="BS204" s="1118">
        <v>26</v>
      </c>
      <c r="BT204" s="1118">
        <v>47</v>
      </c>
      <c r="BU204" s="1118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</row>
    <row r="205" spans="2:95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X205" s="460"/>
      <c r="AY205" s="460"/>
      <c r="AZ205" s="460"/>
      <c r="BA205" s="460"/>
      <c r="BB205" s="460"/>
      <c r="BC205" s="460"/>
      <c r="BD205" s="460"/>
      <c r="BE205" s="460"/>
      <c r="BF205" s="460"/>
      <c r="BH205" s="1287"/>
      <c r="BI205" s="1287"/>
      <c r="BJ205" s="1117" t="s">
        <v>1102</v>
      </c>
      <c r="BK205" s="460"/>
      <c r="BL205" s="460"/>
      <c r="BM205" s="460"/>
      <c r="BN205" s="460"/>
      <c r="BO205" s="460"/>
      <c r="BP205" s="460"/>
      <c r="BV205" s="1118">
        <v>84</v>
      </c>
      <c r="BW205" s="1118">
        <v>82</v>
      </c>
      <c r="BX205" s="1118">
        <v>82</v>
      </c>
      <c r="BY205" s="1118">
        <v>82</v>
      </c>
      <c r="BZ205" s="1118">
        <v>82</v>
      </c>
      <c r="CA205" s="1118">
        <v>82</v>
      </c>
      <c r="CB205" s="1118">
        <v>82</v>
      </c>
      <c r="CC205" s="1118">
        <v>82</v>
      </c>
      <c r="CD205" s="1118">
        <v>82</v>
      </c>
      <c r="CI205" s="460"/>
      <c r="CJ205" s="460"/>
      <c r="CK205" s="460"/>
      <c r="CL205" s="460"/>
      <c r="CM205" s="460"/>
      <c r="CN205" s="460"/>
      <c r="CO205" s="460"/>
      <c r="CP205" s="460"/>
      <c r="CQ205" s="460"/>
    </row>
    <row r="206" spans="2:95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X206" s="460"/>
      <c r="AY206" s="460"/>
      <c r="AZ206" s="460"/>
      <c r="BA206" s="460"/>
      <c r="BB206" s="460"/>
      <c r="BC206" s="460"/>
      <c r="BD206" s="460"/>
      <c r="BE206" s="460"/>
      <c r="BF206" s="460"/>
      <c r="BH206" s="1287"/>
      <c r="BI206" s="1286" t="s">
        <v>1104</v>
      </c>
      <c r="BJ206" s="1117" t="s">
        <v>1101</v>
      </c>
      <c r="BK206" s="1118">
        <v>116</v>
      </c>
      <c r="BL206" s="1118">
        <v>71</v>
      </c>
      <c r="BM206" s="1118">
        <v>71</v>
      </c>
      <c r="BN206" s="1118">
        <v>63</v>
      </c>
      <c r="BO206" s="1118">
        <v>59</v>
      </c>
      <c r="BP206" s="1118">
        <v>62</v>
      </c>
      <c r="BQ206" s="1118">
        <v>74</v>
      </c>
      <c r="BR206" s="1118">
        <v>90</v>
      </c>
      <c r="BS206" s="1118">
        <v>126</v>
      </c>
      <c r="BT206" s="1118">
        <v>118</v>
      </c>
      <c r="BU206" s="1118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</row>
    <row r="207" spans="2:95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X207" s="460"/>
      <c r="AY207" s="460"/>
      <c r="AZ207" s="460"/>
      <c r="BA207" s="460"/>
      <c r="BB207" s="460"/>
      <c r="BC207" s="460"/>
      <c r="BD207" s="460"/>
      <c r="BE207" s="460"/>
      <c r="BF207" s="460"/>
      <c r="BH207" s="1287"/>
      <c r="BI207" s="1287"/>
      <c r="BJ207" s="1117" t="s">
        <v>1102</v>
      </c>
      <c r="BK207" s="460"/>
      <c r="BL207" s="460"/>
      <c r="BM207" s="460"/>
      <c r="BN207" s="460"/>
      <c r="BO207" s="460"/>
      <c r="BP207" s="460"/>
      <c r="BV207" s="1118">
        <v>99</v>
      </c>
      <c r="BW207" s="1118">
        <v>101</v>
      </c>
      <c r="BX207" s="1118">
        <v>101</v>
      </c>
      <c r="BY207" s="1118">
        <v>101</v>
      </c>
      <c r="BZ207" s="1118">
        <v>101</v>
      </c>
      <c r="CA207" s="1118">
        <v>101</v>
      </c>
      <c r="CB207" s="1118">
        <v>101</v>
      </c>
      <c r="CC207" s="1118">
        <v>101</v>
      </c>
      <c r="CD207" s="1118">
        <v>101</v>
      </c>
      <c r="CI207" s="460"/>
      <c r="CJ207" s="460"/>
      <c r="CK207" s="460"/>
      <c r="CL207" s="460"/>
      <c r="CM207" s="460"/>
      <c r="CN207" s="460"/>
      <c r="CO207" s="460"/>
      <c r="CP207" s="460"/>
      <c r="CQ207" s="460"/>
    </row>
    <row r="208" spans="2:95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X208" s="460"/>
      <c r="AY208" s="460"/>
      <c r="AZ208" s="460"/>
      <c r="BA208" s="460"/>
      <c r="BB208" s="460"/>
      <c r="BC208" s="460"/>
      <c r="BD208" s="460"/>
      <c r="BE208" s="460"/>
      <c r="BF208" s="460"/>
      <c r="BH208" s="1286" t="s">
        <v>926</v>
      </c>
      <c r="BI208" s="1286" t="s">
        <v>42</v>
      </c>
      <c r="BJ208" s="1117" t="s">
        <v>1101</v>
      </c>
      <c r="BK208" s="1118">
        <v>10</v>
      </c>
      <c r="BL208" s="1118">
        <v>32</v>
      </c>
      <c r="BM208" s="1118">
        <v>6</v>
      </c>
      <c r="BN208" s="1118">
        <v>1</v>
      </c>
      <c r="BO208" s="1118">
        <v>5</v>
      </c>
      <c r="BP208" s="1118">
        <v>12</v>
      </c>
      <c r="BQ208" s="1118">
        <v>3</v>
      </c>
      <c r="BR208" s="1118">
        <v>16</v>
      </c>
      <c r="BS208" s="1118">
        <v>21</v>
      </c>
      <c r="BT208" s="1118">
        <v>56</v>
      </c>
      <c r="BU208" s="1118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</row>
    <row r="209" spans="2:95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X209" s="460"/>
      <c r="AY209" s="460"/>
      <c r="AZ209" s="460"/>
      <c r="BA209" s="460"/>
      <c r="BB209" s="460"/>
      <c r="BC209" s="460"/>
      <c r="BD209" s="460"/>
      <c r="BE209" s="460"/>
      <c r="BF209" s="460"/>
      <c r="BH209" s="1287"/>
      <c r="BI209" s="1287"/>
      <c r="BJ209" s="1117" t="s">
        <v>1102</v>
      </c>
      <c r="BK209" s="460"/>
      <c r="BL209" s="460"/>
      <c r="BM209" s="460"/>
      <c r="BN209" s="460"/>
      <c r="BO209" s="460"/>
      <c r="BP209" s="460"/>
      <c r="BV209" s="1118">
        <v>11</v>
      </c>
      <c r="BW209" s="1118">
        <v>13</v>
      </c>
      <c r="BX209" s="1118">
        <v>13</v>
      </c>
      <c r="BY209" s="1118">
        <v>13</v>
      </c>
      <c r="BZ209" s="1118">
        <v>13</v>
      </c>
      <c r="CA209" s="1118">
        <v>13</v>
      </c>
      <c r="CB209" s="1118">
        <v>13</v>
      </c>
      <c r="CC209" s="1118">
        <v>13</v>
      </c>
      <c r="CD209" s="1118">
        <v>13</v>
      </c>
      <c r="CI209" s="460"/>
      <c r="CJ209" s="460"/>
      <c r="CK209" s="460"/>
      <c r="CL209" s="460"/>
      <c r="CM209" s="460"/>
      <c r="CN209" s="460"/>
      <c r="CO209" s="460"/>
      <c r="CP209" s="460"/>
      <c r="CQ209" s="460"/>
    </row>
    <row r="210" spans="2:95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X210" s="460"/>
      <c r="AY210" s="460"/>
      <c r="AZ210" s="460"/>
      <c r="BA210" s="460"/>
      <c r="BB210" s="460"/>
      <c r="BC210" s="460"/>
      <c r="BD210" s="460"/>
      <c r="BE210" s="460"/>
      <c r="BF210" s="460"/>
      <c r="BH210" s="1287"/>
      <c r="BI210" s="1286" t="s">
        <v>1103</v>
      </c>
      <c r="BJ210" s="1117" t="s">
        <v>1101</v>
      </c>
      <c r="BK210" s="1118">
        <v>22</v>
      </c>
      <c r="BL210" s="1118">
        <v>52</v>
      </c>
      <c r="BM210" s="1118">
        <v>2</v>
      </c>
      <c r="BN210" s="1118">
        <v>0</v>
      </c>
      <c r="BO210" s="1118">
        <v>11</v>
      </c>
      <c r="BP210" s="1118">
        <v>6</v>
      </c>
      <c r="BQ210" s="1118">
        <v>36</v>
      </c>
      <c r="BR210" s="1118">
        <v>60</v>
      </c>
      <c r="BS210" s="1118">
        <v>13</v>
      </c>
      <c r="BT210" s="1118">
        <v>42</v>
      </c>
      <c r="BU210" s="1118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</row>
    <row r="211" spans="2:95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X211" s="460"/>
      <c r="AY211" s="460"/>
      <c r="AZ211" s="460"/>
      <c r="BA211" s="460"/>
      <c r="BB211" s="460"/>
      <c r="BC211" s="460"/>
      <c r="BD211" s="460"/>
      <c r="BE211" s="460"/>
      <c r="BF211" s="460"/>
      <c r="BH211" s="1287"/>
      <c r="BI211" s="1287"/>
      <c r="BJ211" s="1117" t="s">
        <v>1102</v>
      </c>
      <c r="BK211" s="460"/>
      <c r="BL211" s="460"/>
      <c r="BM211" s="460"/>
      <c r="BN211" s="460"/>
      <c r="BO211" s="460"/>
      <c r="BP211" s="460"/>
      <c r="BV211" s="1118">
        <v>69</v>
      </c>
      <c r="BW211" s="1118">
        <v>69</v>
      </c>
      <c r="BX211" s="1118">
        <v>69</v>
      </c>
      <c r="BY211" s="1118">
        <v>69</v>
      </c>
      <c r="BZ211" s="1118">
        <v>69</v>
      </c>
      <c r="CA211" s="1118">
        <v>69</v>
      </c>
      <c r="CB211" s="1118">
        <v>69</v>
      </c>
      <c r="CC211" s="1118">
        <v>69</v>
      </c>
      <c r="CD211" s="1118">
        <v>69</v>
      </c>
      <c r="CI211" s="460"/>
      <c r="CJ211" s="460"/>
      <c r="CK211" s="460"/>
      <c r="CL211" s="460"/>
      <c r="CM211" s="460"/>
      <c r="CN211" s="460"/>
      <c r="CO211" s="460"/>
      <c r="CP211" s="460"/>
      <c r="CQ211" s="460"/>
    </row>
    <row r="212" spans="2:95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X212" s="460"/>
      <c r="AY212" s="460"/>
      <c r="AZ212" s="460"/>
      <c r="BA212" s="460"/>
      <c r="BB212" s="460"/>
      <c r="BC212" s="460"/>
      <c r="BD212" s="460"/>
      <c r="BE212" s="460"/>
      <c r="BF212" s="460"/>
      <c r="BH212" s="1287"/>
      <c r="BI212" s="1286" t="s">
        <v>1104</v>
      </c>
      <c r="BJ212" s="1117" t="s">
        <v>1101</v>
      </c>
      <c r="BK212" s="1118">
        <v>113</v>
      </c>
      <c r="BL212" s="1118">
        <v>85</v>
      </c>
      <c r="BM212" s="1118">
        <v>82</v>
      </c>
      <c r="BN212" s="1118">
        <v>59</v>
      </c>
      <c r="BO212" s="1118">
        <v>58</v>
      </c>
      <c r="BP212" s="1118">
        <v>67</v>
      </c>
      <c r="BQ212" s="1118">
        <v>87</v>
      </c>
      <c r="BR212" s="1118">
        <v>96</v>
      </c>
      <c r="BS212" s="1118">
        <v>84</v>
      </c>
      <c r="BT212" s="1118">
        <v>80</v>
      </c>
      <c r="BU212" s="1118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</row>
    <row r="213" spans="2:95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X213" s="460"/>
      <c r="AY213" s="460"/>
      <c r="AZ213" s="460"/>
      <c r="BA213" s="460"/>
      <c r="BB213" s="460"/>
      <c r="BC213" s="460"/>
      <c r="BD213" s="460"/>
      <c r="BE213" s="460"/>
      <c r="BF213" s="460"/>
      <c r="BH213" s="1287"/>
      <c r="BI213" s="1287"/>
      <c r="BJ213" s="1117" t="s">
        <v>1102</v>
      </c>
      <c r="BK213" s="460"/>
      <c r="BL213" s="460"/>
      <c r="BM213" s="460"/>
      <c r="BN213" s="460"/>
      <c r="BO213" s="460"/>
      <c r="BP213" s="460"/>
      <c r="BV213" s="1118">
        <v>73</v>
      </c>
      <c r="BW213" s="1118">
        <v>74</v>
      </c>
      <c r="BX213" s="1118">
        <v>74</v>
      </c>
      <c r="BY213" s="1118">
        <v>74</v>
      </c>
      <c r="BZ213" s="1118">
        <v>74</v>
      </c>
      <c r="CA213" s="1118">
        <v>74</v>
      </c>
      <c r="CB213" s="1118">
        <v>74</v>
      </c>
      <c r="CC213" s="1118">
        <v>74</v>
      </c>
      <c r="CD213" s="1118">
        <v>74</v>
      </c>
      <c r="CI213" s="460"/>
      <c r="CJ213" s="460"/>
      <c r="CK213" s="460"/>
      <c r="CL213" s="460"/>
      <c r="CM213" s="460"/>
      <c r="CN213" s="460"/>
      <c r="CO213" s="460"/>
      <c r="CP213" s="460"/>
      <c r="CQ213" s="460"/>
    </row>
    <row r="214" spans="2:95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X214" s="460"/>
      <c r="AY214" s="460"/>
      <c r="AZ214" s="460"/>
      <c r="BA214" s="460"/>
      <c r="BB214" s="460"/>
      <c r="BC214" s="460"/>
      <c r="BD214" s="460"/>
      <c r="BE214" s="460"/>
      <c r="BF214" s="460"/>
      <c r="BH214" s="1286" t="s">
        <v>927</v>
      </c>
      <c r="BI214" s="1286" t="s">
        <v>42</v>
      </c>
      <c r="BJ214" s="1117" t="s">
        <v>1101</v>
      </c>
      <c r="BK214" s="1118">
        <v>12</v>
      </c>
      <c r="BL214" s="1118">
        <v>0</v>
      </c>
      <c r="BM214" s="1118">
        <v>4</v>
      </c>
      <c r="BN214" s="1118">
        <v>6</v>
      </c>
      <c r="BO214" s="1118">
        <v>12</v>
      </c>
      <c r="BP214" s="1118">
        <v>14</v>
      </c>
      <c r="BQ214" s="1118">
        <v>13</v>
      </c>
      <c r="BR214" s="1118">
        <v>11</v>
      </c>
      <c r="BS214" s="1118">
        <v>44</v>
      </c>
      <c r="BT214" s="1118">
        <v>21</v>
      </c>
      <c r="BU214" s="1118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</row>
    <row r="215" spans="2:95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X215" s="460"/>
      <c r="AY215" s="460"/>
      <c r="AZ215" s="460"/>
      <c r="BA215" s="460"/>
      <c r="BB215" s="460"/>
      <c r="BC215" s="460"/>
      <c r="BD215" s="460"/>
      <c r="BE215" s="460"/>
      <c r="BF215" s="460"/>
      <c r="BH215" s="1287"/>
      <c r="BI215" s="1287"/>
      <c r="BJ215" s="1117" t="s">
        <v>1102</v>
      </c>
      <c r="BK215" s="460"/>
      <c r="BL215" s="460"/>
      <c r="BM215" s="460"/>
      <c r="BN215" s="460"/>
      <c r="BO215" s="460"/>
      <c r="BP215" s="460"/>
      <c r="BV215" s="1118">
        <v>38</v>
      </c>
      <c r="BW215" s="1118">
        <v>28</v>
      </c>
      <c r="BX215" s="1118">
        <v>28</v>
      </c>
      <c r="BY215" s="1118">
        <v>28</v>
      </c>
      <c r="BZ215" s="1118">
        <v>28</v>
      </c>
      <c r="CA215" s="1118">
        <v>28</v>
      </c>
      <c r="CB215" s="1118">
        <v>28</v>
      </c>
      <c r="CC215" s="1118">
        <v>28</v>
      </c>
      <c r="CD215" s="1118">
        <v>28</v>
      </c>
      <c r="CI215" s="460"/>
      <c r="CJ215" s="460"/>
      <c r="CK215" s="460"/>
      <c r="CL215" s="460"/>
      <c r="CM215" s="460"/>
      <c r="CN215" s="460"/>
      <c r="CO215" s="460"/>
      <c r="CP215" s="460"/>
      <c r="CQ215" s="460"/>
    </row>
    <row r="216" spans="2:95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X216" s="460"/>
      <c r="AY216" s="460"/>
      <c r="AZ216" s="460"/>
      <c r="BA216" s="460"/>
      <c r="BB216" s="460"/>
      <c r="BC216" s="460"/>
      <c r="BD216" s="460"/>
      <c r="BE216" s="460"/>
      <c r="BF216" s="460"/>
      <c r="BH216" s="1287"/>
      <c r="BI216" s="1286" t="s">
        <v>1103</v>
      </c>
      <c r="BJ216" s="1117" t="s">
        <v>1101</v>
      </c>
      <c r="BK216" s="1118">
        <v>82</v>
      </c>
      <c r="BL216" s="1118">
        <v>22</v>
      </c>
      <c r="BM216" s="1118">
        <v>12</v>
      </c>
      <c r="BN216" s="1118">
        <v>6</v>
      </c>
      <c r="BO216" s="1118">
        <v>20</v>
      </c>
      <c r="BP216" s="1118">
        <v>17</v>
      </c>
      <c r="BQ216" s="1118">
        <v>23</v>
      </c>
      <c r="BR216" s="1118">
        <v>21</v>
      </c>
      <c r="BS216" s="1118">
        <v>73</v>
      </c>
      <c r="BT216" s="1118">
        <v>94</v>
      </c>
      <c r="BU216" s="1118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</row>
    <row r="217" spans="2:95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X217" s="460"/>
      <c r="AY217" s="460"/>
      <c r="AZ217" s="460"/>
      <c r="BA217" s="460"/>
      <c r="BB217" s="460"/>
      <c r="BC217" s="460"/>
      <c r="BD217" s="460"/>
      <c r="BE217" s="460"/>
      <c r="BF217" s="460"/>
      <c r="BH217" s="1287"/>
      <c r="BI217" s="1287"/>
      <c r="BJ217" s="1117" t="s">
        <v>1102</v>
      </c>
      <c r="BK217" s="460"/>
      <c r="BL217" s="460"/>
      <c r="BM217" s="460"/>
      <c r="BN217" s="460"/>
      <c r="BO217" s="460"/>
      <c r="BP217" s="460"/>
      <c r="BV217" s="1118">
        <v>116</v>
      </c>
      <c r="BW217" s="1118">
        <v>121</v>
      </c>
      <c r="BX217" s="1118">
        <v>121</v>
      </c>
      <c r="BY217" s="1118">
        <v>121</v>
      </c>
      <c r="BZ217" s="1118">
        <v>121</v>
      </c>
      <c r="CA217" s="1118">
        <v>121</v>
      </c>
      <c r="CB217" s="1118">
        <v>121</v>
      </c>
      <c r="CC217" s="1118">
        <v>121</v>
      </c>
      <c r="CD217" s="1118">
        <v>121</v>
      </c>
      <c r="CI217" s="460"/>
      <c r="CJ217" s="460"/>
      <c r="CK217" s="460"/>
      <c r="CL217" s="460"/>
      <c r="CM217" s="460"/>
      <c r="CN217" s="460"/>
      <c r="CO217" s="460"/>
      <c r="CP217" s="460"/>
      <c r="CQ217" s="460"/>
    </row>
    <row r="218" spans="2:95">
      <c r="AX218" s="460"/>
      <c r="AY218" s="460"/>
      <c r="AZ218" s="460"/>
      <c r="BA218" s="460"/>
      <c r="BB218" s="460"/>
      <c r="BC218" s="460"/>
      <c r="BD218" s="460"/>
      <c r="BE218" s="460"/>
      <c r="BF218" s="460"/>
      <c r="BH218" s="1287"/>
      <c r="BI218" s="1286" t="s">
        <v>1104</v>
      </c>
      <c r="BJ218" s="1117" t="s">
        <v>1101</v>
      </c>
      <c r="BK218" s="1118">
        <v>204</v>
      </c>
      <c r="BL218" s="1118">
        <v>146</v>
      </c>
      <c r="BM218" s="1118">
        <v>118</v>
      </c>
      <c r="BN218" s="1118">
        <v>121</v>
      </c>
      <c r="BO218" s="1118">
        <v>139</v>
      </c>
      <c r="BP218" s="1118">
        <v>131</v>
      </c>
      <c r="BQ218" s="1118">
        <v>146</v>
      </c>
      <c r="BR218" s="1118">
        <v>169</v>
      </c>
      <c r="BS218" s="1118">
        <v>206</v>
      </c>
      <c r="BT218" s="1118">
        <v>185</v>
      </c>
      <c r="BU218" s="1118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</row>
    <row r="219" spans="2:95">
      <c r="AX219" s="460"/>
      <c r="AY219" s="460"/>
      <c r="AZ219" s="460"/>
      <c r="BA219" s="460"/>
      <c r="BB219" s="460"/>
      <c r="BC219" s="460"/>
      <c r="BD219" s="460"/>
      <c r="BE219" s="460"/>
      <c r="BF219" s="460"/>
      <c r="BH219" s="1287"/>
      <c r="BI219" s="1287"/>
      <c r="BJ219" s="1117" t="s">
        <v>1102</v>
      </c>
      <c r="BK219" s="460"/>
      <c r="BL219" s="460"/>
      <c r="BM219" s="460"/>
      <c r="BN219" s="460"/>
      <c r="BO219" s="460"/>
      <c r="BP219" s="460"/>
      <c r="BV219" s="1118">
        <v>180</v>
      </c>
      <c r="BW219" s="1118">
        <v>181</v>
      </c>
      <c r="BX219" s="1118">
        <v>181</v>
      </c>
      <c r="BY219" s="1118">
        <v>181</v>
      </c>
      <c r="BZ219" s="1118">
        <v>181</v>
      </c>
      <c r="CA219" s="1118">
        <v>181</v>
      </c>
      <c r="CB219" s="1118">
        <v>181</v>
      </c>
      <c r="CC219" s="1118">
        <v>181</v>
      </c>
      <c r="CD219" s="1118">
        <v>181</v>
      </c>
      <c r="CI219" s="460"/>
      <c r="CJ219" s="460"/>
      <c r="CK219" s="460"/>
      <c r="CL219" s="460"/>
      <c r="CM219" s="460"/>
      <c r="CN219" s="460"/>
      <c r="CO219" s="460"/>
      <c r="CP219" s="460"/>
      <c r="CQ219" s="460"/>
    </row>
    <row r="220" spans="2:95">
      <c r="AX220" s="460"/>
      <c r="AY220" s="460"/>
      <c r="AZ220" s="460"/>
      <c r="BA220" s="460"/>
      <c r="BB220" s="460"/>
      <c r="BC220" s="460"/>
      <c r="BD220" s="460"/>
      <c r="BE220" s="460"/>
      <c r="BF220" s="460"/>
      <c r="BH220" s="1286" t="s">
        <v>928</v>
      </c>
      <c r="BI220" s="1286" t="s">
        <v>42</v>
      </c>
      <c r="BJ220" s="1117" t="s">
        <v>1101</v>
      </c>
      <c r="BK220" s="1118">
        <v>3</v>
      </c>
      <c r="BL220" s="1118">
        <v>7</v>
      </c>
      <c r="BM220" s="1118">
        <v>1</v>
      </c>
      <c r="BN220" s="1118">
        <v>3</v>
      </c>
      <c r="BO220" s="1118">
        <v>70</v>
      </c>
      <c r="BP220" s="1118">
        <v>8</v>
      </c>
      <c r="BQ220" s="1118">
        <v>25</v>
      </c>
      <c r="BR220" s="1118">
        <v>39</v>
      </c>
      <c r="BS220" s="1118">
        <v>19</v>
      </c>
      <c r="BT220" s="1118">
        <v>43</v>
      </c>
      <c r="BU220" s="1118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</row>
    <row r="221" spans="2:95">
      <c r="AX221" s="460"/>
      <c r="AY221" s="460"/>
      <c r="AZ221" s="460"/>
      <c r="BA221" s="460"/>
      <c r="BB221" s="460"/>
      <c r="BC221" s="460"/>
      <c r="BD221" s="460"/>
      <c r="BE221" s="460"/>
      <c r="BF221" s="460"/>
      <c r="BH221" s="1287"/>
      <c r="BI221" s="1287"/>
      <c r="BJ221" s="1117" t="s">
        <v>1102</v>
      </c>
      <c r="BK221" s="460"/>
      <c r="BL221" s="460"/>
      <c r="BM221" s="460"/>
      <c r="BN221" s="460"/>
      <c r="BO221" s="460"/>
      <c r="BP221" s="460"/>
      <c r="BV221" s="1118">
        <v>58</v>
      </c>
      <c r="BW221" s="1118">
        <v>34</v>
      </c>
      <c r="BX221" s="1118">
        <v>34</v>
      </c>
      <c r="BY221" s="1118">
        <v>34</v>
      </c>
      <c r="BZ221" s="1118">
        <v>34</v>
      </c>
      <c r="CA221" s="1118">
        <v>34</v>
      </c>
      <c r="CB221" s="1118">
        <v>34</v>
      </c>
      <c r="CC221" s="1118">
        <v>34</v>
      </c>
      <c r="CD221" s="1118">
        <v>34</v>
      </c>
      <c r="CI221" s="460"/>
      <c r="CJ221" s="460"/>
      <c r="CK221" s="460"/>
      <c r="CL221" s="460"/>
      <c r="CM221" s="460"/>
      <c r="CN221" s="460"/>
      <c r="CO221" s="460"/>
      <c r="CP221" s="460"/>
      <c r="CQ221" s="460"/>
    </row>
    <row r="222" spans="2:95">
      <c r="AX222" s="460"/>
      <c r="AY222" s="460"/>
      <c r="AZ222" s="460"/>
      <c r="BA222" s="460"/>
      <c r="BB222" s="460"/>
      <c r="BC222" s="460"/>
      <c r="BD222" s="460"/>
      <c r="BE222" s="460"/>
      <c r="BF222" s="460"/>
      <c r="BH222" s="1287"/>
      <c r="BI222" s="1286" t="s">
        <v>1103</v>
      </c>
      <c r="BJ222" s="1117" t="s">
        <v>1101</v>
      </c>
      <c r="BK222" s="1118">
        <v>71</v>
      </c>
      <c r="BL222" s="1118">
        <v>19</v>
      </c>
      <c r="BM222" s="1118">
        <v>24</v>
      </c>
      <c r="BN222" s="1118">
        <v>16</v>
      </c>
      <c r="BO222" s="1118">
        <v>46</v>
      </c>
      <c r="BP222" s="1118">
        <v>145</v>
      </c>
      <c r="BQ222" s="1118">
        <v>150</v>
      </c>
      <c r="BR222" s="1118">
        <v>272</v>
      </c>
      <c r="BS222" s="1118">
        <v>296</v>
      </c>
      <c r="BT222" s="1118">
        <v>295</v>
      </c>
      <c r="BU222" s="1118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</row>
    <row r="223" spans="2:95">
      <c r="AX223" s="460"/>
      <c r="AY223" s="460"/>
      <c r="AZ223" s="460"/>
      <c r="BA223" s="460"/>
      <c r="BB223" s="460"/>
      <c r="BC223" s="460"/>
      <c r="BD223" s="460"/>
      <c r="BE223" s="460"/>
      <c r="BF223" s="460"/>
      <c r="BH223" s="1287"/>
      <c r="BI223" s="1287"/>
      <c r="BJ223" s="1117" t="s">
        <v>1102</v>
      </c>
      <c r="BK223" s="460"/>
      <c r="BL223" s="460"/>
      <c r="BM223" s="460"/>
      <c r="BN223" s="460"/>
      <c r="BO223" s="460"/>
      <c r="BP223" s="460"/>
      <c r="BV223" s="1118">
        <v>393</v>
      </c>
      <c r="BW223" s="1118">
        <v>392</v>
      </c>
      <c r="BX223" s="1118">
        <v>392</v>
      </c>
      <c r="BY223" s="1118">
        <v>392</v>
      </c>
      <c r="BZ223" s="1118">
        <v>392</v>
      </c>
      <c r="CA223" s="1118">
        <v>392</v>
      </c>
      <c r="CB223" s="1118">
        <v>392</v>
      </c>
      <c r="CC223" s="1118">
        <v>392</v>
      </c>
      <c r="CD223" s="1118">
        <v>392</v>
      </c>
      <c r="CI223" s="460"/>
      <c r="CJ223" s="460"/>
      <c r="CK223" s="460"/>
      <c r="CL223" s="460"/>
      <c r="CM223" s="460"/>
      <c r="CN223" s="460"/>
      <c r="CO223" s="460"/>
      <c r="CP223" s="460"/>
      <c r="CQ223" s="460"/>
    </row>
    <row r="224" spans="2:95">
      <c r="AX224" s="460"/>
      <c r="AY224" s="460"/>
      <c r="AZ224" s="460"/>
      <c r="BA224" s="460"/>
      <c r="BB224" s="460"/>
      <c r="BC224" s="460"/>
      <c r="BD224" s="460"/>
      <c r="BE224" s="460"/>
      <c r="BF224" s="460"/>
      <c r="BH224" s="1287"/>
      <c r="BI224" s="1286" t="s">
        <v>1104</v>
      </c>
      <c r="BJ224" s="1117" t="s">
        <v>1101</v>
      </c>
      <c r="BK224" s="1118">
        <v>116</v>
      </c>
      <c r="BL224" s="1118">
        <v>72</v>
      </c>
      <c r="BM224" s="1118">
        <v>66</v>
      </c>
      <c r="BN224" s="1118">
        <v>62</v>
      </c>
      <c r="BO224" s="1118">
        <v>81</v>
      </c>
      <c r="BP224" s="1118">
        <v>70</v>
      </c>
      <c r="BQ224" s="1118">
        <v>105</v>
      </c>
      <c r="BR224" s="1118">
        <v>115</v>
      </c>
      <c r="BS224" s="1118">
        <v>123</v>
      </c>
      <c r="BT224" s="1118">
        <v>126</v>
      </c>
      <c r="BU224" s="1118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</row>
    <row r="225" spans="50:95">
      <c r="AX225" s="460"/>
      <c r="AY225" s="460"/>
      <c r="AZ225" s="460"/>
      <c r="BA225" s="460"/>
      <c r="BB225" s="460"/>
      <c r="BC225" s="460"/>
      <c r="BD225" s="460"/>
      <c r="BE225" s="460"/>
      <c r="BF225" s="460"/>
      <c r="BH225" s="1287"/>
      <c r="BI225" s="1287"/>
      <c r="BJ225" s="1117" t="s">
        <v>1102</v>
      </c>
      <c r="BK225" s="460"/>
      <c r="BL225" s="460"/>
      <c r="BM225" s="460"/>
      <c r="BN225" s="460"/>
      <c r="BO225" s="460"/>
      <c r="BP225" s="460"/>
      <c r="BV225" s="1118">
        <v>132</v>
      </c>
      <c r="BW225" s="1118">
        <v>136</v>
      </c>
      <c r="BX225" s="1118">
        <v>136</v>
      </c>
      <c r="BY225" s="1118">
        <v>136</v>
      </c>
      <c r="BZ225" s="1118">
        <v>136</v>
      </c>
      <c r="CA225" s="1118">
        <v>136</v>
      </c>
      <c r="CB225" s="1118">
        <v>136</v>
      </c>
      <c r="CC225" s="1118">
        <v>136</v>
      </c>
      <c r="CD225" s="1118">
        <v>136</v>
      </c>
      <c r="CI225" s="460"/>
      <c r="CJ225" s="460"/>
      <c r="CK225" s="460"/>
      <c r="CL225" s="460"/>
      <c r="CM225" s="460"/>
      <c r="CN225" s="460"/>
      <c r="CO225" s="460"/>
      <c r="CP225" s="460"/>
      <c r="CQ225" s="460"/>
    </row>
    <row r="226" spans="50:95">
      <c r="AX226" s="460"/>
      <c r="AY226" s="460"/>
      <c r="AZ226" s="460"/>
      <c r="BA226" s="460"/>
      <c r="BB226" s="460"/>
      <c r="BC226" s="460"/>
      <c r="BD226" s="460"/>
      <c r="BE226" s="460"/>
      <c r="BF226" s="460"/>
      <c r="BH226" s="1286" t="s">
        <v>929</v>
      </c>
      <c r="BI226" s="1286" t="s">
        <v>42</v>
      </c>
      <c r="BJ226" s="1117" t="s">
        <v>1101</v>
      </c>
      <c r="BK226" s="1118">
        <v>5</v>
      </c>
      <c r="BL226" s="1118">
        <v>1</v>
      </c>
      <c r="BM226" s="1118">
        <v>3</v>
      </c>
      <c r="BN226" s="1118">
        <v>10</v>
      </c>
      <c r="BO226" s="1118">
        <v>9</v>
      </c>
      <c r="BP226" s="1118">
        <v>5</v>
      </c>
      <c r="BQ226" s="1118">
        <v>4</v>
      </c>
      <c r="BR226" s="1118">
        <v>10</v>
      </c>
      <c r="BS226" s="1118">
        <v>13</v>
      </c>
      <c r="BT226" s="1118">
        <v>15</v>
      </c>
      <c r="BU226" s="1118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</row>
    <row r="227" spans="50:95">
      <c r="AX227" s="460"/>
      <c r="AY227" s="460"/>
      <c r="AZ227" s="460"/>
      <c r="BA227" s="460"/>
      <c r="BB227" s="460"/>
      <c r="BC227" s="460"/>
      <c r="BD227" s="460"/>
      <c r="BE227" s="460"/>
      <c r="BF227" s="460"/>
      <c r="BH227" s="1287"/>
      <c r="BI227" s="1287"/>
      <c r="BJ227" s="1117" t="s">
        <v>1102</v>
      </c>
      <c r="BK227" s="460"/>
      <c r="BL227" s="460"/>
      <c r="BM227" s="460"/>
      <c r="BN227" s="460"/>
      <c r="BO227" s="460"/>
      <c r="BP227" s="460"/>
      <c r="BV227" s="1118">
        <v>38</v>
      </c>
      <c r="BW227" s="1118">
        <v>19</v>
      </c>
      <c r="BX227" s="1118">
        <v>19</v>
      </c>
      <c r="BY227" s="1118">
        <v>19</v>
      </c>
      <c r="BZ227" s="1118">
        <v>19</v>
      </c>
      <c r="CA227" s="1118">
        <v>19</v>
      </c>
      <c r="CB227" s="1118">
        <v>19</v>
      </c>
      <c r="CC227" s="1118">
        <v>19</v>
      </c>
      <c r="CD227" s="1118">
        <v>19</v>
      </c>
      <c r="CI227" s="460"/>
      <c r="CJ227" s="460"/>
      <c r="CK227" s="460"/>
      <c r="CL227" s="460"/>
      <c r="CM227" s="460"/>
      <c r="CN227" s="460"/>
      <c r="CO227" s="460"/>
      <c r="CP227" s="460"/>
      <c r="CQ227" s="460"/>
    </row>
    <row r="228" spans="50:95">
      <c r="AX228" s="460"/>
      <c r="AY228" s="460"/>
      <c r="AZ228" s="460"/>
      <c r="BA228" s="460"/>
      <c r="BB228" s="460"/>
      <c r="BC228" s="460"/>
      <c r="BD228" s="460"/>
      <c r="BE228" s="460"/>
      <c r="BF228" s="460"/>
      <c r="BH228" s="1287"/>
      <c r="BI228" s="1286" t="s">
        <v>1103</v>
      </c>
      <c r="BJ228" s="1117" t="s">
        <v>1101</v>
      </c>
      <c r="BK228" s="1118">
        <v>22</v>
      </c>
      <c r="BL228" s="1118">
        <v>2</v>
      </c>
      <c r="BM228" s="1118">
        <v>2</v>
      </c>
      <c r="BN228" s="1118">
        <v>6</v>
      </c>
      <c r="BO228" s="1118">
        <v>11</v>
      </c>
      <c r="BP228" s="1118">
        <v>22</v>
      </c>
      <c r="BQ228" s="1118">
        <v>29</v>
      </c>
      <c r="BR228" s="1118">
        <v>36</v>
      </c>
      <c r="BS228" s="1118">
        <v>89</v>
      </c>
      <c r="BT228" s="1118">
        <v>147</v>
      </c>
      <c r="BU228" s="1118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</row>
    <row r="229" spans="50:95">
      <c r="AX229" s="460"/>
      <c r="AY229" s="460"/>
      <c r="AZ229" s="460"/>
      <c r="BA229" s="460"/>
      <c r="BB229" s="460"/>
      <c r="BC229" s="460"/>
      <c r="BD229" s="460"/>
      <c r="BE229" s="460"/>
      <c r="BF229" s="460"/>
      <c r="BH229" s="1287"/>
      <c r="BI229" s="1287"/>
      <c r="BJ229" s="1117" t="s">
        <v>1102</v>
      </c>
      <c r="BK229" s="460"/>
      <c r="BL229" s="460"/>
      <c r="BM229" s="460"/>
      <c r="BN229" s="460"/>
      <c r="BO229" s="460"/>
      <c r="BP229" s="460"/>
      <c r="BV229" s="1118">
        <v>90</v>
      </c>
      <c r="BW229" s="1118">
        <v>87</v>
      </c>
      <c r="BX229" s="1118">
        <v>87</v>
      </c>
      <c r="BY229" s="1118">
        <v>87</v>
      </c>
      <c r="BZ229" s="1118">
        <v>87</v>
      </c>
      <c r="CA229" s="1118">
        <v>87</v>
      </c>
      <c r="CB229" s="1118">
        <v>87</v>
      </c>
      <c r="CC229" s="1118">
        <v>87</v>
      </c>
      <c r="CD229" s="1118">
        <v>87</v>
      </c>
      <c r="CI229" s="460"/>
      <c r="CJ229" s="460"/>
      <c r="CK229" s="460"/>
      <c r="CL229" s="460"/>
      <c r="CM229" s="460"/>
      <c r="CN229" s="460"/>
      <c r="CO229" s="460"/>
      <c r="CP229" s="460"/>
      <c r="CQ229" s="460"/>
    </row>
    <row r="230" spans="50:95">
      <c r="AX230" s="460"/>
      <c r="AY230" s="460"/>
      <c r="AZ230" s="460"/>
      <c r="BA230" s="460"/>
      <c r="BB230" s="460"/>
      <c r="BC230" s="460"/>
      <c r="BD230" s="460"/>
      <c r="BE230" s="460"/>
      <c r="BF230" s="460"/>
      <c r="BH230" s="1287"/>
      <c r="BI230" s="1286" t="s">
        <v>1104</v>
      </c>
      <c r="BJ230" s="1117" t="s">
        <v>1101</v>
      </c>
      <c r="BK230" s="1118">
        <v>95</v>
      </c>
      <c r="BL230" s="1118">
        <v>80</v>
      </c>
      <c r="BM230" s="1118">
        <v>61</v>
      </c>
      <c r="BN230" s="1118">
        <v>68</v>
      </c>
      <c r="BO230" s="1118">
        <v>65</v>
      </c>
      <c r="BP230" s="1118">
        <v>79</v>
      </c>
      <c r="BQ230" s="1118">
        <v>99</v>
      </c>
      <c r="BR230" s="1118">
        <v>126</v>
      </c>
      <c r="BS230" s="1118">
        <v>144</v>
      </c>
      <c r="BT230" s="1118">
        <v>126</v>
      </c>
      <c r="BU230" s="1118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</row>
    <row r="231" spans="50:95">
      <c r="AX231" s="460"/>
      <c r="AY231" s="460"/>
      <c r="AZ231" s="460"/>
      <c r="BA231" s="460"/>
      <c r="BB231" s="460"/>
      <c r="BC231" s="460"/>
      <c r="BD231" s="460"/>
      <c r="BE231" s="460"/>
      <c r="BF231" s="460"/>
      <c r="BH231" s="1287"/>
      <c r="BI231" s="1287"/>
      <c r="BJ231" s="1117" t="s">
        <v>1102</v>
      </c>
      <c r="BK231" s="460"/>
      <c r="BL231" s="460"/>
      <c r="BM231" s="460"/>
      <c r="BN231" s="460"/>
      <c r="BO231" s="460"/>
      <c r="BP231" s="460"/>
      <c r="BV231" s="1118">
        <v>120</v>
      </c>
      <c r="BW231" s="1118">
        <v>123</v>
      </c>
      <c r="BX231" s="1118">
        <v>123</v>
      </c>
      <c r="BY231" s="1118">
        <v>123</v>
      </c>
      <c r="BZ231" s="1118">
        <v>123</v>
      </c>
      <c r="CA231" s="1118">
        <v>123</v>
      </c>
      <c r="CB231" s="1118">
        <v>123</v>
      </c>
      <c r="CC231" s="1118">
        <v>123</v>
      </c>
      <c r="CD231" s="1118">
        <v>123</v>
      </c>
      <c r="CI231" s="460"/>
      <c r="CJ231" s="460"/>
      <c r="CK231" s="460"/>
      <c r="CL231" s="460"/>
      <c r="CM231" s="460"/>
      <c r="CN231" s="460"/>
      <c r="CO231" s="460"/>
      <c r="CP231" s="460"/>
      <c r="CQ231" s="460"/>
    </row>
    <row r="232" spans="50:95">
      <c r="AX232" s="460"/>
      <c r="AY232" s="460"/>
      <c r="AZ232" s="460"/>
      <c r="BA232" s="460"/>
      <c r="BB232" s="460"/>
      <c r="BC232" s="460"/>
      <c r="BD232" s="460"/>
      <c r="BE232" s="460"/>
      <c r="BF232" s="460"/>
      <c r="BH232" s="1286" t="s">
        <v>931</v>
      </c>
      <c r="BI232" s="1286" t="s">
        <v>42</v>
      </c>
      <c r="BJ232" s="1117" t="s">
        <v>1101</v>
      </c>
      <c r="BK232" s="1118">
        <v>9</v>
      </c>
      <c r="BL232" s="1118">
        <v>3</v>
      </c>
      <c r="BM232" s="1118">
        <v>1</v>
      </c>
      <c r="BN232" s="1118">
        <v>0</v>
      </c>
      <c r="BO232" s="1118">
        <v>3</v>
      </c>
      <c r="BP232" s="1118">
        <v>1</v>
      </c>
      <c r="BQ232" s="1118">
        <v>6</v>
      </c>
      <c r="BR232" s="1118">
        <v>11</v>
      </c>
      <c r="BS232" s="1118">
        <v>37</v>
      </c>
      <c r="BT232" s="1118">
        <v>32</v>
      </c>
      <c r="BU232" s="1118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</row>
    <row r="233" spans="50:95">
      <c r="AX233" s="460"/>
      <c r="AY233" s="460"/>
      <c r="AZ233" s="460"/>
      <c r="BA233" s="460"/>
      <c r="BB233" s="460"/>
      <c r="BC233" s="460"/>
      <c r="BD233" s="460"/>
      <c r="BE233" s="460"/>
      <c r="BF233" s="460"/>
      <c r="BH233" s="1287"/>
      <c r="BI233" s="1287"/>
      <c r="BJ233" s="1117" t="s">
        <v>1102</v>
      </c>
      <c r="BK233" s="460"/>
      <c r="BL233" s="460"/>
      <c r="BM233" s="460"/>
      <c r="BN233" s="460"/>
      <c r="BO233" s="460"/>
      <c r="BP233" s="460"/>
      <c r="BV233" s="1118">
        <v>58</v>
      </c>
      <c r="BW233" s="1118">
        <v>84</v>
      </c>
      <c r="BX233" s="1118">
        <v>98</v>
      </c>
      <c r="BY233" s="1118">
        <v>111</v>
      </c>
      <c r="BZ233" s="1118">
        <v>125</v>
      </c>
      <c r="CA233" s="1118">
        <v>138</v>
      </c>
      <c r="CB233" s="1118">
        <v>152</v>
      </c>
      <c r="CC233" s="1118">
        <v>165</v>
      </c>
      <c r="CD233" s="1118">
        <v>179</v>
      </c>
      <c r="CI233" s="460"/>
      <c r="CJ233" s="460"/>
      <c r="CK233" s="460"/>
      <c r="CL233" s="460"/>
      <c r="CM233" s="460"/>
      <c r="CN233" s="460"/>
      <c r="CO233" s="460"/>
      <c r="CP233" s="460"/>
      <c r="CQ233" s="460"/>
    </row>
    <row r="234" spans="50:95">
      <c r="AX234" s="460"/>
      <c r="AY234" s="460"/>
      <c r="AZ234" s="460"/>
      <c r="BA234" s="460"/>
      <c r="BB234" s="460"/>
      <c r="BC234" s="460"/>
      <c r="BD234" s="460"/>
      <c r="BE234" s="460"/>
      <c r="BF234" s="460"/>
      <c r="BH234" s="1287"/>
      <c r="BI234" s="1286" t="s">
        <v>1103</v>
      </c>
      <c r="BJ234" s="1117" t="s">
        <v>1101</v>
      </c>
      <c r="BK234" s="1118">
        <v>43</v>
      </c>
      <c r="BL234" s="1118">
        <v>14</v>
      </c>
      <c r="BM234" s="1118">
        <v>17</v>
      </c>
      <c r="BN234" s="1118">
        <v>33</v>
      </c>
      <c r="BO234" s="1118">
        <v>79</v>
      </c>
      <c r="BP234" s="1118">
        <v>61</v>
      </c>
      <c r="BQ234" s="1118">
        <v>123</v>
      </c>
      <c r="BR234" s="1118">
        <v>224</v>
      </c>
      <c r="BS234" s="1118">
        <v>274</v>
      </c>
      <c r="BT234" s="1118">
        <v>316</v>
      </c>
      <c r="BU234" s="1118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</row>
    <row r="235" spans="50:95">
      <c r="AX235" s="460"/>
      <c r="AY235" s="460"/>
      <c r="AZ235" s="460"/>
      <c r="BA235" s="460"/>
      <c r="BB235" s="460"/>
      <c r="BC235" s="460"/>
      <c r="BD235" s="460"/>
      <c r="BE235" s="460"/>
      <c r="BF235" s="460"/>
      <c r="BH235" s="1287"/>
      <c r="BI235" s="1287"/>
      <c r="BJ235" s="1117" t="s">
        <v>1102</v>
      </c>
      <c r="BK235" s="460"/>
      <c r="BL235" s="460"/>
      <c r="BM235" s="460"/>
      <c r="BN235" s="460"/>
      <c r="BO235" s="460"/>
      <c r="BP235" s="460"/>
      <c r="BV235" s="1118">
        <v>558</v>
      </c>
      <c r="BW235" s="1118">
        <v>542</v>
      </c>
      <c r="BX235" s="1118">
        <v>542</v>
      </c>
      <c r="BY235" s="1118">
        <v>542</v>
      </c>
      <c r="BZ235" s="1118">
        <v>542</v>
      </c>
      <c r="CA235" s="1118">
        <v>542</v>
      </c>
      <c r="CB235" s="1118">
        <v>542</v>
      </c>
      <c r="CC235" s="1118">
        <v>542</v>
      </c>
      <c r="CD235" s="1118">
        <v>542</v>
      </c>
      <c r="CI235" s="460"/>
      <c r="CJ235" s="460"/>
      <c r="CK235" s="460"/>
      <c r="CL235" s="460"/>
      <c r="CM235" s="460"/>
      <c r="CN235" s="460"/>
      <c r="CO235" s="460"/>
      <c r="CP235" s="460"/>
      <c r="CQ235" s="460"/>
    </row>
    <row r="236" spans="50:95">
      <c r="AX236" s="460"/>
      <c r="AY236" s="460"/>
      <c r="AZ236" s="460"/>
      <c r="BA236" s="460"/>
      <c r="BB236" s="460"/>
      <c r="BC236" s="460"/>
      <c r="BD236" s="460"/>
      <c r="BE236" s="460"/>
      <c r="BF236" s="460"/>
      <c r="BH236" s="1287"/>
      <c r="BI236" s="1286" t="s">
        <v>1104</v>
      </c>
      <c r="BJ236" s="1117" t="s">
        <v>1101</v>
      </c>
      <c r="BK236" s="1118">
        <v>242</v>
      </c>
      <c r="BL236" s="1118">
        <v>173</v>
      </c>
      <c r="BM236" s="1118">
        <v>171</v>
      </c>
      <c r="BN236" s="1118">
        <v>162</v>
      </c>
      <c r="BO236" s="1118">
        <v>179</v>
      </c>
      <c r="BP236" s="1118">
        <v>198</v>
      </c>
      <c r="BQ236" s="1118">
        <v>216</v>
      </c>
      <c r="BR236" s="1118">
        <v>255</v>
      </c>
      <c r="BS236" s="1118">
        <v>273</v>
      </c>
      <c r="BT236" s="1118">
        <v>275</v>
      </c>
      <c r="BU236" s="1118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</row>
    <row r="237" spans="50:95">
      <c r="AX237" s="460"/>
      <c r="AY237" s="460"/>
      <c r="AZ237" s="460"/>
      <c r="BA237" s="460"/>
      <c r="BB237" s="460"/>
      <c r="BC237" s="460"/>
      <c r="BD237" s="460"/>
      <c r="BE237" s="460"/>
      <c r="BF237" s="460"/>
      <c r="BH237" s="1287"/>
      <c r="BI237" s="1287"/>
      <c r="BJ237" s="1117" t="s">
        <v>1102</v>
      </c>
      <c r="BK237" s="460"/>
      <c r="BL237" s="460"/>
      <c r="BM237" s="460"/>
      <c r="BN237" s="460"/>
      <c r="BO237" s="460"/>
      <c r="BP237" s="460"/>
      <c r="BV237" s="1118">
        <v>265</v>
      </c>
      <c r="BW237" s="1118">
        <v>268</v>
      </c>
      <c r="BX237" s="1118">
        <v>268</v>
      </c>
      <c r="BY237" s="1118">
        <v>268</v>
      </c>
      <c r="BZ237" s="1118">
        <v>268</v>
      </c>
      <c r="CA237" s="1118">
        <v>268</v>
      </c>
      <c r="CB237" s="1118">
        <v>268</v>
      </c>
      <c r="CC237" s="1118">
        <v>268</v>
      </c>
      <c r="CD237" s="1118">
        <v>268</v>
      </c>
      <c r="CI237" s="460"/>
      <c r="CJ237" s="460"/>
      <c r="CK237" s="460"/>
      <c r="CL237" s="460"/>
      <c r="CM237" s="460"/>
      <c r="CN237" s="460"/>
      <c r="CO237" s="460"/>
      <c r="CP237" s="460"/>
      <c r="CQ237" s="460"/>
    </row>
    <row r="238" spans="50:95">
      <c r="AX238" s="460"/>
      <c r="AY238" s="460"/>
      <c r="AZ238" s="460"/>
      <c r="BA238" s="460"/>
      <c r="BB238" s="460"/>
      <c r="BC238" s="460"/>
      <c r="BD238" s="460"/>
      <c r="BE238" s="460"/>
      <c r="BF238" s="460"/>
      <c r="BH238" s="1286" t="s">
        <v>930</v>
      </c>
      <c r="BI238" s="1286" t="s">
        <v>42</v>
      </c>
      <c r="BJ238" s="1117" t="s">
        <v>1101</v>
      </c>
      <c r="BK238" s="1118">
        <v>32</v>
      </c>
      <c r="BL238" s="1118">
        <v>21</v>
      </c>
      <c r="BM238" s="1118">
        <v>7</v>
      </c>
      <c r="BN238" s="1118">
        <v>3</v>
      </c>
      <c r="BO238" s="1118">
        <v>17</v>
      </c>
      <c r="BP238" s="1118">
        <v>9</v>
      </c>
      <c r="BQ238" s="1118">
        <v>22</v>
      </c>
      <c r="BR238" s="1118">
        <v>19</v>
      </c>
      <c r="BS238" s="1118">
        <v>146</v>
      </c>
      <c r="BT238" s="1118">
        <v>134</v>
      </c>
      <c r="BU238" s="1118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</row>
    <row r="239" spans="50:95">
      <c r="AX239" s="460"/>
      <c r="AY239" s="460"/>
      <c r="AZ239" s="460"/>
      <c r="BA239" s="460"/>
      <c r="BB239" s="460"/>
      <c r="BC239" s="460"/>
      <c r="BD239" s="460"/>
      <c r="BE239" s="460"/>
      <c r="BF239" s="460"/>
      <c r="BH239" s="1287"/>
      <c r="BI239" s="1287"/>
      <c r="BJ239" s="1117" t="s">
        <v>1102</v>
      </c>
      <c r="BK239" s="460"/>
      <c r="BL239" s="460"/>
      <c r="BM239" s="460"/>
      <c r="BN239" s="460"/>
      <c r="BO239" s="460"/>
      <c r="BP239" s="460"/>
      <c r="BV239" s="1118">
        <v>88</v>
      </c>
      <c r="BW239" s="1118">
        <v>110</v>
      </c>
      <c r="BX239" s="1118">
        <v>110</v>
      </c>
      <c r="BY239" s="1118">
        <v>110</v>
      </c>
      <c r="BZ239" s="1118">
        <v>110</v>
      </c>
      <c r="CA239" s="1118">
        <v>110</v>
      </c>
      <c r="CB239" s="1118">
        <v>110</v>
      </c>
      <c r="CC239" s="1118">
        <v>110</v>
      </c>
      <c r="CD239" s="1118">
        <v>110</v>
      </c>
      <c r="CI239" s="460"/>
      <c r="CJ239" s="460"/>
      <c r="CK239" s="460"/>
      <c r="CL239" s="460"/>
      <c r="CM239" s="460"/>
      <c r="CN239" s="460"/>
      <c r="CO239" s="460"/>
      <c r="CP239" s="460"/>
      <c r="CQ239" s="460"/>
    </row>
    <row r="240" spans="50:95">
      <c r="AX240" s="460"/>
      <c r="AY240" s="460"/>
      <c r="AZ240" s="460"/>
      <c r="BA240" s="460"/>
      <c r="BB240" s="460"/>
      <c r="BC240" s="460"/>
      <c r="BD240" s="460"/>
      <c r="BE240" s="460"/>
      <c r="BF240" s="460"/>
      <c r="BH240" s="1287"/>
      <c r="BI240" s="1286" t="s">
        <v>1103</v>
      </c>
      <c r="BJ240" s="1117" t="s">
        <v>1101</v>
      </c>
      <c r="BK240" s="1118">
        <v>53</v>
      </c>
      <c r="BL240" s="1118">
        <v>43</v>
      </c>
      <c r="BM240" s="1118">
        <v>48</v>
      </c>
      <c r="BN240" s="1118">
        <v>65</v>
      </c>
      <c r="BO240" s="1118">
        <v>171</v>
      </c>
      <c r="BP240" s="1118">
        <v>239</v>
      </c>
      <c r="BQ240" s="1118">
        <v>323</v>
      </c>
      <c r="BR240" s="1118">
        <v>444</v>
      </c>
      <c r="BS240" s="1118">
        <v>818</v>
      </c>
      <c r="BT240" s="1118">
        <v>784</v>
      </c>
      <c r="BU240" s="1118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</row>
    <row r="241" spans="50:95">
      <c r="AX241" s="460"/>
      <c r="AY241" s="460"/>
      <c r="AZ241" s="460"/>
      <c r="BA241" s="460"/>
      <c r="BB241" s="460"/>
      <c r="BC241" s="460"/>
      <c r="BD241" s="460"/>
      <c r="BE241" s="460"/>
      <c r="BF241" s="460"/>
      <c r="BH241" s="1287"/>
      <c r="BI241" s="1287"/>
      <c r="BJ241" s="1117" t="s">
        <v>1102</v>
      </c>
      <c r="BK241" s="460"/>
      <c r="BL241" s="460"/>
      <c r="BM241" s="460"/>
      <c r="BN241" s="460"/>
      <c r="BO241" s="460"/>
      <c r="BP241" s="460"/>
      <c r="BV241" s="1118">
        <v>814</v>
      </c>
      <c r="BW241" s="1118">
        <v>765</v>
      </c>
      <c r="BX241" s="1118">
        <v>765</v>
      </c>
      <c r="BY241" s="1118">
        <v>765</v>
      </c>
      <c r="BZ241" s="1118">
        <v>765</v>
      </c>
      <c r="CA241" s="1118">
        <v>765</v>
      </c>
      <c r="CB241" s="1118">
        <v>765</v>
      </c>
      <c r="CC241" s="1118">
        <v>765</v>
      </c>
      <c r="CD241" s="1118">
        <v>765</v>
      </c>
      <c r="CI241" s="460"/>
      <c r="CJ241" s="460"/>
      <c r="CK241" s="460"/>
      <c r="CL241" s="460"/>
      <c r="CM241" s="460"/>
      <c r="CN241" s="460"/>
      <c r="CO241" s="460"/>
      <c r="CP241" s="460"/>
      <c r="CQ241" s="460"/>
    </row>
    <row r="242" spans="50:95">
      <c r="AX242" s="460"/>
      <c r="AY242" s="460"/>
      <c r="AZ242" s="460"/>
      <c r="BA242" s="460"/>
      <c r="BB242" s="460"/>
      <c r="BC242" s="460"/>
      <c r="BD242" s="460"/>
      <c r="BE242" s="460"/>
      <c r="BF242" s="460"/>
      <c r="BH242" s="1287"/>
      <c r="BI242" s="1286" t="s">
        <v>1104</v>
      </c>
      <c r="BJ242" s="1117" t="s">
        <v>1101</v>
      </c>
      <c r="BK242" s="1118">
        <v>133</v>
      </c>
      <c r="BL242" s="1118">
        <v>85</v>
      </c>
      <c r="BM242" s="1118">
        <v>83</v>
      </c>
      <c r="BN242" s="1118">
        <v>87</v>
      </c>
      <c r="BO242" s="1118">
        <v>105</v>
      </c>
      <c r="BP242" s="1118">
        <v>107</v>
      </c>
      <c r="BQ242" s="1118">
        <v>133</v>
      </c>
      <c r="BR242" s="1118">
        <v>124</v>
      </c>
      <c r="BS242" s="1118">
        <v>151</v>
      </c>
      <c r="BT242" s="1118">
        <v>125</v>
      </c>
      <c r="BU242" s="1118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</row>
    <row r="243" spans="50:95">
      <c r="AX243" s="460"/>
      <c r="AY243" s="460"/>
      <c r="AZ243" s="460"/>
      <c r="BA243" s="460"/>
      <c r="BB243" s="460"/>
      <c r="BC243" s="460"/>
      <c r="BD243" s="460"/>
      <c r="BE243" s="460"/>
      <c r="BF243" s="460"/>
      <c r="BH243" s="1287"/>
      <c r="BI243" s="1287"/>
      <c r="BJ243" s="1117" t="s">
        <v>1102</v>
      </c>
      <c r="BK243" s="460"/>
      <c r="BL243" s="460"/>
      <c r="BM243" s="460"/>
      <c r="BN243" s="460"/>
      <c r="BO243" s="460"/>
      <c r="BP243" s="460"/>
      <c r="BV243" s="1118">
        <v>116</v>
      </c>
      <c r="BW243" s="1118">
        <v>124</v>
      </c>
      <c r="BX243" s="1118">
        <v>124</v>
      </c>
      <c r="BY243" s="1118">
        <v>124</v>
      </c>
      <c r="BZ243" s="1118">
        <v>124</v>
      </c>
      <c r="CA243" s="1118">
        <v>124</v>
      </c>
      <c r="CB243" s="1118">
        <v>124</v>
      </c>
      <c r="CC243" s="1118">
        <v>124</v>
      </c>
      <c r="CD243" s="1118">
        <v>124</v>
      </c>
      <c r="CI243" s="460"/>
      <c r="CJ243" s="460"/>
      <c r="CK243" s="460"/>
      <c r="CL243" s="460"/>
      <c r="CM243" s="460"/>
      <c r="CN243" s="460"/>
      <c r="CO243" s="460"/>
      <c r="CP243" s="460"/>
      <c r="CQ243" s="460"/>
    </row>
    <row r="244" spans="50:95">
      <c r="AX244" s="460"/>
      <c r="AY244" s="460"/>
      <c r="AZ244" s="460"/>
      <c r="BA244" s="460"/>
      <c r="BB244" s="460"/>
      <c r="BC244" s="460"/>
      <c r="BD244" s="460"/>
      <c r="BE244" s="460"/>
      <c r="BF244" s="460"/>
      <c r="BQ244" s="32"/>
      <c r="BR244" s="32"/>
      <c r="BS244" s="32"/>
      <c r="BT244" s="32"/>
      <c r="BU244" s="32"/>
      <c r="BV244" s="32"/>
      <c r="BW244" s="32"/>
      <c r="BX244" s="32"/>
      <c r="BY244" s="32"/>
      <c r="CI244" s="460"/>
      <c r="CJ244" s="460"/>
      <c r="CK244" s="460"/>
      <c r="CL244" s="460"/>
      <c r="CM244" s="460"/>
      <c r="CN244" s="460"/>
      <c r="CO244" s="460"/>
      <c r="CP244" s="460"/>
      <c r="CQ244" s="460"/>
    </row>
    <row r="245" spans="50:95">
      <c r="AX245" s="460"/>
      <c r="AY245" s="460"/>
      <c r="AZ245" s="460"/>
      <c r="BA245" s="460"/>
      <c r="BB245" s="460"/>
      <c r="BC245" s="460"/>
      <c r="BD245" s="460"/>
      <c r="BE245" s="460"/>
      <c r="BF245" s="460"/>
      <c r="BQ245" s="32"/>
      <c r="BR245" s="32"/>
      <c r="BS245" s="32"/>
      <c r="BT245" s="32"/>
      <c r="BU245" s="32"/>
      <c r="BV245" s="32"/>
      <c r="BW245" s="32"/>
      <c r="BX245" s="32"/>
      <c r="BY245" s="32"/>
      <c r="CI245" s="460"/>
      <c r="CJ245" s="460"/>
      <c r="CK245" s="460"/>
      <c r="CL245" s="460"/>
      <c r="CM245" s="460"/>
      <c r="CN245" s="460"/>
      <c r="CO245" s="460"/>
      <c r="CP245" s="460"/>
      <c r="CQ245" s="460"/>
    </row>
    <row r="246" spans="50:95">
      <c r="AX246" s="460"/>
      <c r="AY246" s="460"/>
      <c r="AZ246" s="460"/>
      <c r="BD246" s="460"/>
      <c r="BE246" s="460"/>
      <c r="BF246" s="460"/>
      <c r="BQ246" s="32"/>
      <c r="BR246" s="32"/>
      <c r="BS246" s="32"/>
      <c r="BT246" s="32"/>
      <c r="BU246" s="32"/>
      <c r="BV246" s="32"/>
      <c r="CI246" s="460"/>
      <c r="CJ246" s="460"/>
      <c r="CK246" s="460"/>
      <c r="CL246" s="460"/>
      <c r="CM246" s="460"/>
      <c r="CN246" s="460"/>
    </row>
    <row r="247" spans="50:95">
      <c r="AX247" s="460"/>
      <c r="AY247" s="460"/>
      <c r="AZ247" s="460"/>
      <c r="BJ247" s="460"/>
      <c r="BK247" s="460"/>
      <c r="BL247" s="460"/>
      <c r="BQ247" s="32"/>
      <c r="BR247" s="32"/>
      <c r="BS247" s="32"/>
      <c r="BT247" s="32"/>
      <c r="BU247" s="32"/>
      <c r="BV247" s="32"/>
      <c r="CI247" s="460"/>
      <c r="CJ247" s="460"/>
      <c r="CK247" s="460"/>
      <c r="CL247" s="460"/>
      <c r="CM247" s="460"/>
      <c r="CN247" s="460"/>
    </row>
    <row r="248" spans="50:95">
      <c r="AX248" s="460"/>
      <c r="AY248" s="460"/>
      <c r="AZ248" s="460"/>
      <c r="BQ248" s="32"/>
      <c r="BR248" s="32"/>
      <c r="BS248" s="32"/>
      <c r="CI248" s="460"/>
      <c r="CJ248" s="460"/>
      <c r="CK248" s="460"/>
    </row>
    <row r="249" spans="50:95">
      <c r="AX249" s="460"/>
      <c r="AY249" s="460"/>
      <c r="AZ249" s="460"/>
      <c r="BQ249" s="32"/>
      <c r="BR249" s="32"/>
      <c r="BS249" s="32"/>
      <c r="CI249" s="460"/>
      <c r="CJ249" s="460"/>
      <c r="CK249" s="460"/>
    </row>
    <row r="250" spans="50:95">
      <c r="AX250" s="460"/>
      <c r="AY250" s="460"/>
      <c r="AZ250" s="460"/>
    </row>
    <row r="251" spans="50:95">
      <c r="AX251" s="460"/>
      <c r="AY251" s="460"/>
      <c r="AZ251" s="460"/>
    </row>
    <row r="252" spans="50:95">
      <c r="AX252" s="460"/>
      <c r="AY252" s="460"/>
      <c r="AZ252" s="460"/>
    </row>
    <row r="253" spans="50:95">
      <c r="AX253" s="460"/>
      <c r="AY253" s="460"/>
      <c r="AZ253" s="460"/>
    </row>
    <row r="254" spans="50:95">
      <c r="AX254" s="460"/>
      <c r="AY254" s="460"/>
      <c r="AZ254" s="460"/>
    </row>
    <row r="255" spans="50:95">
      <c r="AX255" s="460"/>
      <c r="AY255" s="460"/>
      <c r="AZ255" s="460"/>
      <c r="BQ255" s="32"/>
      <c r="BR255" s="32"/>
      <c r="BS255" s="32"/>
      <c r="CI255" s="460"/>
      <c r="CJ255" s="460"/>
      <c r="CK255" s="460"/>
    </row>
    <row r="256" spans="50:95">
      <c r="AX256" s="460"/>
      <c r="AY256" s="460"/>
      <c r="AZ256" s="460"/>
      <c r="BQ256" s="32"/>
      <c r="BR256" s="32"/>
      <c r="BS256" s="32"/>
      <c r="CI256" s="460"/>
      <c r="CJ256" s="460"/>
      <c r="CK256" s="460"/>
    </row>
    <row r="257" spans="50:89">
      <c r="AX257" s="460"/>
      <c r="AY257" s="460"/>
      <c r="AZ257" s="460"/>
      <c r="BQ257" s="32"/>
      <c r="BR257" s="32"/>
      <c r="BS257" s="32"/>
      <c r="CI257" s="460"/>
      <c r="CJ257" s="460"/>
      <c r="CK257" s="460"/>
    </row>
    <row r="258" spans="50:89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50:89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50:89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50:89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50:89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0">
    <mergeCell ref="BH238:BH243"/>
    <mergeCell ref="BI238:BI239"/>
    <mergeCell ref="BI240:BI241"/>
    <mergeCell ref="BI242:BI243"/>
    <mergeCell ref="BH226:BH231"/>
    <mergeCell ref="BI226:BI227"/>
    <mergeCell ref="BI228:BI229"/>
    <mergeCell ref="BI230:BI231"/>
    <mergeCell ref="BH232:BH237"/>
    <mergeCell ref="BI232:BI233"/>
    <mergeCell ref="BI234:BI235"/>
    <mergeCell ref="BI236:BI237"/>
    <mergeCell ref="BI224:BI225"/>
    <mergeCell ref="BH202:BH207"/>
    <mergeCell ref="BI202:BI203"/>
    <mergeCell ref="BI204:BI205"/>
    <mergeCell ref="BI206:BI207"/>
    <mergeCell ref="BH208:BH213"/>
    <mergeCell ref="BI208:BI209"/>
    <mergeCell ref="BI210:BI211"/>
    <mergeCell ref="BI212:BI213"/>
    <mergeCell ref="BH214:BH219"/>
    <mergeCell ref="BI214:BI215"/>
    <mergeCell ref="BI216:BI217"/>
    <mergeCell ref="BI218:BI219"/>
    <mergeCell ref="BH220:BH225"/>
    <mergeCell ref="BI220:BI221"/>
    <mergeCell ref="BI222:BI223"/>
    <mergeCell ref="BH190:BH195"/>
    <mergeCell ref="BI190:BI191"/>
    <mergeCell ref="BI192:BI193"/>
    <mergeCell ref="BI194:BI195"/>
    <mergeCell ref="BH196:BH201"/>
    <mergeCell ref="BI196:BI197"/>
    <mergeCell ref="BI198:BI199"/>
    <mergeCell ref="BI200:BI201"/>
    <mergeCell ref="BH178:BH183"/>
    <mergeCell ref="BI178:BI179"/>
    <mergeCell ref="BI180:BI181"/>
    <mergeCell ref="BI182:BI183"/>
    <mergeCell ref="BH184:BH189"/>
    <mergeCell ref="BI184:BI185"/>
    <mergeCell ref="BI186:BI187"/>
    <mergeCell ref="BI188:BI189"/>
    <mergeCell ref="BH166:BH171"/>
    <mergeCell ref="BI166:BI167"/>
    <mergeCell ref="BI168:BI169"/>
    <mergeCell ref="BI170:BI171"/>
    <mergeCell ref="BH172:BH177"/>
    <mergeCell ref="BI172:BI173"/>
    <mergeCell ref="BI174:BI175"/>
    <mergeCell ref="BI176:BI177"/>
    <mergeCell ref="BH154:BH159"/>
    <mergeCell ref="BI154:BI155"/>
    <mergeCell ref="BI156:BI157"/>
    <mergeCell ref="BI158:BI159"/>
    <mergeCell ref="BH160:BH165"/>
    <mergeCell ref="BI160:BI161"/>
    <mergeCell ref="BI162:BI163"/>
    <mergeCell ref="BI164:BI165"/>
    <mergeCell ref="BH142:BH147"/>
    <mergeCell ref="BI142:BI143"/>
    <mergeCell ref="BI144:BI145"/>
    <mergeCell ref="BI146:BI147"/>
    <mergeCell ref="BH148:BH153"/>
    <mergeCell ref="BI148:BI149"/>
    <mergeCell ref="BI150:BI151"/>
    <mergeCell ref="BI152:BI153"/>
    <mergeCell ref="BH130:BH135"/>
    <mergeCell ref="BI130:BI131"/>
    <mergeCell ref="BI132:BI133"/>
    <mergeCell ref="BI134:BI135"/>
    <mergeCell ref="BH136:BH141"/>
    <mergeCell ref="BI136:BI137"/>
    <mergeCell ref="BI138:BI139"/>
    <mergeCell ref="BI140:BI141"/>
    <mergeCell ref="BI118:BI119"/>
    <mergeCell ref="BI120:BI121"/>
    <mergeCell ref="BH124:BH129"/>
    <mergeCell ref="BI124:BI125"/>
    <mergeCell ref="BI126:BI127"/>
    <mergeCell ref="BI128:BI129"/>
    <mergeCell ref="BH106:BH111"/>
    <mergeCell ref="BI106:BI107"/>
    <mergeCell ref="BI108:BI109"/>
    <mergeCell ref="BI110:BI111"/>
    <mergeCell ref="BH112:BH117"/>
    <mergeCell ref="BI112:BI113"/>
    <mergeCell ref="BI114:BI115"/>
    <mergeCell ref="BI116:BI117"/>
    <mergeCell ref="BH94:BH99"/>
    <mergeCell ref="BI94:BI95"/>
    <mergeCell ref="BI96:BI97"/>
    <mergeCell ref="BI98:BI99"/>
    <mergeCell ref="BH100:BH105"/>
    <mergeCell ref="BI100:BI101"/>
    <mergeCell ref="BI102:BI103"/>
    <mergeCell ref="BI104:BI105"/>
    <mergeCell ref="BH88:BH93"/>
    <mergeCell ref="BI88:BI89"/>
    <mergeCell ref="BI90:BI91"/>
    <mergeCell ref="BI92:BI93"/>
    <mergeCell ref="BD87:BF87"/>
    <mergeCell ref="AM50:AR50"/>
    <mergeCell ref="AB82:AF83"/>
    <mergeCell ref="M48:O48"/>
    <mergeCell ref="AN87:AR87"/>
    <mergeCell ref="AU87:AW87"/>
    <mergeCell ref="B48:L48"/>
    <mergeCell ref="H17:L17"/>
    <mergeCell ref="W16:Y16"/>
    <mergeCell ref="Z16:AB16"/>
    <mergeCell ref="S82:Z82"/>
    <mergeCell ref="I31:CH31"/>
    <mergeCell ref="N17:R17"/>
    <mergeCell ref="BH86:CD86"/>
    <mergeCell ref="AX87:AZ87"/>
    <mergeCell ref="BA87:BC87"/>
    <mergeCell ref="AX86:BC86"/>
    <mergeCell ref="BD86:BF86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88" t="s">
        <v>411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478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88" t="s">
        <v>480</v>
      </c>
      <c r="B1" s="1288"/>
      <c r="C1" s="1288"/>
      <c r="D1" s="1288"/>
      <c r="E1" s="1288"/>
      <c r="F1" s="1288"/>
      <c r="G1" s="1288"/>
      <c r="H1" s="1288"/>
      <c r="I1" s="1288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2022-06-10T14:48:33Z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621297180652618</vt:r8>
  </property>
</Properties>
</file>