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F36BF26D-2C72-4816-99DA-745B1EEEF5D3}" xr6:coauthVersionLast="47" xr6:coauthVersionMax="47" xr10:uidLastSave="{00000000-0000-0000-0000-000000000000}"/>
  <bookViews>
    <workbookView xWindow="-120" yWindow="-120" windowWidth="29040" windowHeight="15720" firstSheet="3" activeTab="4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24" l="1"/>
  <c r="E13" i="24"/>
  <c r="E12" i="24"/>
  <c r="E11" i="24"/>
  <c r="E10" i="24"/>
  <c r="T15" i="8"/>
  <c r="Y60" i="30"/>
  <c r="Y54" i="30"/>
  <c r="U15" i="14"/>
  <c r="V15" i="14"/>
  <c r="W15" i="14"/>
  <c r="X15" i="14"/>
  <c r="T15" i="14"/>
  <c r="U4" i="14"/>
  <c r="V4" i="14"/>
  <c r="W4" i="14"/>
  <c r="X4" i="14"/>
  <c r="T4" i="14"/>
  <c r="T58" i="30"/>
  <c r="V54" i="30"/>
  <c r="W54" i="30"/>
  <c r="X54" i="30"/>
  <c r="U54" i="30"/>
  <c r="V52" i="30"/>
  <c r="W52" i="30"/>
  <c r="X52" i="30"/>
  <c r="Y52" i="30"/>
  <c r="U52" i="30"/>
  <c r="V62" i="30"/>
  <c r="W62" i="30"/>
  <c r="X62" i="30"/>
  <c r="Y62" i="30"/>
  <c r="U62" i="30"/>
  <c r="J55" i="30"/>
  <c r="I55" i="30"/>
  <c r="H55" i="30"/>
  <c r="G55" i="30"/>
  <c r="F55" i="30"/>
  <c r="G16" i="31"/>
  <c r="H16" i="31"/>
  <c r="I16" i="31"/>
  <c r="J16" i="31"/>
  <c r="F16" i="31"/>
  <c r="U23" i="23"/>
  <c r="V23" i="23"/>
  <c r="W23" i="23"/>
  <c r="X23" i="23"/>
  <c r="T23" i="23"/>
  <c r="J140" i="15"/>
  <c r="I136" i="15"/>
  <c r="D139" i="15"/>
  <c r="D134" i="15"/>
  <c r="K139" i="15"/>
  <c r="G4" i="30"/>
  <c r="B2" i="30"/>
  <c r="U9" i="31"/>
  <c r="V9" i="31"/>
  <c r="W9" i="31"/>
  <c r="X9" i="31"/>
  <c r="T9" i="31"/>
  <c r="U14" i="31"/>
  <c r="V14" i="31"/>
  <c r="W14" i="31"/>
  <c r="X14" i="31"/>
  <c r="T14" i="31"/>
  <c r="U20" i="31"/>
  <c r="V20" i="31"/>
  <c r="W20" i="31"/>
  <c r="X20" i="31"/>
  <c r="T20" i="31"/>
  <c r="U25" i="31"/>
  <c r="V25" i="31"/>
  <c r="W25" i="31"/>
  <c r="X25" i="31"/>
  <c r="T25" i="31"/>
  <c r="J12" i="31"/>
  <c r="X12" i="31" s="1"/>
  <c r="I12" i="31"/>
  <c r="H12" i="31"/>
  <c r="V12" i="31" s="1"/>
  <c r="G12" i="31"/>
  <c r="U12" i="31" s="1"/>
  <c r="F12" i="31"/>
  <c r="T23" i="31" s="1"/>
  <c r="J13" i="31"/>
  <c r="I13" i="31"/>
  <c r="H13" i="31"/>
  <c r="G13" i="31"/>
  <c r="F13" i="31"/>
  <c r="J14" i="31"/>
  <c r="I14" i="31"/>
  <c r="H14" i="31"/>
  <c r="G14" i="31"/>
  <c r="F14" i="31"/>
  <c r="J9" i="31"/>
  <c r="I9" i="31"/>
  <c r="H9" i="31"/>
  <c r="G9" i="31"/>
  <c r="F9" i="31"/>
  <c r="J4" i="31"/>
  <c r="I4" i="31"/>
  <c r="W4" i="31" s="1"/>
  <c r="H4" i="31"/>
  <c r="G4" i="31"/>
  <c r="U15" i="31" s="1"/>
  <c r="F4" i="31"/>
  <c r="T4" i="31" s="1"/>
  <c r="S25" i="31"/>
  <c r="S24" i="31"/>
  <c r="X23" i="31"/>
  <c r="W23" i="31"/>
  <c r="U23" i="31"/>
  <c r="S23" i="31"/>
  <c r="T21" i="31"/>
  <c r="S21" i="31"/>
  <c r="S20" i="31"/>
  <c r="S19" i="31"/>
  <c r="V18" i="31"/>
  <c r="U18" i="31"/>
  <c r="S18" i="31"/>
  <c r="S17" i="31"/>
  <c r="S16" i="31"/>
  <c r="X15" i="31"/>
  <c r="W15" i="31"/>
  <c r="S15" i="31"/>
  <c r="S14" i="31"/>
  <c r="S13" i="31"/>
  <c r="S12" i="31"/>
  <c r="S10" i="31"/>
  <c r="S9" i="31"/>
  <c r="S8" i="31"/>
  <c r="S7" i="31"/>
  <c r="X6" i="31"/>
  <c r="W6" i="31"/>
  <c r="V6" i="31"/>
  <c r="S6" i="31"/>
  <c r="S5" i="31"/>
  <c r="S4" i="31"/>
  <c r="X13" i="31"/>
  <c r="W13" i="31"/>
  <c r="V13" i="31"/>
  <c r="U13" i="31"/>
  <c r="T13" i="31"/>
  <c r="W12" i="31"/>
  <c r="J11" i="31"/>
  <c r="I11" i="31"/>
  <c r="H11" i="31"/>
  <c r="G11" i="31"/>
  <c r="F11" i="31"/>
  <c r="J10" i="31"/>
  <c r="X10" i="31" s="1"/>
  <c r="I10" i="31"/>
  <c r="W10" i="31" s="1"/>
  <c r="H10" i="31"/>
  <c r="V10" i="31" s="1"/>
  <c r="G10" i="31"/>
  <c r="U10" i="31" s="1"/>
  <c r="F10" i="31"/>
  <c r="T10" i="31" s="1"/>
  <c r="J8" i="31"/>
  <c r="X8" i="31" s="1"/>
  <c r="I8" i="31"/>
  <c r="W8" i="31" s="1"/>
  <c r="H8" i="31"/>
  <c r="V8" i="31" s="1"/>
  <c r="G8" i="31"/>
  <c r="U8" i="31" s="1"/>
  <c r="F8" i="31"/>
  <c r="T8" i="31" s="1"/>
  <c r="J7" i="31"/>
  <c r="X7" i="31" s="1"/>
  <c r="I7" i="31"/>
  <c r="W7" i="31" s="1"/>
  <c r="H7" i="31"/>
  <c r="V7" i="31" s="1"/>
  <c r="G7" i="31"/>
  <c r="U7" i="31" s="1"/>
  <c r="F7" i="31"/>
  <c r="T7" i="31" s="1"/>
  <c r="J6" i="31"/>
  <c r="X17" i="31" s="1"/>
  <c r="I6" i="31"/>
  <c r="W17" i="31" s="1"/>
  <c r="H6" i="31"/>
  <c r="V17" i="31" s="1"/>
  <c r="G6" i="31"/>
  <c r="U6" i="31" s="1"/>
  <c r="F6" i="31"/>
  <c r="T6" i="31" s="1"/>
  <c r="J5" i="31"/>
  <c r="X5" i="31" s="1"/>
  <c r="I5" i="31"/>
  <c r="W5" i="31" s="1"/>
  <c r="H5" i="31"/>
  <c r="V5" i="31" s="1"/>
  <c r="G5" i="31"/>
  <c r="U5" i="31" s="1"/>
  <c r="F5" i="31"/>
  <c r="T5" i="31" s="1"/>
  <c r="X4" i="31"/>
  <c r="V4" i="31"/>
  <c r="T15" i="31"/>
  <c r="E14" i="31"/>
  <c r="E13" i="31"/>
  <c r="E12" i="31"/>
  <c r="E11" i="31"/>
  <c r="E10" i="31"/>
  <c r="E9" i="31"/>
  <c r="E8" i="31"/>
  <c r="E7" i="31"/>
  <c r="E6" i="31"/>
  <c r="E5" i="31"/>
  <c r="E4" i="31"/>
  <c r="H129" i="15"/>
  <c r="AH129" i="15" s="1"/>
  <c r="AG128" i="15"/>
  <c r="AF128" i="15"/>
  <c r="AE128" i="15"/>
  <c r="AD128" i="15"/>
  <c r="Y128" i="15"/>
  <c r="V128" i="15"/>
  <c r="U128" i="15"/>
  <c r="T128" i="15"/>
  <c r="Q128" i="15"/>
  <c r="I128" i="15"/>
  <c r="H128" i="15"/>
  <c r="AC128" i="15" s="1"/>
  <c r="AA127" i="15"/>
  <c r="H127" i="15"/>
  <c r="X127" i="15" s="1"/>
  <c r="AE126" i="15"/>
  <c r="Z126" i="15"/>
  <c r="Y126" i="15"/>
  <c r="U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G122" i="15"/>
  <c r="AF122" i="15"/>
  <c r="AE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B121" i="15"/>
  <c r="AA121" i="15"/>
  <c r="Z121" i="15"/>
  <c r="Y121" i="15"/>
  <c r="T121" i="15"/>
  <c r="S121" i="15"/>
  <c r="Q121" i="15"/>
  <c r="P121" i="15"/>
  <c r="O121" i="15"/>
  <c r="N121" i="15"/>
  <c r="L121" i="15"/>
  <c r="K121" i="15"/>
  <c r="J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Y107" i="15"/>
  <c r="H107" i="15"/>
  <c r="X107" i="15" s="1"/>
  <c r="H106" i="15"/>
  <c r="AH105" i="15"/>
  <c r="AG105" i="15"/>
  <c r="W105" i="15"/>
  <c r="P105" i="15"/>
  <c r="K105" i="15"/>
  <c r="H105" i="15"/>
  <c r="AE105" i="15" s="1"/>
  <c r="AH104" i="15"/>
  <c r="AG104" i="15"/>
  <c r="AF104" i="15"/>
  <c r="M104" i="15"/>
  <c r="L104" i="15"/>
  <c r="K104" i="15"/>
  <c r="H104" i="15"/>
  <c r="Z104" i="15" s="1"/>
  <c r="H103" i="15"/>
  <c r="H102" i="15"/>
  <c r="AF102" i="15" s="1"/>
  <c r="AE101" i="15"/>
  <c r="AC101" i="15"/>
  <c r="AB101" i="15"/>
  <c r="W101" i="15"/>
  <c r="V101" i="15"/>
  <c r="T101" i="15"/>
  <c r="R101" i="15"/>
  <c r="N101" i="15"/>
  <c r="H101" i="15"/>
  <c r="AA101" i="15" s="1"/>
  <c r="AD100" i="15"/>
  <c r="AB100" i="15"/>
  <c r="Z100" i="15"/>
  <c r="Y100" i="15"/>
  <c r="W100" i="15"/>
  <c r="N100" i="15"/>
  <c r="L100" i="15"/>
  <c r="I100" i="15"/>
  <c r="H100" i="15"/>
  <c r="V100" i="15" s="1"/>
  <c r="W99" i="15"/>
  <c r="H99" i="15"/>
  <c r="AG99" i="15" s="1"/>
  <c r="AH98" i="15"/>
  <c r="AF98" i="15"/>
  <c r="AE98" i="15"/>
  <c r="AD98" i="15"/>
  <c r="T98" i="15"/>
  <c r="N98" i="15"/>
  <c r="H98" i="15"/>
  <c r="AB98" i="15" s="1"/>
  <c r="H97" i="15"/>
  <c r="AE97" i="15" s="1"/>
  <c r="Z82" i="15"/>
  <c r="X82" i="15"/>
  <c r="V82" i="15"/>
  <c r="U82" i="15"/>
  <c r="T82" i="15"/>
  <c r="H82" i="15"/>
  <c r="S82" i="15" s="1"/>
  <c r="H81" i="15"/>
  <c r="AC81" i="15" s="1"/>
  <c r="AD80" i="15"/>
  <c r="AB80" i="15"/>
  <c r="AA80" i="15"/>
  <c r="Z80" i="15"/>
  <c r="Y80" i="15"/>
  <c r="T80" i="15"/>
  <c r="Q80" i="15"/>
  <c r="M80" i="15"/>
  <c r="I80" i="15"/>
  <c r="H80" i="15"/>
  <c r="X80" i="15" s="1"/>
  <c r="AE79" i="15"/>
  <c r="AA79" i="15"/>
  <c r="Z79" i="15"/>
  <c r="Y79" i="15"/>
  <c r="W79" i="15"/>
  <c r="U79" i="15"/>
  <c r="J79" i="15"/>
  <c r="H79" i="15"/>
  <c r="S79" i="15" s="1"/>
  <c r="H78" i="15"/>
  <c r="AD78" i="15" s="1"/>
  <c r="Q77" i="15"/>
  <c r="J77" i="15"/>
  <c r="H77" i="15"/>
  <c r="Y77" i="15" s="1"/>
  <c r="H76" i="15"/>
  <c r="AF76" i="15" s="1"/>
  <c r="H75" i="15"/>
  <c r="AE75" i="15" s="1"/>
  <c r="AA74" i="15"/>
  <c r="Q74" i="15"/>
  <c r="N74" i="15"/>
  <c r="M74" i="15"/>
  <c r="H74" i="15"/>
  <c r="Z74" i="15" s="1"/>
  <c r="H73" i="15"/>
  <c r="AB73" i="15" s="1"/>
  <c r="H72" i="15"/>
  <c r="U72" i="15" s="1"/>
  <c r="W58" i="15"/>
  <c r="P58" i="15"/>
  <c r="H58" i="15"/>
  <c r="AA58" i="15" s="1"/>
  <c r="H57" i="15"/>
  <c r="AD57" i="15" s="1"/>
  <c r="O56" i="15"/>
  <c r="H56" i="15"/>
  <c r="Z56" i="15" s="1"/>
  <c r="AG55" i="15"/>
  <c r="AA55" i="15"/>
  <c r="Z55" i="15"/>
  <c r="X55" i="15"/>
  <c r="V55" i="15"/>
  <c r="U55" i="15"/>
  <c r="R55" i="15"/>
  <c r="Q55" i="15"/>
  <c r="N55" i="15"/>
  <c r="H55" i="15"/>
  <c r="P55" i="15" s="1"/>
  <c r="AE54" i="15"/>
  <c r="AD54" i="15"/>
  <c r="AC54" i="15"/>
  <c r="Z54" i="15"/>
  <c r="P54" i="15"/>
  <c r="O54" i="15"/>
  <c r="N54" i="15"/>
  <c r="M54" i="15"/>
  <c r="H54" i="15"/>
  <c r="V54" i="15" s="1"/>
  <c r="H53" i="15"/>
  <c r="Z53" i="15" s="1"/>
  <c r="AH52" i="15"/>
  <c r="AG52" i="15"/>
  <c r="AF52" i="15"/>
  <c r="AE52" i="15"/>
  <c r="Y52" i="15"/>
  <c r="W52" i="15"/>
  <c r="V52" i="15"/>
  <c r="U52" i="15"/>
  <c r="P52" i="15"/>
  <c r="O52" i="15"/>
  <c r="N52" i="15"/>
  <c r="L52" i="15"/>
  <c r="K52" i="15"/>
  <c r="H52" i="15"/>
  <c r="AC52" i="15" s="1"/>
  <c r="AE51" i="15"/>
  <c r="W51" i="15"/>
  <c r="S51" i="15"/>
  <c r="M51" i="15"/>
  <c r="H51" i="15"/>
  <c r="X51" i="15" s="1"/>
  <c r="H50" i="15"/>
  <c r="X50" i="15" s="1"/>
  <c r="S49" i="15"/>
  <c r="H49" i="15"/>
  <c r="X49" i="15" s="1"/>
  <c r="AC48" i="15"/>
  <c r="S48" i="15"/>
  <c r="H48" i="15"/>
  <c r="V48" i="15" s="1"/>
  <c r="AI38" i="15"/>
  <c r="H38" i="15"/>
  <c r="U38" i="15" s="1"/>
  <c r="AI37" i="15"/>
  <c r="W37" i="15"/>
  <c r="Q37" i="15"/>
  <c r="H37" i="15"/>
  <c r="P37" i="15" s="1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I35" i="15"/>
  <c r="H35" i="15"/>
  <c r="V35" i="15" s="1"/>
  <c r="AI34" i="15"/>
  <c r="H34" i="15"/>
  <c r="X34" i="15" s="1"/>
  <c r="AI33" i="15"/>
  <c r="H33" i="15"/>
  <c r="X33" i="15" s="1"/>
  <c r="AI32" i="15"/>
  <c r="H32" i="15"/>
  <c r="X32" i="15" s="1"/>
  <c r="AI31" i="15"/>
  <c r="H31" i="15"/>
  <c r="V31" i="15" s="1"/>
  <c r="AI30" i="15"/>
  <c r="AI50" i="15" s="1"/>
  <c r="H30" i="15"/>
  <c r="W30" i="15" s="1"/>
  <c r="AI29" i="15"/>
  <c r="A29" i="15" s="1"/>
  <c r="H29" i="15"/>
  <c r="AG29" i="15" s="1"/>
  <c r="AI28" i="15"/>
  <c r="AI48" i="15" s="1"/>
  <c r="AI72" i="15" s="1"/>
  <c r="AI97" i="15" s="1"/>
  <c r="AI119" i="15" s="1"/>
  <c r="AH28" i="15"/>
  <c r="AF28" i="15"/>
  <c r="AE28" i="15"/>
  <c r="AA28" i="15"/>
  <c r="Z28" i="15"/>
  <c r="R28" i="15"/>
  <c r="Q28" i="15"/>
  <c r="P28" i="15"/>
  <c r="O28" i="15"/>
  <c r="K28" i="15"/>
  <c r="J28" i="15"/>
  <c r="I28" i="15"/>
  <c r="H28" i="15"/>
  <c r="AC28" i="15" s="1"/>
  <c r="AF17" i="15"/>
  <c r="Y17" i="15"/>
  <c r="U17" i="15"/>
  <c r="T17" i="15"/>
  <c r="O17" i="15"/>
  <c r="H17" i="15"/>
  <c r="X17" i="15" s="1"/>
  <c r="AE16" i="15"/>
  <c r="AC16" i="15"/>
  <c r="U16" i="15"/>
  <c r="H16" i="15"/>
  <c r="S16" i="15" s="1"/>
  <c r="AA15" i="15"/>
  <c r="Z15" i="15"/>
  <c r="H15" i="15"/>
  <c r="AD15" i="15" s="1"/>
  <c r="AG14" i="15"/>
  <c r="AD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J14" i="15"/>
  <c r="H14" i="15"/>
  <c r="Y14" i="15" s="1"/>
  <c r="H13" i="15"/>
  <c r="T13" i="15" s="1"/>
  <c r="H12" i="15"/>
  <c r="AE12" i="15" s="1"/>
  <c r="AC11" i="15"/>
  <c r="AB11" i="15"/>
  <c r="W11" i="15"/>
  <c r="V11" i="15"/>
  <c r="T11" i="15"/>
  <c r="M11" i="15"/>
  <c r="H11" i="15"/>
  <c r="Z11" i="15" s="1"/>
  <c r="H10" i="15"/>
  <c r="U10" i="15" s="1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I118" i="15"/>
  <c r="J118" i="15" s="1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F118" i="15"/>
  <c r="AJ96" i="15"/>
  <c r="I96" i="15"/>
  <c r="J96" i="15" s="1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F96" i="15"/>
  <c r="AJ71" i="15"/>
  <c r="I71" i="15"/>
  <c r="J71" i="15" s="1"/>
  <c r="K71" i="15" s="1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F71" i="15"/>
  <c r="AI51" i="15"/>
  <c r="AI75" i="15" s="1"/>
  <c r="AI100" i="15" s="1"/>
  <c r="AI122" i="15" s="1"/>
  <c r="AJ47" i="15"/>
  <c r="AI47" i="15"/>
  <c r="AI71" i="15" s="1"/>
  <c r="I47" i="15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F47" i="15"/>
  <c r="A47" i="15"/>
  <c r="AI58" i="15"/>
  <c r="A58" i="15" s="1"/>
  <c r="A38" i="15"/>
  <c r="AI57" i="15"/>
  <c r="AI81" i="15" s="1"/>
  <c r="AI106" i="15" s="1"/>
  <c r="AI128" i="15" s="1"/>
  <c r="A37" i="15"/>
  <c r="A35" i="15"/>
  <c r="AI54" i="15"/>
  <c r="A34" i="15"/>
  <c r="A33" i="15"/>
  <c r="A32" i="15"/>
  <c r="A31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H72" i="15" l="1"/>
  <c r="AB74" i="15"/>
  <c r="W75" i="15"/>
  <c r="S77" i="15"/>
  <c r="U78" i="15"/>
  <c r="S81" i="15"/>
  <c r="AE104" i="15"/>
  <c r="U107" i="15"/>
  <c r="Z127" i="15"/>
  <c r="V12" i="15"/>
  <c r="AB32" i="15"/>
  <c r="J9" i="15"/>
  <c r="W12" i="15"/>
  <c r="J15" i="15"/>
  <c r="V16" i="15"/>
  <c r="P17" i="15"/>
  <c r="AG17" i="15"/>
  <c r="AD32" i="15"/>
  <c r="R37" i="15"/>
  <c r="M38" i="15"/>
  <c r="U48" i="15"/>
  <c r="T49" i="15"/>
  <c r="N51" i="15"/>
  <c r="AF51" i="15"/>
  <c r="I57" i="15"/>
  <c r="Q58" i="15"/>
  <c r="J72" i="15"/>
  <c r="AC74" i="15"/>
  <c r="Y75" i="15"/>
  <c r="U77" i="15"/>
  <c r="V78" i="15"/>
  <c r="T81" i="15"/>
  <c r="L9" i="15"/>
  <c r="Y12" i="15"/>
  <c r="K15" i="15"/>
  <c r="W16" i="15"/>
  <c r="Q17" i="15"/>
  <c r="AH17" i="15"/>
  <c r="S30" i="15"/>
  <c r="AE32" i="15"/>
  <c r="S37" i="15"/>
  <c r="P38" i="15"/>
  <c r="W48" i="15"/>
  <c r="U49" i="15"/>
  <c r="O51" i="15"/>
  <c r="AG51" i="15"/>
  <c r="J57" i="15"/>
  <c r="R58" i="15"/>
  <c r="L72" i="15"/>
  <c r="AD74" i="15"/>
  <c r="AA75" i="15"/>
  <c r="Z77" i="15"/>
  <c r="Z78" i="15"/>
  <c r="U81" i="15"/>
  <c r="K97" i="15"/>
  <c r="Z107" i="15"/>
  <c r="AB127" i="15"/>
  <c r="M9" i="15"/>
  <c r="Z12" i="15"/>
  <c r="P15" i="15"/>
  <c r="Z16" i="15"/>
  <c r="R17" i="15"/>
  <c r="AG28" i="15"/>
  <c r="X30" i="15"/>
  <c r="T37" i="15"/>
  <c r="Q38" i="15"/>
  <c r="X48" i="15"/>
  <c r="V49" i="15"/>
  <c r="P51" i="15"/>
  <c r="AH51" i="15"/>
  <c r="AA52" i="15"/>
  <c r="U54" i="15"/>
  <c r="K57" i="15"/>
  <c r="S58" i="15"/>
  <c r="N72" i="15"/>
  <c r="I74" i="15"/>
  <c r="AF74" i="15"/>
  <c r="AD75" i="15"/>
  <c r="AA77" i="15"/>
  <c r="AE78" i="15"/>
  <c r="V81" i="15"/>
  <c r="O97" i="15"/>
  <c r="AA107" i="15"/>
  <c r="AC127" i="15"/>
  <c r="AB12" i="15"/>
  <c r="R9" i="15"/>
  <c r="AA12" i="15"/>
  <c r="Q15" i="15"/>
  <c r="AA16" i="15"/>
  <c r="S17" i="15"/>
  <c r="U37" i="15"/>
  <c r="V38" i="15"/>
  <c r="AA48" i="15"/>
  <c r="W49" i="15"/>
  <c r="Q51" i="15"/>
  <c r="AB52" i="15"/>
  <c r="X54" i="15"/>
  <c r="R57" i="15"/>
  <c r="T58" i="15"/>
  <c r="O72" i="15"/>
  <c r="K74" i="15"/>
  <c r="AG74" i="15"/>
  <c r="AF75" i="15"/>
  <c r="AB77" i="15"/>
  <c r="AF78" i="15"/>
  <c r="AC80" i="15"/>
  <c r="Y81" i="15"/>
  <c r="X97" i="15"/>
  <c r="I99" i="15"/>
  <c r="AD101" i="15"/>
  <c r="N104" i="15"/>
  <c r="I107" i="15"/>
  <c r="AB107" i="15"/>
  <c r="I127" i="15"/>
  <c r="AD127" i="15"/>
  <c r="V37" i="15"/>
  <c r="W38" i="15"/>
  <c r="AB48" i="15"/>
  <c r="Z49" i="15"/>
  <c r="R51" i="15"/>
  <c r="I52" i="15"/>
  <c r="AD52" i="15"/>
  <c r="Y54" i="15"/>
  <c r="W57" i="15"/>
  <c r="U58" i="15"/>
  <c r="Q72" i="15"/>
  <c r="L74" i="15"/>
  <c r="AH74" i="15"/>
  <c r="AG75" i="15"/>
  <c r="AC77" i="15"/>
  <c r="AG78" i="15"/>
  <c r="AD81" i="15"/>
  <c r="Z97" i="15"/>
  <c r="R99" i="15"/>
  <c r="O104" i="15"/>
  <c r="J107" i="15"/>
  <c r="AC107" i="15"/>
  <c r="J127" i="15"/>
  <c r="AE127" i="15"/>
  <c r="AH75" i="15"/>
  <c r="AE77" i="15"/>
  <c r="AH78" i="15"/>
  <c r="J80" i="15"/>
  <c r="AE80" i="15"/>
  <c r="AE81" i="15"/>
  <c r="S99" i="15"/>
  <c r="AF101" i="15"/>
  <c r="P104" i="15"/>
  <c r="K107" i="15"/>
  <c r="AD107" i="15"/>
  <c r="K127" i="15"/>
  <c r="AF127" i="15"/>
  <c r="M31" i="15"/>
  <c r="AI17" i="15"/>
  <c r="A17" i="15" s="1"/>
  <c r="Z9" i="15"/>
  <c r="J12" i="15"/>
  <c r="AF12" i="15"/>
  <c r="AF15" i="15"/>
  <c r="AF16" i="15"/>
  <c r="V17" i="15"/>
  <c r="K29" i="15"/>
  <c r="AD31" i="15"/>
  <c r="N34" i="15"/>
  <c r="X37" i="15"/>
  <c r="AD38" i="15"/>
  <c r="AD48" i="15"/>
  <c r="AD49" i="15"/>
  <c r="T51" i="15"/>
  <c r="AC57" i="15"/>
  <c r="Y58" i="15"/>
  <c r="S72" i="15"/>
  <c r="I75" i="15"/>
  <c r="AF77" i="15"/>
  <c r="K80" i="15"/>
  <c r="AF80" i="15"/>
  <c r="AF81" i="15"/>
  <c r="T99" i="15"/>
  <c r="L101" i="15"/>
  <c r="AG101" i="15"/>
  <c r="Q104" i="15"/>
  <c r="Q105" i="15"/>
  <c r="L107" i="15"/>
  <c r="AE107" i="15"/>
  <c r="L127" i="15"/>
  <c r="AG127" i="15"/>
  <c r="X38" i="15"/>
  <c r="AC49" i="15"/>
  <c r="AB57" i="15"/>
  <c r="R72" i="15"/>
  <c r="AB9" i="15"/>
  <c r="K12" i="15"/>
  <c r="AG12" i="15"/>
  <c r="AG15" i="15"/>
  <c r="AG16" i="15"/>
  <c r="W17" i="15"/>
  <c r="M29" i="15"/>
  <c r="P34" i="15"/>
  <c r="Z37" i="15"/>
  <c r="AG38" i="15"/>
  <c r="AE48" i="15"/>
  <c r="AE49" i="15"/>
  <c r="V51" i="15"/>
  <c r="I56" i="15"/>
  <c r="Z58" i="15"/>
  <c r="T72" i="15"/>
  <c r="P74" i="15"/>
  <c r="K75" i="15"/>
  <c r="AG77" i="15"/>
  <c r="I79" i="15"/>
  <c r="L80" i="15"/>
  <c r="AG80" i="15"/>
  <c r="AG81" i="15"/>
  <c r="M98" i="15"/>
  <c r="U99" i="15"/>
  <c r="M101" i="15"/>
  <c r="AH101" i="15"/>
  <c r="R104" i="15"/>
  <c r="R105" i="15"/>
  <c r="M107" i="15"/>
  <c r="AF107" i="15"/>
  <c r="M127" i="15"/>
  <c r="AH128" i="15"/>
  <c r="AH12" i="15"/>
  <c r="AH49" i="15"/>
  <c r="AB58" i="15"/>
  <c r="V72" i="15"/>
  <c r="N75" i="15"/>
  <c r="AH81" i="15"/>
  <c r="S104" i="15"/>
  <c r="S105" i="15"/>
  <c r="N107" i="15"/>
  <c r="AG107" i="15"/>
  <c r="I126" i="15"/>
  <c r="N127" i="15"/>
  <c r="T9" i="15"/>
  <c r="W34" i="15"/>
  <c r="I49" i="15"/>
  <c r="Y51" i="15"/>
  <c r="AF54" i="15"/>
  <c r="P56" i="15"/>
  <c r="I58" i="15"/>
  <c r="AC58" i="15"/>
  <c r="W72" i="15"/>
  <c r="R74" i="15"/>
  <c r="P75" i="15"/>
  <c r="K77" i="15"/>
  <c r="J78" i="15"/>
  <c r="K79" i="15"/>
  <c r="N80" i="15"/>
  <c r="I81" i="15"/>
  <c r="O98" i="15"/>
  <c r="Y99" i="15"/>
  <c r="O101" i="15"/>
  <c r="Q102" i="15"/>
  <c r="U104" i="15"/>
  <c r="T105" i="15"/>
  <c r="O107" i="15"/>
  <c r="AH107" i="15"/>
  <c r="AC121" i="15"/>
  <c r="Y122" i="15"/>
  <c r="J126" i="15"/>
  <c r="O127" i="15"/>
  <c r="N128" i="15"/>
  <c r="S129" i="15"/>
  <c r="S9" i="15"/>
  <c r="L12" i="15"/>
  <c r="N29" i="15"/>
  <c r="AA37" i="15"/>
  <c r="M12" i="15"/>
  <c r="P12" i="15"/>
  <c r="V13" i="15"/>
  <c r="K16" i="15"/>
  <c r="J17" i="15"/>
  <c r="AA17" i="15"/>
  <c r="T28" i="15"/>
  <c r="T29" i="15"/>
  <c r="M32" i="15"/>
  <c r="J37" i="15"/>
  <c r="AC37" i="15"/>
  <c r="J48" i="15"/>
  <c r="L49" i="15"/>
  <c r="AG54" i="15"/>
  <c r="R56" i="15"/>
  <c r="J58" i="15"/>
  <c r="AD58" i="15"/>
  <c r="X72" i="15"/>
  <c r="S74" i="15"/>
  <c r="Q75" i="15"/>
  <c r="L77" i="15"/>
  <c r="O78" i="15"/>
  <c r="O79" i="15"/>
  <c r="O80" i="15"/>
  <c r="N81" i="15"/>
  <c r="P98" i="15"/>
  <c r="AH99" i="15"/>
  <c r="P101" i="15"/>
  <c r="S102" i="15"/>
  <c r="V104" i="15"/>
  <c r="U105" i="15"/>
  <c r="P107" i="15"/>
  <c r="AE119" i="15"/>
  <c r="I121" i="15"/>
  <c r="AD121" i="15"/>
  <c r="AD122" i="15"/>
  <c r="O126" i="15"/>
  <c r="P127" i="15"/>
  <c r="O128" i="15"/>
  <c r="U129" i="15"/>
  <c r="I12" i="15"/>
  <c r="I17" i="15"/>
  <c r="AE34" i="15"/>
  <c r="Z51" i="15"/>
  <c r="Q52" i="15"/>
  <c r="A28" i="15"/>
  <c r="W10" i="15"/>
  <c r="Q12" i="15"/>
  <c r="AC14" i="15"/>
  <c r="M16" i="15"/>
  <c r="K17" i="15"/>
  <c r="AB17" i="15"/>
  <c r="U28" i="15"/>
  <c r="U29" i="15"/>
  <c r="N32" i="15"/>
  <c r="AH35" i="15"/>
  <c r="K37" i="15"/>
  <c r="AF37" i="15"/>
  <c r="K48" i="15"/>
  <c r="M49" i="15"/>
  <c r="I51" i="15"/>
  <c r="AA51" i="15"/>
  <c r="R52" i="15"/>
  <c r="J54" i="15"/>
  <c r="S56" i="15"/>
  <c r="L58" i="15"/>
  <c r="AE58" i="15"/>
  <c r="Y72" i="15"/>
  <c r="T74" i="15"/>
  <c r="R75" i="15"/>
  <c r="M77" i="15"/>
  <c r="P78" i="15"/>
  <c r="T79" i="15"/>
  <c r="P80" i="15"/>
  <c r="O81" i="15"/>
  <c r="R98" i="15"/>
  <c r="Q101" i="15"/>
  <c r="T102" i="15"/>
  <c r="AA104" i="15"/>
  <c r="V105" i="15"/>
  <c r="Q107" i="15"/>
  <c r="T126" i="15"/>
  <c r="Q127" i="15"/>
  <c r="P128" i="15"/>
  <c r="V129" i="15"/>
  <c r="AC12" i="15"/>
  <c r="AC9" i="15"/>
  <c r="Z17" i="15"/>
  <c r="S29" i="15"/>
  <c r="K32" i="15"/>
  <c r="AB37" i="15"/>
  <c r="R12" i="15"/>
  <c r="O16" i="15"/>
  <c r="L17" i="15"/>
  <c r="AC17" i="15"/>
  <c r="W28" i="15"/>
  <c r="AA29" i="15"/>
  <c r="S32" i="15"/>
  <c r="L37" i="15"/>
  <c r="AG37" i="15"/>
  <c r="L48" i="15"/>
  <c r="N49" i="15"/>
  <c r="J51" i="15"/>
  <c r="AB51" i="15"/>
  <c r="S52" i="15"/>
  <c r="K54" i="15"/>
  <c r="T56" i="15"/>
  <c r="M58" i="15"/>
  <c r="AF58" i="15"/>
  <c r="Z72" i="15"/>
  <c r="V74" i="15"/>
  <c r="S75" i="15"/>
  <c r="O77" i="15"/>
  <c r="Q78" i="15"/>
  <c r="P81" i="15"/>
  <c r="V102" i="15"/>
  <c r="AB104" i="15"/>
  <c r="R107" i="15"/>
  <c r="S127" i="15"/>
  <c r="AH9" i="15"/>
  <c r="J16" i="15"/>
  <c r="I37" i="15"/>
  <c r="L11" i="15"/>
  <c r="S12" i="15"/>
  <c r="K14" i="15"/>
  <c r="AF14" i="15"/>
  <c r="P16" i="15"/>
  <c r="M17" i="15"/>
  <c r="AD17" i="15"/>
  <c r="Y28" i="15"/>
  <c r="AC29" i="15"/>
  <c r="T32" i="15"/>
  <c r="L35" i="15"/>
  <c r="O37" i="15"/>
  <c r="AH37" i="15"/>
  <c r="M48" i="15"/>
  <c r="Q49" i="15"/>
  <c r="K51" i="15"/>
  <c r="AC51" i="15"/>
  <c r="T52" i="15"/>
  <c r="L54" i="15"/>
  <c r="Y56" i="15"/>
  <c r="N58" i="15"/>
  <c r="AG58" i="15"/>
  <c r="AE72" i="15"/>
  <c r="Y74" i="15"/>
  <c r="U75" i="15"/>
  <c r="P77" i="15"/>
  <c r="R78" i="15"/>
  <c r="V79" i="15"/>
  <c r="S80" i="15"/>
  <c r="Q81" i="15"/>
  <c r="AC98" i="15"/>
  <c r="J100" i="15"/>
  <c r="S101" i="15"/>
  <c r="AG102" i="15"/>
  <c r="AC104" i="15"/>
  <c r="AA105" i="15"/>
  <c r="S107" i="15"/>
  <c r="V126" i="15"/>
  <c r="T127" i="15"/>
  <c r="R128" i="15"/>
  <c r="T12" i="15"/>
  <c r="Q16" i="15"/>
  <c r="N17" i="15"/>
  <c r="AE17" i="15"/>
  <c r="AD29" i="15"/>
  <c r="U32" i="15"/>
  <c r="N48" i="15"/>
  <c r="R49" i="15"/>
  <c r="L51" i="15"/>
  <c r="AD51" i="15"/>
  <c r="AC56" i="15"/>
  <c r="O58" i="15"/>
  <c r="AH58" i="15"/>
  <c r="AG72" i="15"/>
  <c r="V75" i="15"/>
  <c r="T78" i="15"/>
  <c r="R81" i="15"/>
  <c r="AD104" i="15"/>
  <c r="AF105" i="15"/>
  <c r="T107" i="15"/>
  <c r="M121" i="15"/>
  <c r="AH122" i="15"/>
  <c r="W126" i="15"/>
  <c r="Y127" i="15"/>
  <c r="S128" i="15"/>
  <c r="H131" i="15"/>
  <c r="U4" i="31"/>
  <c r="V15" i="31"/>
  <c r="T18" i="31"/>
  <c r="V23" i="31"/>
  <c r="T12" i="31"/>
  <c r="W18" i="31"/>
  <c r="U21" i="31"/>
  <c r="T16" i="31"/>
  <c r="X18" i="31"/>
  <c r="V21" i="31"/>
  <c r="T24" i="31"/>
  <c r="U16" i="31"/>
  <c r="W21" i="31"/>
  <c r="U24" i="31"/>
  <c r="V16" i="31"/>
  <c r="T19" i="31"/>
  <c r="X21" i="31"/>
  <c r="V24" i="31"/>
  <c r="W16" i="31"/>
  <c r="U19" i="31"/>
  <c r="W24" i="31"/>
  <c r="X16" i="31"/>
  <c r="V19" i="31"/>
  <c r="X24" i="31"/>
  <c r="W19" i="31"/>
  <c r="T17" i="31"/>
  <c r="X19" i="31"/>
  <c r="U17" i="31"/>
  <c r="AI7" i="15"/>
  <c r="A7" i="15" s="1"/>
  <c r="AI49" i="15"/>
  <c r="AI73" i="15" s="1"/>
  <c r="AI98" i="15" s="1"/>
  <c r="AI120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I118" i="15" s="1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I129" i="15" s="1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21" i="15" s="1"/>
  <c r="AI103" i="15"/>
  <c r="AI125" i="15" s="1"/>
  <c r="A78" i="15"/>
  <c r="A103" i="15" s="1"/>
  <c r="A125" i="15" s="1"/>
  <c r="AI105" i="15" l="1"/>
  <c r="AI127" i="15" s="1"/>
  <c r="A80" i="15"/>
  <c r="A105" i="15" s="1"/>
  <c r="A127" i="15" s="1"/>
  <c r="AI101" i="15"/>
  <c r="AI123" i="15" s="1"/>
  <c r="A76" i="15"/>
  <c r="A101" i="15" s="1"/>
  <c r="A123" i="15" s="1"/>
  <c r="AI102" i="15"/>
  <c r="AI124" i="15" s="1"/>
  <c r="A77" i="15"/>
  <c r="A102" i="15" s="1"/>
  <c r="A124" i="15" s="1"/>
  <c r="A79" i="15"/>
  <c r="A104" i="15" s="1"/>
  <c r="A126" i="15" s="1"/>
  <c r="AI104" i="15"/>
  <c r="AI126" i="15" s="1"/>
  <c r="T19" i="14" l="1"/>
  <c r="T7" i="14"/>
  <c r="T23" i="14"/>
  <c r="T16" i="23"/>
  <c r="T18" i="23"/>
  <c r="C12" i="24"/>
  <c r="G9" i="24"/>
  <c r="G10" i="24"/>
  <c r="G11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3" i="30"/>
  <c r="V53" i="30"/>
  <c r="W53" i="30"/>
  <c r="X53" i="30"/>
  <c r="Y53" i="30"/>
  <c r="V49" i="30"/>
  <c r="W49" i="30"/>
  <c r="X49" i="30"/>
  <c r="Y49" i="30"/>
  <c r="U49" i="30"/>
  <c r="T60" i="30"/>
  <c r="T59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5" i="14"/>
  <c r="U6" i="14"/>
  <c r="U7" i="14"/>
  <c r="U8" i="14"/>
  <c r="U9" i="14"/>
  <c r="X9" i="14"/>
  <c r="U10" i="14"/>
  <c r="U11" i="14"/>
  <c r="U12" i="14"/>
  <c r="U13" i="14"/>
  <c r="U14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I12" i="30"/>
  <c r="E51" i="30"/>
  <c r="I22" i="30"/>
  <c r="I20" i="30"/>
  <c r="I21" i="30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C13" i="24"/>
  <c r="C11" i="24"/>
  <c r="C10" i="24"/>
  <c r="C9" i="24"/>
  <c r="B3" i="24"/>
  <c r="T16" i="14" l="1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7" i="8"/>
  <c r="W18" i="8"/>
  <c r="I28" i="30"/>
  <c r="I15" i="30"/>
  <c r="V18" i="8"/>
  <c r="V7" i="8"/>
  <c r="V20" i="8"/>
  <c r="V9" i="8"/>
  <c r="I39" i="30"/>
  <c r="I9" i="30"/>
  <c r="V16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<sst xmlns="http://schemas.openxmlformats.org/spreadsheetml/2006/main" count="2697" uniqueCount="626">
  <si>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</si>
  <si>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</si>
  <si>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</si>
  <si>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</si>
  <si>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</si>
  <si>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</si>
  <si>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</si>
  <si>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</si>
  <si>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</si>
  <si>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</si>
  <si>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</si>
  <si>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</si>
  <si>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</si>
  <si>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</si>
  <si>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</si>
  <si>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</si>
  <si>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</si>
  <si>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</si>
  <si>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</si>
  <si>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</si>
  <si>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</si>
  <si>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</si>
  <si>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</si>
  <si>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</si>
  <si>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</si>
  <si>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</si>
  <si>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</si>
  <si>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</si>
  <si>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</si>
  <si>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</si>
  <si>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</si>
  <si>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</si>
  <si>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</si>
  <si>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</si>
  <si>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</si>
  <si>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</si>
  <si>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</si>
  <si>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</si>
  <si>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</si>
  <si>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</si>
  <si>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</si>
  <si>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</si>
  <si>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</si>
  <si>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</si>
  <si>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</si>
  <si>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</si>
  <si>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</si>
  <si>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</si>
  <si>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</si>
  <si>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</si>
  <si>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</si>
  <si>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</si>
  <si>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</si>
  <si>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</si>
  <si>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</si>
  <si>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</si>
  <si>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</si>
  <si>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</si>
  <si>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</si>
  <si>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</si>
  <si>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</si>
  <si>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</si>
  <si>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</si>
  <si>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</si>
  <si>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</si>
  <si>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</si>
  <si>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</si>
  <si>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</si>
  <si>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</si>
  <si>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</si>
  <si>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</si>
  <si>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</si>
  <si>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</si>
  <si>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</si>
  <si>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</si>
  <si>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</si>
  <si>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</si>
  <si>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</si>
  <si>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</si>
  <si>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</si>
  <si>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</si>
  <si>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</si>
  <si>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</si>
  <si>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</si>
  <si>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</si>
  <si>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</si>
  <si>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</si>
  <si>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</si>
  <si>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</si>
  <si>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</si>
  <si>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</si>
  <si>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</si>
  <si>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</si>
  <si>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</si>
  <si>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</si>
  <si>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</si>
  <si>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</si>
  <si>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</si>
  <si>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</si>
  <si>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</si>
  <si>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</si>
  <si>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</si>
  <si>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</si>
  <si>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</si>
  <si>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</si>
  <si>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</si>
  <si>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</si>
  <si>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</si>
  <si>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</si>
  <si>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</si>
  <si>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</si>
  <si>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</si>
  <si>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</si>
  <si>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</si>
  <si>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</si>
  <si>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</si>
  <si>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</si>
  <si>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</si>
  <si>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</si>
  <si>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</si>
  <si>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</si>
  <si>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</si>
  <si>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</si>
  <si>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</si>
  <si>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</si>
  <si>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</si>
  <si>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</si>
  <si>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</si>
  <si>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</si>
  <si>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</si>
  <si>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</si>
  <si>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</si>
  <si>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</si>
  <si>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</si>
  <si>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</si>
  <si>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</si>
  <si>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</si>
  <si>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</si>
  <si>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</si>
  <si>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</si>
  <si>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</si>
  <si>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</si>
  <si>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</si>
  <si>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</si>
  <si>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</si>
  <si>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</si>
  <si>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</si>
  <si>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</si>
  <si>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</si>
  <si>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</si>
  <si>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</si>
  <si>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</si>
  <si>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</si>
  <si>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</si>
  <si>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</si>
  <si>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</si>
  <si>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</si>
  <si>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</si>
  <si>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</si>
  <si>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</si>
  <si>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</si>
  <si>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</si>
  <si>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</si>
  <si>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</si>
  <si>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</si>
  <si>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</si>
  <si>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</si>
  <si>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</si>
  <si>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</si>
  <si>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</si>
  <si>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</si>
  <si>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</si>
  <si>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</si>
  <si>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</si>
  <si>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</si>
  <si>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</si>
  <si>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</si>
  <si>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</si>
  <si>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</si>
  <si>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</si>
  <si>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</si>
  <si>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</si>
  <si>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</si>
  <si>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</si>
  <si>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</si>
  <si>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</si>
  <si>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</si>
  <si>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</si>
  <si>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</si>
  <si>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</si>
  <si>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</si>
  <si>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</si>
  <si>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</si>
  <si>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</si>
  <si>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</si>
  <si>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</si>
  <si>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</si>
  <si>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</si>
  <si>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</si>
  <si>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</si>
  <si>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</si>
  <si>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</si>
  <si>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</si>
  <si>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</si>
  <si>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</si>
  <si>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</si>
  <si>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</si>
  <si>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</si>
  <si>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</si>
  <si>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</si>
  <si>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</si>
  <si>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</si>
  <si>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</si>
  <si>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</si>
  <si>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</si>
  <si>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</si>
  <si>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</si>
  <si>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</si>
  <si>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</si>
  <si>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</si>
  <si>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</si>
  <si>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</si>
  <si>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</si>
  <si>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</si>
  <si>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</si>
  <si>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</si>
  <si>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</si>
  <si>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</si>
  <si>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</si>
  <si>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</si>
  <si>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</si>
  <si>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</si>
  <si>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</si>
  <si>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</si>
  <si>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</si>
  <si>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</si>
  <si>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</si>
  <si>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</si>
  <si>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</si>
  <si>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</si>
  <si>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</si>
  <si>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</si>
  <si>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</si>
  <si>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</si>
  <si>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</si>
  <si>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</si>
  <si>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</si>
  <si>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</si>
  <si>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</si>
  <si>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</si>
  <si>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</si>
  <si>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</si>
  <si>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</si>
  <si>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</si>
  <si>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</si>
  <si>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</si>
  <si>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</si>
  <si>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</si>
  <si>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</si>
  <si>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</si>
  <si>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</si>
  <si>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</si>
  <si>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</si>
  <si>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</si>
  <si>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</si>
  <si>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</si>
  <si>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</si>
  <si>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</si>
  <si>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</si>
  <si>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</si>
  <si>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</si>
  <si>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</si>
  <si>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</si>
  <si>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</si>
  <si>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</si>
  <si>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</si>
  <si>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</si>
  <si>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</si>
  <si>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</si>
  <si>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</si>
  <si>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</si>
  <si>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</si>
  <si>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</si>
  <si>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</si>
  <si>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</si>
  <si>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</si>
  <si>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</si>
  <si>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</si>
  <si>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</si>
  <si>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</si>
  <si>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</si>
  <si>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</si>
  <si>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</si>
  <si>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</si>
  <si>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</si>
  <si>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</si>
  <si>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</si>
  <si>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</si>
  <si>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</si>
  <si>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</si>
  <si>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</si>
  <si>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</si>
  <si>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</si>
  <si>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</si>
  <si>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</si>
  <si>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</si>
  <si>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</si>
  <si>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</si>
  <si>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</si>
  <si>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</si>
  <si>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</si>
  <si>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</si>
  <si>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</si>
  <si>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</si>
  <si>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</si>
  <si>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</si>
  <si>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</si>
  <si>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</si>
  <si>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</si>
  <si>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</si>
  <si>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</si>
  <si>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</si>
  <si>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</si>
  <si>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</si>
  <si>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</si>
  <si>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</si>
  <si>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</si>
  <si>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</si>
  <si>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</si>
  <si>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</si>
  <si>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</si>
  <si>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</si>
  <si>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</si>
  <si>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</si>
  <si>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</si>
  <si>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</si>
  <si>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</si>
  <si>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</si>
  <si>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</si>
  <si>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</si>
  <si>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</si>
  <si>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</si>
  <si>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</si>
  <si>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</si>
  <si>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</si>
  <si>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</si>
  <si>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</si>
  <si>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</si>
  <si>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</si>
  <si>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</si>
  <si>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</si>
  <si>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</si>
  <si>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</si>
  <si>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</si>
  <si>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</si>
  <si>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</si>
  <si>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</si>
  <si>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</si>
  <si>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</si>
  <si>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</si>
  <si>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</si>
  <si>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</si>
  <si>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</si>
  <si>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</si>
  <si>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</si>
  <si>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</si>
  <si>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</si>
  <si>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</si>
  <si>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</si>
  <si>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</si>
  <si>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</si>
  <si>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</si>
  <si>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</si>
  <si>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</si>
  <si>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</si>
  <si>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</si>
  <si>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</si>
  <si>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</si>
  <si>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</si>
  <si>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</si>
  <si>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</si>
  <si>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</si>
  <si>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</si>
  <si>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</si>
  <si>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</si>
  <si>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</si>
  <si>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</si>
  <si>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</si>
  <si>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</si>
  <si>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</si>
  <si>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</si>
  <si>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</si>
  <si>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</si>
  <si>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</si>
  <si>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</si>
  <si>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</si>
  <si>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</si>
  <si>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</si>
  <si>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</si>
  <si>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</si>
  <si>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</si>
  <si>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</si>
  <si>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</si>
  <si>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</si>
  <si>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</si>
  <si>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</si>
  <si>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</si>
  <si>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</si>
  <si>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</si>
  <si>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</si>
  <si>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</si>
  <si>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</si>
  <si>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</si>
  <si>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</si>
  <si>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</si>
  <si>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</si>
  <si>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</si>
  <si>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</si>
  <si>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</si>
  <si>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</si>
  <si>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</si>
  <si>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</si>
  <si>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</si>
  <si>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</si>
  <si>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</si>
  <si>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</si>
  <si>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</si>
  <si>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</si>
  <si>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</si>
  <si>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</si>
  <si>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</si>
  <si>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</si>
  <si>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</si>
  <si>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</si>
  <si>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</si>
  <si>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</si>
  <si>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</si>
  <si>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</si>
  <si>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</si>
  <si>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</si>
  <si>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</si>
  <si>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</si>
  <si>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</si>
  <si>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</si>
  <si>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</si>
  <si>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</si>
  <si>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</si>
  <si>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</si>
  <si>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</si>
  <si>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</si>
  <si>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</si>
  <si>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</si>
  <si>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</si>
  <si>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</si>
  <si>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</si>
  <si>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</si>
  <si>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</si>
  <si>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</si>
  <si>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</si>
  <si>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</si>
  <si>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</si>
  <si>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</si>
  <si>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</si>
  <si>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</si>
  <si>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</si>
  <si>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</si>
  <si>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</si>
  <si>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</si>
  <si>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</si>
  <si>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</si>
  <si>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</si>
  <si>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</si>
  <si>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</si>
  <si>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</si>
  <si>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</si>
  <si>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</si>
  <si>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</si>
  <si>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</si>
  <si>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</si>
  <si>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</si>
  <si>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</si>
  <si>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</si>
  <si>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</si>
  <si>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</si>
  <si>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</si>
  <si>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</si>
  <si>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</si>
  <si>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</si>
  <si>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</si>
  <si>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</si>
  <si>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</si>
  <si>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</si>
  <si>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</si>
  <si>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</si>
  <si>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</si>
  <si>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</si>
  <si>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</si>
  <si>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</si>
  <si>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</si>
  <si>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</si>
  <si>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</si>
  <si>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</si>
  <si>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</si>
  <si>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</si>
  <si>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</si>
  <si>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</si>
  <si>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</si>
  <si>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</si>
  <si>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</si>
  <si>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</si>
  <si>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</si>
  <si>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</si>
  <si>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</si>
  <si>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</si>
  <si>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</si>
  <si>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</si>
  <si>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</si>
  <si>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</si>
  <si>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</si>
  <si>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</si>
  <si>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</si>
  <si>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</si>
  <si>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</si>
  <si>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</si>
  <si>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</si>
  <si>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</si>
  <si>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</si>
  <si>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</si>
  <si>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</si>
  <si>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</si>
  <si>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</si>
  <si>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</si>
  <si>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</si>
  <si>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</si>
  <si>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</si>
  <si>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</si>
  <si>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</si>
  <si>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</si>
  <si>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</si>
  <si>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</si>
  <si>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</si>
  <si>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</si>
  <si>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</si>
  <si>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</si>
  <si>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</si>
  <si>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</si>
  <si>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</si>
  <si>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</si>
  <si>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</si>
  <si>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</si>
  <si>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</si>
  <si>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</si>
  <si>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</si>
  <si>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</si>
  <si>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</si>
  <si>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</si>
  <si>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</si>
  <si>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</si>
  <si>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</si>
  <si>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</si>
  <si>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</si>
  <si>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</si>
  <si>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</si>
  <si>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</si>
  <si>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</si>
  <si>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</si>
  <si>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</si>
  <si>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</si>
  <si>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</si>
  <si>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</si>
  <si>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</si>
  <si>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</si>
  <si>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</si>
  <si>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</si>
  <si>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</si>
  <si>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</si>
  <si>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</si>
  <si>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</si>
  <si>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</si>
  <si>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</si>
  <si>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</si>
  <si>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</si>
  <si>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</si>
  <si>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</si>
  <si>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</si>
  <si>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</si>
  <si>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</si>
  <si>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</si>
  <si>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</si>
  <si>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</si>
  <si>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</si>
  <si>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</si>
  <si>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</si>
  <si>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</si>
  <si>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</si>
  <si>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</si>
  <si>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</si>
  <si>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</si>
  <si>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</si>
  <si>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</si>
  <si>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</si>
  <si>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</si>
  <si>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</si>
  <si>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</si>
  <si>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>FT-INDCOA</t>
  </si>
  <si>
    <t>FT-INDPEA</t>
  </si>
  <si>
    <t>FT-INDOIL</t>
  </si>
  <si>
    <t>FT-INDCOK</t>
  </si>
  <si>
    <t>FT-INDGAS</t>
  </si>
  <si>
    <t>FT-INDBGS</t>
  </si>
  <si>
    <t>FT-INDBIO</t>
  </si>
  <si>
    <t>FT-INDRWS</t>
  </si>
  <si>
    <t>FT-INDNWS</t>
  </si>
  <si>
    <t>FT-INDH2G</t>
  </si>
  <si>
    <t>FT-INDH2L</t>
  </si>
  <si>
    <t>FT-INDWOO</t>
  </si>
  <si>
    <t>FT-INDPEA,FT-INDWOO</t>
  </si>
  <si>
    <t>*2018</t>
  </si>
  <si>
    <t>~UC_Sets: T_E:</t>
  </si>
  <si>
    <t>UC_NCAP</t>
  </si>
  <si>
    <t>UC_RHSTS~0</t>
  </si>
  <si>
    <t>Minimal share of BEV sales</t>
  </si>
  <si>
    <t>up</t>
  </si>
  <si>
    <t>T-CAR-BEV*</t>
  </si>
  <si>
    <t>T-CAR*,-T-CAR-BEV*</t>
  </si>
  <si>
    <t>*UC_PWR_WON_Historic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</si>
</sst>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3" fillId="0" borderId="0"/>
    <xf numFmtId="0" fontId="11" fillId="0" borderId="0"/>
    <xf numFmtId="0" fontId="22" fillId="0" borderId="0" applyNumberForma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6" fillId="6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4" borderId="0" applyNumberFormat="0" applyBorder="0" applyAlignment="0" applyProtection="0"/>
    <xf numFmtId="0" fontId="2" fillId="0" borderId="0"/>
    <xf numFmtId="0" fontId="65" fillId="0" borderId="0"/>
    <xf numFmtId="9" fontId="65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166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/>
    <xf numFmtId="0" fontId="84" fillId="0" borderId="0"/>
    <xf numFmtId="0" fontId="2" fillId="0" borderId="0"/>
    <xf numFmtId="0" fontId="2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2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3" fillId="76" borderId="0" applyBorder="0" applyAlignment="0"/>
    <xf numFmtId="0" fontId="37" fillId="76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2" fillId="6" borderId="4">
      <alignment horizontal="right" vertical="center"/>
    </xf>
    <xf numFmtId="0" fontId="98" fillId="6" borderId="4">
      <alignment horizontal="right" vertical="center"/>
    </xf>
    <xf numFmtId="0" fontId="92" fillId="77" borderId="4">
      <alignment horizontal="right" vertical="center"/>
    </xf>
    <xf numFmtId="0" fontId="92" fillId="77" borderId="4">
      <alignment horizontal="right" vertical="center"/>
    </xf>
    <xf numFmtId="0" fontId="92" fillId="77" borderId="50">
      <alignment horizontal="right" vertical="center"/>
    </xf>
    <xf numFmtId="0" fontId="92" fillId="77" borderId="132">
      <alignment horizontal="right" vertical="center"/>
    </xf>
    <xf numFmtId="0" fontId="92" fillId="77" borderId="138">
      <alignment horizontal="right" vertical="center"/>
    </xf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81" fillId="78" borderId="183" applyNumberFormat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7" fillId="53" borderId="0" applyNumberFormat="0" applyBorder="0" applyAlignment="0" applyProtection="0"/>
    <xf numFmtId="0" fontId="66" fillId="5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85" fillId="78" borderId="176" applyNumberFormat="0" applyAlignment="0" applyProtection="0"/>
    <xf numFmtId="4" fontId="93" fillId="0" borderId="3" applyFill="0" applyBorder="0" applyProtection="0">
      <alignment horizontal="right" vertical="center"/>
    </xf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9" fontId="2" fillId="76" borderId="185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92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6" fillId="0" borderId="0" applyFont="0" applyFill="0" applyBorder="0" applyAlignment="0" applyProtection="0"/>
    <xf numFmtId="0" fontId="37" fillId="77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2" fillId="0" borderId="186">
      <alignment horizontal="left" vertical="top" wrapText="1"/>
    </xf>
    <xf numFmtId="3" fontId="94" fillId="0" borderId="185">
      <alignment horizontal="right" vertical="top"/>
    </xf>
    <xf numFmtId="0" fontId="76" fillId="55" borderId="176" applyNumberFormat="0" applyAlignment="0" applyProtection="0"/>
    <xf numFmtId="0" fontId="99" fillId="0" borderId="12"/>
    <xf numFmtId="0" fontId="13" fillId="79" borderId="4">
      <alignment horizontal="centerContinuous" vertical="top" wrapText="1"/>
    </xf>
    <xf numFmtId="0" fontId="95" fillId="0" borderId="0">
      <alignment vertical="top" wrapText="1"/>
    </xf>
    <xf numFmtId="0" fontId="32" fillId="0" borderId="187" applyNumberFormat="0" applyFill="0" applyAlignment="0" applyProtection="0"/>
    <xf numFmtId="0" fontId="71" fillId="0" borderId="0" applyNumberFormat="0" applyFill="0" applyBorder="0" applyAlignment="0" applyProtection="0"/>
    <xf numFmtId="0" fontId="100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108" fillId="23" borderId="0" applyNumberFormat="0" applyBorder="0" applyAlignment="0" applyProtection="0"/>
    <xf numFmtId="0" fontId="109" fillId="23" borderId="0" applyNumberFormat="0" applyBorder="0" applyAlignment="0" applyProtection="0"/>
    <xf numFmtId="0" fontId="109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108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110" fillId="57" borderId="171" applyNumberFormat="0" applyAlignment="0" applyProtection="0"/>
    <xf numFmtId="0" fontId="110" fillId="57" borderId="171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62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1" fillId="6" borderId="0" applyBorder="0">
      <alignment horizontal="right" vertical="center"/>
    </xf>
    <xf numFmtId="0" fontId="97" fillId="0" borderId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180" fontId="2" fillId="0" borderId="0" applyFont="0" applyFill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1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112" fillId="25" borderId="0" applyNumberFormat="0" applyBorder="0" applyAlignment="0" applyProtection="0"/>
    <xf numFmtId="0" fontId="91" fillId="57" borderId="0" applyNumberFormat="0" applyBorder="0" applyAlignment="0" applyProtection="0"/>
    <xf numFmtId="0" fontId="112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1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79" fillId="0" borderId="0">
      <alignment vertical="center"/>
    </xf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166" fontId="79" fillId="0" borderId="0">
      <alignment vertical="center"/>
    </xf>
    <xf numFmtId="0" fontId="66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6" fillId="0" borderId="0"/>
    <xf numFmtId="0" fontId="66" fillId="0" borderId="0"/>
    <xf numFmtId="0" fontId="106" fillId="0" borderId="0"/>
    <xf numFmtId="0" fontId="2" fillId="0" borderId="0"/>
    <xf numFmtId="0" fontId="106" fillId="0" borderId="0"/>
    <xf numFmtId="0" fontId="10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2" fillId="0" borderId="0"/>
    <xf numFmtId="176" fontId="79" fillId="0" borderId="0">
      <alignment vertical="center"/>
    </xf>
    <xf numFmtId="0" fontId="66" fillId="0" borderId="0"/>
    <xf numFmtId="0" fontId="10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30" fillId="0" borderId="0"/>
    <xf numFmtId="0" fontId="113" fillId="0" borderId="0"/>
    <xf numFmtId="0" fontId="11" fillId="0" borderId="0"/>
    <xf numFmtId="0" fontId="30" fillId="0" borderId="0"/>
    <xf numFmtId="0" fontId="113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3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4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4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4" fontId="37" fillId="0" borderId="4" applyFill="0" applyBorder="0" applyProtection="0">
      <alignment horizontal="right" vertical="center"/>
    </xf>
    <xf numFmtId="0" fontId="93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80" borderId="0" applyNumberFormat="0" applyFont="0" applyBorder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4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3" fillId="0" borderId="0" xfId="58"/>
    <xf numFmtId="0" fontId="64" fillId="0" borderId="0" xfId="58" applyFont="1"/>
    <xf numFmtId="9" fontId="0" fillId="0" borderId="0" xfId="2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0" fillId="18" borderId="0" xfId="0" applyFill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9" t="s">
        <v>404</v>
      </c>
      <c r="B16" s="439"/>
      <c r="C16" s="439"/>
      <c r="D16" s="439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8" t="s">
        <v>416</v>
      </c>
      <c r="C19" s="438"/>
      <c r="D19" s="438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8" t="s">
        <v>419</v>
      </c>
      <c r="C20" s="438"/>
      <c r="D20" s="438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8" t="s">
        <v>418</v>
      </c>
      <c r="C23" s="438"/>
      <c r="D23" s="43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8" t="s">
        <v>417</v>
      </c>
      <c r="C24" s="438"/>
      <c r="D24" s="43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8" t="s">
        <v>592</v>
      </c>
      <c r="C26" s="438"/>
      <c r="D26" s="43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8" t="s">
        <v>417</v>
      </c>
      <c r="C27" s="438"/>
      <c r="D27" s="43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40" t="s">
        <v>412</v>
      </c>
      <c r="C30" s="438"/>
      <c r="D30" s="438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8" t="s">
        <v>414</v>
      </c>
      <c r="C31" s="438"/>
      <c r="D31" s="438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472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473</v>
      </c>
      <c r="D5" s="351" t="s">
        <v>490</v>
      </c>
      <c r="E5" s="351" t="s">
        <v>225</v>
      </c>
      <c r="F5" s="351" t="s">
        <v>226</v>
      </c>
      <c r="G5" s="351" t="s">
        <v>227</v>
      </c>
      <c r="H5" s="351" t="s">
        <v>484</v>
      </c>
      <c r="I5" s="352" t="s">
        <v>486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487</v>
      </c>
      <c r="K6" s="354"/>
    </row>
    <row r="7" spans="1:11">
      <c r="B7" t="s">
        <v>503</v>
      </c>
      <c r="C7" t="s">
        <v>491</v>
      </c>
      <c r="D7" t="s">
        <v>492</v>
      </c>
      <c r="E7" t="s">
        <v>493</v>
      </c>
      <c r="F7">
        <v>2018</v>
      </c>
      <c r="G7" t="s">
        <v>223</v>
      </c>
      <c r="H7" t="s">
        <v>495</v>
      </c>
      <c r="I7">
        <v>1</v>
      </c>
      <c r="J7" s="355">
        <f>Conversions!$B$2*'EB2018'!$AO$3</f>
        <v>5.8385184241824009</v>
      </c>
      <c r="K7" t="s">
        <v>488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502</v>
      </c>
      <c r="C13" t="s">
        <v>491</v>
      </c>
      <c r="D13" t="s">
        <v>492</v>
      </c>
      <c r="E13" t="s">
        <v>494</v>
      </c>
      <c r="F13">
        <v>2018</v>
      </c>
      <c r="G13" t="s">
        <v>223</v>
      </c>
      <c r="H13" t="s">
        <v>496</v>
      </c>
      <c r="I13">
        <v>1</v>
      </c>
      <c r="J13" s="355">
        <f>Conversions!$B$2*'EB2018'!$AO$4</f>
        <v>5.9383641411770398</v>
      </c>
      <c r="K13" t="s">
        <v>489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585</v>
      </c>
    </row>
    <row r="22" spans="2:11">
      <c r="B22" s="350" t="s">
        <v>461</v>
      </c>
      <c r="C22" s="351" t="s">
        <v>473</v>
      </c>
      <c r="D22" s="351" t="s">
        <v>490</v>
      </c>
      <c r="E22" s="351" t="s">
        <v>225</v>
      </c>
      <c r="F22" s="351" t="s">
        <v>226</v>
      </c>
      <c r="G22" s="351" t="s">
        <v>227</v>
      </c>
      <c r="H22" s="351" t="s">
        <v>484</v>
      </c>
      <c r="I22" t="s">
        <v>497</v>
      </c>
      <c r="J22" s="353" t="s">
        <v>462</v>
      </c>
      <c r="K22" s="350" t="s">
        <v>463</v>
      </c>
    </row>
    <row r="23" spans="2:11">
      <c r="B23" t="s">
        <v>501</v>
      </c>
      <c r="C23" t="s">
        <v>498</v>
      </c>
      <c r="F23">
        <v>2018</v>
      </c>
      <c r="G23" t="s">
        <v>499</v>
      </c>
      <c r="I23">
        <v>1</v>
      </c>
      <c r="J23" s="19">
        <f>Conversions!$B$2*'EB2018'!$AH$2</f>
        <v>0.70393223471436184</v>
      </c>
      <c r="K23" t="s">
        <v>500</v>
      </c>
    </row>
    <row r="24" spans="2:11">
      <c r="F24">
        <v>2019</v>
      </c>
      <c r="G24" t="s">
        <v>499</v>
      </c>
      <c r="J24" s="19">
        <f>Conversions!$B$2*'EB2019'!$AH$2</f>
        <v>0.78962633124536741</v>
      </c>
    </row>
    <row r="25" spans="2:11">
      <c r="F25">
        <v>2020</v>
      </c>
      <c r="G25" t="s">
        <v>499</v>
      </c>
      <c r="J25" s="19">
        <f>Conversions!$B$2*'EB2020'!$AH$2</f>
        <v>0.87833840712769273</v>
      </c>
    </row>
    <row r="26" spans="2:11">
      <c r="F26">
        <v>2021</v>
      </c>
      <c r="G26" t="s">
        <v>499</v>
      </c>
      <c r="J26" s="19">
        <f>Conversions!$B$2*'EB2021'!$AH$2</f>
        <v>0.94933194191684911</v>
      </c>
    </row>
    <row r="27" spans="2:11">
      <c r="F27" s="363">
        <v>2022</v>
      </c>
      <c r="G27" s="363" t="s">
        <v>499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499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workbookViewId="0">
      <selection activeCell="L2" sqref="L2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584</v>
      </c>
      <c r="L1" s="387">
        <v>0.05</v>
      </c>
    </row>
    <row r="2" spans="2:25">
      <c r="B2" s="28" t="s">
        <v>583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499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1.7850000000000004</v>
      </c>
      <c r="U4" s="19">
        <f t="shared" ref="U4:X4" si="0">+G4*(1+$L$1)</f>
        <v>1.7850000000000004</v>
      </c>
      <c r="V4" s="19">
        <f t="shared" si="0"/>
        <v>1.6800000000000002</v>
      </c>
      <c r="W4" s="19">
        <f t="shared" si="0"/>
        <v>1.7850000000000004</v>
      </c>
      <c r="X4" s="19">
        <f t="shared" si="0"/>
        <v>1.6800000000000002</v>
      </c>
      <c r="Y4">
        <v>1</v>
      </c>
    </row>
    <row r="5" spans="2:25">
      <c r="B5" t="s">
        <v>485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499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3.3600000000000003</v>
      </c>
      <c r="U5" s="19">
        <f t="shared" ref="U5:U14" si="2">+G5*(1+$L$1)</f>
        <v>3.4650000000000003</v>
      </c>
      <c r="V5" s="19">
        <f t="shared" ref="V5:V14" si="3">+H5*(1+$L$1)</f>
        <v>4.4099999999999993</v>
      </c>
      <c r="W5" s="19">
        <f t="shared" ref="W5:W14" si="4">+I5*(1+$L$1)</f>
        <v>4.5149999999999997</v>
      </c>
      <c r="X5" s="348">
        <f t="shared" ref="X5:X14" si="5">+J5*(1+$L$1)</f>
        <v>4.83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499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21.525000000000002</v>
      </c>
      <c r="U6" s="19">
        <f t="shared" si="2"/>
        <v>6.51</v>
      </c>
      <c r="V6" s="19">
        <f t="shared" si="3"/>
        <v>8.61</v>
      </c>
      <c r="W6" s="19">
        <f t="shared" si="4"/>
        <v>29.610000000000003</v>
      </c>
      <c r="X6" s="348">
        <f t="shared" si="5"/>
        <v>24.885000000000005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499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0.42000000000000004</v>
      </c>
      <c r="U7" s="19">
        <f t="shared" si="2"/>
        <v>0.63</v>
      </c>
      <c r="V7" s="19">
        <f t="shared" si="3"/>
        <v>0.52500000000000002</v>
      </c>
      <c r="W7" s="19">
        <f t="shared" si="4"/>
        <v>1.3650000000000002</v>
      </c>
      <c r="X7" s="348">
        <f t="shared" si="5"/>
        <v>1.2600000000000002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499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108.255</v>
      </c>
      <c r="U8" s="19">
        <f t="shared" si="2"/>
        <v>110.88</v>
      </c>
      <c r="V8" s="19">
        <f t="shared" si="3"/>
        <v>112.875</v>
      </c>
      <c r="W8" s="19">
        <f t="shared" si="4"/>
        <v>103.005</v>
      </c>
      <c r="X8" s="348">
        <f t="shared" si="5"/>
        <v>114.13499999999999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499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1.1550000000000002</v>
      </c>
      <c r="U9" s="19">
        <f t="shared" si="2"/>
        <v>2.9400000000000004</v>
      </c>
      <c r="V9" s="19">
        <f t="shared" si="3"/>
        <v>4.2</v>
      </c>
      <c r="W9" s="19">
        <f t="shared" si="4"/>
        <v>14.49</v>
      </c>
      <c r="X9" s="348">
        <f t="shared" si="5"/>
        <v>9.9749999999999996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2.625</v>
      </c>
      <c r="U10" s="19">
        <f t="shared" si="2"/>
        <v>3.3600000000000003</v>
      </c>
      <c r="V10" s="19">
        <f t="shared" si="3"/>
        <v>3.57</v>
      </c>
      <c r="W10" s="19">
        <f t="shared" si="4"/>
        <v>2.8350000000000004</v>
      </c>
      <c r="X10" s="348">
        <f t="shared" si="5"/>
        <v>2.7300000000000004</v>
      </c>
      <c r="Y10">
        <v>1</v>
      </c>
    </row>
    <row r="11" spans="2:25">
      <c r="B11" t="s">
        <v>485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499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8.4</v>
      </c>
      <c r="U11" s="19">
        <f t="shared" si="2"/>
        <v>8.19</v>
      </c>
      <c r="V11" s="19">
        <f t="shared" si="3"/>
        <v>8.61</v>
      </c>
      <c r="W11" s="19">
        <f t="shared" si="4"/>
        <v>8.19</v>
      </c>
      <c r="X11" s="348">
        <f t="shared" si="5"/>
        <v>8.2949999999999999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499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20.895000000000003</v>
      </c>
      <c r="U12" s="19">
        <f t="shared" si="2"/>
        <v>19.110000000000003</v>
      </c>
      <c r="V12" s="19">
        <f t="shared" si="3"/>
        <v>9.4500000000000011</v>
      </c>
      <c r="W12" s="19">
        <f t="shared" si="4"/>
        <v>3.1500000000000004</v>
      </c>
      <c r="X12" s="348">
        <f t="shared" si="5"/>
        <v>2.4150000000000005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0.10500000000000001</v>
      </c>
      <c r="U13" s="19">
        <f t="shared" si="2"/>
        <v>0.21000000000000002</v>
      </c>
      <c r="V13" s="19">
        <f t="shared" si="3"/>
        <v>0.21000000000000002</v>
      </c>
      <c r="W13" s="19">
        <f t="shared" si="4"/>
        <v>0.31500000000000006</v>
      </c>
      <c r="X13" s="348">
        <f t="shared" si="5"/>
        <v>0.63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32.760000000000005</v>
      </c>
      <c r="U14" s="367">
        <f t="shared" si="2"/>
        <v>37.905000000000001</v>
      </c>
      <c r="V14" s="367">
        <f t="shared" si="3"/>
        <v>43.680000000000007</v>
      </c>
      <c r="W14" s="367">
        <f t="shared" si="4"/>
        <v>37.065000000000005</v>
      </c>
      <c r="X14" s="368">
        <f t="shared" si="5"/>
        <v>42.42</v>
      </c>
      <c r="Y14" s="30">
        <v>1</v>
      </c>
    </row>
    <row r="15" spans="2:25">
      <c r="F15" s="19"/>
      <c r="G15" s="19"/>
      <c r="H15" s="19"/>
      <c r="I15" s="19"/>
      <c r="P15" t="s">
        <v>485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1.615</v>
      </c>
      <c r="U15" s="19">
        <f t="shared" ref="U15:X15" si="6">+G4*(1-$L$1)</f>
        <v>1.615</v>
      </c>
      <c r="V15" s="19">
        <f t="shared" si="6"/>
        <v>1.52</v>
      </c>
      <c r="W15" s="19">
        <f t="shared" si="6"/>
        <v>1.615</v>
      </c>
      <c r="X15" s="348">
        <f t="shared" si="6"/>
        <v>1.52</v>
      </c>
      <c r="Y15">
        <v>1</v>
      </c>
    </row>
    <row r="16" spans="2:25">
      <c r="F16" s="19"/>
      <c r="G16" s="19"/>
      <c r="H16" s="19"/>
      <c r="I16" s="19"/>
      <c r="P16" t="s">
        <v>485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3.04</v>
      </c>
      <c r="U16" s="19">
        <f t="shared" ref="U16:U25" si="8">+G5*(1-$L$1)</f>
        <v>3.1350000000000002</v>
      </c>
      <c r="V16" s="19">
        <f t="shared" ref="V16:V25" si="9">+H5*(1-$L$1)</f>
        <v>3.9899999999999993</v>
      </c>
      <c r="W16" s="19">
        <f t="shared" ref="W16:W25" si="10">+I5*(1-$L$1)</f>
        <v>4.085</v>
      </c>
      <c r="X16" s="348">
        <f t="shared" ref="X16:X25" si="11">+J5*(1-$L$1)</f>
        <v>4.3699999999999992</v>
      </c>
      <c r="Y16">
        <v>1</v>
      </c>
    </row>
    <row r="17" spans="2:25">
      <c r="J17" s="23"/>
      <c r="P17" t="s">
        <v>485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19.474999999999998</v>
      </c>
      <c r="U17" s="19">
        <f t="shared" si="8"/>
        <v>5.8899999999999988</v>
      </c>
      <c r="V17" s="19">
        <f t="shared" si="9"/>
        <v>7.7899999999999991</v>
      </c>
      <c r="W17" s="19">
        <f t="shared" si="10"/>
        <v>26.790000000000003</v>
      </c>
      <c r="X17" s="348">
        <f t="shared" si="11"/>
        <v>22.515000000000001</v>
      </c>
      <c r="Y17">
        <v>1</v>
      </c>
    </row>
    <row r="18" spans="2:25">
      <c r="C18" t="s">
        <v>202</v>
      </c>
      <c r="D18" t="s">
        <v>200</v>
      </c>
      <c r="E18" s="19" t="s">
        <v>546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485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</v>
      </c>
      <c r="U18" s="19">
        <f t="shared" si="8"/>
        <v>0.56999999999999995</v>
      </c>
      <c r="V18" s="19">
        <f t="shared" si="9"/>
        <v>0.47499999999999998</v>
      </c>
      <c r="W18" s="19">
        <f t="shared" si="10"/>
        <v>1.2349999999999999</v>
      </c>
      <c r="X18" s="348">
        <f t="shared" si="11"/>
        <v>1.1400000000000001</v>
      </c>
      <c r="Y18">
        <v>1</v>
      </c>
    </row>
    <row r="19" spans="2:25">
      <c r="C19" t="s">
        <v>203</v>
      </c>
      <c r="D19" t="s">
        <v>200</v>
      </c>
      <c r="E19" s="19" t="s">
        <v>546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485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97.944999999999993</v>
      </c>
      <c r="U19" s="19">
        <f t="shared" si="8"/>
        <v>100.32</v>
      </c>
      <c r="V19" s="19">
        <f t="shared" si="9"/>
        <v>102.125</v>
      </c>
      <c r="W19" s="19">
        <f t="shared" si="10"/>
        <v>93.194999999999993</v>
      </c>
      <c r="X19" s="348">
        <f t="shared" si="11"/>
        <v>103.26499999999999</v>
      </c>
      <c r="Y19">
        <v>1</v>
      </c>
    </row>
    <row r="20" spans="2:25">
      <c r="C20" t="s">
        <v>201</v>
      </c>
      <c r="D20" t="s">
        <v>200</v>
      </c>
      <c r="E20" s="19" t="s">
        <v>546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485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1.0449999999999999</v>
      </c>
      <c r="U20" s="19">
        <f t="shared" si="8"/>
        <v>2.66</v>
      </c>
      <c r="V20" s="19">
        <f t="shared" si="9"/>
        <v>3.8</v>
      </c>
      <c r="W20" s="19">
        <f t="shared" si="10"/>
        <v>13.109999999999998</v>
      </c>
      <c r="X20" s="348">
        <f t="shared" si="11"/>
        <v>9.0250000000000004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546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2.375</v>
      </c>
      <c r="U21" s="19">
        <f t="shared" si="8"/>
        <v>3.04</v>
      </c>
      <c r="V21" s="19">
        <f t="shared" si="9"/>
        <v>3.23</v>
      </c>
      <c r="W21" s="19">
        <f t="shared" si="10"/>
        <v>2.5649999999999999</v>
      </c>
      <c r="X21" s="348">
        <f t="shared" si="11"/>
        <v>2.4699999999999998</v>
      </c>
      <c r="Y21">
        <v>1</v>
      </c>
    </row>
    <row r="22" spans="2:25">
      <c r="C22" t="s">
        <v>204</v>
      </c>
      <c r="D22" t="s">
        <v>200</v>
      </c>
      <c r="E22" s="19" t="s">
        <v>546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485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7.6</v>
      </c>
      <c r="U22" s="19">
        <f t="shared" si="8"/>
        <v>7.4099999999999993</v>
      </c>
      <c r="V22" s="19">
        <f t="shared" si="9"/>
        <v>7.7899999999999991</v>
      </c>
      <c r="W22" s="19">
        <f t="shared" si="10"/>
        <v>7.4099999999999993</v>
      </c>
      <c r="X22" s="348">
        <f t="shared" si="11"/>
        <v>7.504999999999999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546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485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18.905000000000001</v>
      </c>
      <c r="U23" s="19">
        <f t="shared" si="8"/>
        <v>17.290000000000003</v>
      </c>
      <c r="V23" s="19">
        <f t="shared" si="9"/>
        <v>8.5499999999999989</v>
      </c>
      <c r="W23" s="19">
        <f t="shared" si="10"/>
        <v>2.8499999999999996</v>
      </c>
      <c r="X23" s="348">
        <f t="shared" si="11"/>
        <v>2.1850000000000001</v>
      </c>
      <c r="Y23">
        <v>1</v>
      </c>
    </row>
    <row r="24" spans="2:25">
      <c r="C24" t="s">
        <v>205</v>
      </c>
      <c r="D24" t="s">
        <v>200</v>
      </c>
      <c r="E24" s="19" t="s">
        <v>546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9.5000000000000001E-2</v>
      </c>
      <c r="U24" s="19">
        <f t="shared" si="8"/>
        <v>0.19</v>
      </c>
      <c r="V24" s="19">
        <f t="shared" si="9"/>
        <v>0.19</v>
      </c>
      <c r="W24" s="19">
        <f t="shared" si="10"/>
        <v>0.28500000000000003</v>
      </c>
      <c r="X24" s="348">
        <f t="shared" si="11"/>
        <v>0.56999999999999995</v>
      </c>
      <c r="Y24">
        <v>1</v>
      </c>
    </row>
    <row r="25" spans="2:25">
      <c r="C25" t="s">
        <v>206</v>
      </c>
      <c r="D25" t="s">
        <v>200</v>
      </c>
      <c r="E25" s="19" t="s">
        <v>546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29.64</v>
      </c>
      <c r="U25" s="367">
        <f t="shared" si="8"/>
        <v>34.295000000000002</v>
      </c>
      <c r="V25" s="367">
        <f t="shared" si="9"/>
        <v>39.519999999999996</v>
      </c>
      <c r="W25" s="367">
        <f t="shared" si="10"/>
        <v>33.535000000000004</v>
      </c>
      <c r="X25" s="368">
        <f t="shared" si="11"/>
        <v>38.379999999999995</v>
      </c>
      <c r="Y25" s="30">
        <v>1</v>
      </c>
    </row>
    <row r="26" spans="2:25">
      <c r="C26" t="s">
        <v>207</v>
      </c>
      <c r="D26" t="s">
        <v>200</v>
      </c>
      <c r="E26" s="19" t="s">
        <v>546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546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546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tabSelected="1" workbookViewId="0">
      <selection activeCell="B14" sqref="B14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467</v>
      </c>
    </row>
    <row r="8" spans="2:12">
      <c r="B8" s="346" t="s">
        <v>625</v>
      </c>
      <c r="C8" s="346" t="s">
        <v>466</v>
      </c>
      <c r="D8" s="346">
        <v>2019</v>
      </c>
      <c r="E8" s="346" t="s">
        <v>499</v>
      </c>
      <c r="F8" s="346">
        <v>1</v>
      </c>
      <c r="G8" s="347">
        <f>+L9/1000*1.02</f>
        <v>4.1950560000000001</v>
      </c>
      <c r="H8" s="346" t="s">
        <v>470</v>
      </c>
      <c r="K8" s="21">
        <v>2018</v>
      </c>
      <c r="L8">
        <v>3667</v>
      </c>
    </row>
    <row r="9" spans="2:12">
      <c r="B9" t="s">
        <v>456</v>
      </c>
      <c r="C9" t="str">
        <f>$C$8</f>
        <v>P*WIN*ON*</v>
      </c>
      <c r="D9">
        <v>2020</v>
      </c>
      <c r="E9" t="s">
        <v>223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B10" t="s">
        <v>456</v>
      </c>
      <c r="C10" t="str">
        <f t="shared" ref="C10:C13" si="1">$C$8</f>
        <v>P*WIN*ON*</v>
      </c>
      <c r="D10">
        <v>2021</v>
      </c>
      <c r="E10" t="str">
        <f>+E9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B11" t="s">
        <v>456</v>
      </c>
      <c r="C11" t="str">
        <f t="shared" si="1"/>
        <v>P*WIN*ON*</v>
      </c>
      <c r="D11">
        <v>2022</v>
      </c>
      <c r="E11" t="str">
        <f>+E10</f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B12" t="s">
        <v>456</v>
      </c>
      <c r="C12" t="str">
        <f t="shared" si="1"/>
        <v>P*WIN*ON*</v>
      </c>
      <c r="D12">
        <v>2023</v>
      </c>
      <c r="E12" t="str">
        <f>+E11</f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B13" t="s">
        <v>456</v>
      </c>
      <c r="C13" t="str">
        <f t="shared" si="1"/>
        <v>P*WIN*ON*</v>
      </c>
      <c r="D13">
        <v>0</v>
      </c>
      <c r="E13" t="str">
        <f>+E12</f>
        <v>FX</v>
      </c>
      <c r="G13">
        <v>1</v>
      </c>
    </row>
    <row r="14" spans="2:12">
      <c r="B14" s="346" t="s">
        <v>468</v>
      </c>
      <c r="C14" s="346" t="s">
        <v>471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469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2">$C$14</f>
        <v>P*SOL*PV*</v>
      </c>
      <c r="D16">
        <v>2021</v>
      </c>
      <c r="E16" t="str">
        <f t="shared" ref="E16:E18" si="3">$E$14</f>
        <v>FX</v>
      </c>
      <c r="F16">
        <v>1</v>
      </c>
      <c r="G16" s="345">
        <v>0.26100000000000001</v>
      </c>
    </row>
    <row r="17" spans="3:7">
      <c r="C17" t="str">
        <f t="shared" si="2"/>
        <v>P*SOL*PV*</v>
      </c>
      <c r="D17">
        <v>2022</v>
      </c>
      <c r="E17" t="str">
        <f t="shared" si="3"/>
        <v>FX</v>
      </c>
      <c r="F17">
        <v>1</v>
      </c>
      <c r="G17" s="345">
        <v>0.38400000000000001</v>
      </c>
    </row>
    <row r="18" spans="3:7">
      <c r="C18" t="str">
        <f t="shared" si="2"/>
        <v>P*SOL*PV*</v>
      </c>
      <c r="D18">
        <v>0</v>
      </c>
      <c r="E18" t="str">
        <f t="shared" si="3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504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591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1:Y30"/>
  <sheetViews>
    <sheetView workbookViewId="0">
      <selection activeCell="F11" sqref="F11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7109375" customWidth="1"/>
  </cols>
  <sheetData>
    <row r="1" spans="2:25">
      <c r="M1" t="s">
        <v>584</v>
      </c>
      <c r="N1" s="428">
        <v>0.2</v>
      </c>
    </row>
    <row r="2" spans="2:25">
      <c r="B2" s="28" t="s">
        <v>583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 t="s">
        <v>617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607</v>
      </c>
      <c r="D4" t="s">
        <v>200</v>
      </c>
      <c r="E4" s="19" t="str">
        <f>_xlfn.TEXTJOIN(",",TRUE,Regions!$C$3:$D$3)</f>
        <v>IE,National</v>
      </c>
      <c r="F4" s="19">
        <f>ROUNDUP(Conversions!$B$2*SUM('EB2018'!$V$30),1)</f>
        <v>6</v>
      </c>
      <c r="G4" s="19">
        <f>ROUNDUP(Conversions!$B$2*SUM('EB2019'!$V$30),1)</f>
        <v>5.8</v>
      </c>
      <c r="H4" s="19">
        <f>ROUNDUP(Conversions!$B$2*SUM('EB2020'!$V$30),1)</f>
        <v>5.3</v>
      </c>
      <c r="I4" s="19">
        <f>ROUNDUP(Conversions!$B$2*SUM('EB2021'!$V$30),1)</f>
        <v>6.1</v>
      </c>
      <c r="J4" s="348">
        <f>ROUNDUP(Conversions!$B$2*SUM('EB2022'!$V$30),1)</f>
        <v>5</v>
      </c>
      <c r="K4">
        <v>1</v>
      </c>
      <c r="P4" s="389" t="s">
        <v>499</v>
      </c>
      <c r="Q4" t="s">
        <v>607</v>
      </c>
      <c r="R4" s="390" t="s">
        <v>200</v>
      </c>
      <c r="S4" s="391" t="str">
        <f>_xlfn.TEXTJOIN(",",TRUE,Regions!$C$3:$D$3)</f>
        <v>IE,National</v>
      </c>
      <c r="T4" s="391">
        <f>+F4*(1+$N$1)</f>
        <v>7.1999999999999993</v>
      </c>
      <c r="U4" s="391">
        <f t="shared" ref="U4:X14" si="0">+G4*(1+$N$1)</f>
        <v>6.96</v>
      </c>
      <c r="V4" s="391">
        <f t="shared" si="0"/>
        <v>6.3599999999999994</v>
      </c>
      <c r="W4" s="391">
        <f t="shared" si="0"/>
        <v>7.3199999999999994</v>
      </c>
      <c r="X4" s="392">
        <f t="shared" si="0"/>
        <v>6</v>
      </c>
      <c r="Y4" s="393">
        <v>1</v>
      </c>
    </row>
    <row r="5" spans="2:25">
      <c r="C5" t="s">
        <v>610</v>
      </c>
      <c r="D5" t="s">
        <v>200</v>
      </c>
      <c r="E5" s="19" t="str">
        <f>_xlfn.TEXTJOIN(",",TRUE,Regions!$C$3:$D$3)</f>
        <v>IE,National</v>
      </c>
      <c r="F5" s="19">
        <f>ROUNDUP(Conversions!$B$2*SUM('EB2018'!$AE$30),1)</f>
        <v>6.5</v>
      </c>
      <c r="G5" s="19">
        <f>ROUNDUP(Conversions!$B$2*SUM('EB2019'!$AE$30),1)</f>
        <v>6.1999999999999993</v>
      </c>
      <c r="H5" s="19">
        <f>ROUNDUP(Conversions!$B$2*SUM('EB2020'!$AE$30),1)</f>
        <v>5.8</v>
      </c>
      <c r="I5" s="19">
        <f>ROUNDUP(Conversions!$B$2*SUM('EB2021'!$AE$30),1)</f>
        <v>5.3</v>
      </c>
      <c r="J5" s="348">
        <f>ROUNDUP(Conversions!$B$2*SUM('EB2022'!$AE$30),1)</f>
        <v>5.5</v>
      </c>
      <c r="K5">
        <v>1</v>
      </c>
      <c r="P5" s="394" t="s">
        <v>499</v>
      </c>
      <c r="Q5" t="s">
        <v>610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7.8</v>
      </c>
      <c r="U5" s="19">
        <f t="shared" si="0"/>
        <v>7.4399999999999986</v>
      </c>
      <c r="V5" s="19">
        <f t="shared" si="0"/>
        <v>6.96</v>
      </c>
      <c r="W5" s="19">
        <f t="shared" si="0"/>
        <v>6.3599999999999994</v>
      </c>
      <c r="X5" s="348">
        <f t="shared" si="0"/>
        <v>6.6</v>
      </c>
      <c r="Y5" s="395">
        <v>1</v>
      </c>
    </row>
    <row r="6" spans="2:25">
      <c r="C6" t="s">
        <v>604</v>
      </c>
      <c r="D6" t="s">
        <v>200</v>
      </c>
      <c r="E6" s="19" t="str">
        <f>_xlfn.TEXTJOIN(",",TRUE,Regions!$C$3:$D$3)</f>
        <v>IE,National</v>
      </c>
      <c r="F6" s="19">
        <f>ROUNDUP(Conversions!$B$2*SUM('EB2018'!$C$30),1)</f>
        <v>4.5</v>
      </c>
      <c r="G6" s="19">
        <f>ROUNDUP(Conversions!$B$2*SUM('EB2019'!$C$30),1)</f>
        <v>3.4</v>
      </c>
      <c r="H6" s="19">
        <f>ROUNDUP(Conversions!$B$2*SUM('EB2020'!$C$30),1)</f>
        <v>3.2</v>
      </c>
      <c r="I6" s="19">
        <f>ROUNDUP(Conversions!$B$2*SUM('EB2021'!$C$30),1)</f>
        <v>3.8000000000000003</v>
      </c>
      <c r="J6" s="348">
        <f>ROUNDUP(Conversions!$B$2*SUM('EB2022'!$C$30),1)</f>
        <v>3</v>
      </c>
      <c r="K6">
        <v>1</v>
      </c>
      <c r="P6" s="394" t="s">
        <v>499</v>
      </c>
      <c r="Q6" t="s">
        <v>604</v>
      </c>
      <c r="R6" t="s">
        <v>200</v>
      </c>
      <c r="S6" s="19" t="str">
        <f>_xlfn.TEXTJOIN(",",TRUE,Regions!$C$3:$D$3)</f>
        <v>IE,National</v>
      </c>
      <c r="T6" s="19">
        <f t="shared" si="1"/>
        <v>5.3999999999999995</v>
      </c>
      <c r="U6" s="19">
        <f t="shared" si="0"/>
        <v>4.08</v>
      </c>
      <c r="V6" s="19">
        <f t="shared" si="0"/>
        <v>3.84</v>
      </c>
      <c r="W6" s="19">
        <f t="shared" si="0"/>
        <v>4.5600000000000005</v>
      </c>
      <c r="X6" s="348">
        <f t="shared" si="0"/>
        <v>3.5999999999999996</v>
      </c>
      <c r="Y6" s="395">
        <v>5</v>
      </c>
    </row>
    <row r="7" spans="2:25">
      <c r="C7" t="s">
        <v>616</v>
      </c>
      <c r="D7" t="s">
        <v>200</v>
      </c>
      <c r="E7" s="19" t="str">
        <f>_xlfn.TEXTJOIN(",",TRUE,Regions!$C$3:$D$3)</f>
        <v>IE,National</v>
      </c>
      <c r="F7" s="19">
        <f>ROUNDUP(Conversions!$B$2*SUM('EB2018'!$H$30),1)</f>
        <v>0.1</v>
      </c>
      <c r="G7" s="19">
        <f>ROUNDUP(Conversions!$B$2*SUM('EB2019'!$H$30),1)</f>
        <v>0</v>
      </c>
      <c r="H7" s="19">
        <f>ROUNDUP(Conversions!$B$2*SUM('EB2020'!$H$30),1)</f>
        <v>0</v>
      </c>
      <c r="I7" s="19">
        <f>ROUNDUP(Conversions!$B$2*SUM('EB2021'!$H$30),1)</f>
        <v>0</v>
      </c>
      <c r="J7" s="348">
        <f>ROUNDUP(Conversions!$B$2*SUM('EB2022'!$H$30),1)</f>
        <v>0</v>
      </c>
      <c r="K7">
        <v>1</v>
      </c>
      <c r="P7" s="394" t="s">
        <v>499</v>
      </c>
      <c r="Q7" t="s">
        <v>616</v>
      </c>
      <c r="R7" t="s">
        <v>200</v>
      </c>
      <c r="S7" s="19" t="str">
        <f>_xlfn.TEXTJOIN(",",TRUE,Regions!$C$3:$D$3)</f>
        <v>IE,National</v>
      </c>
      <c r="T7" s="19">
        <f t="shared" si="1"/>
        <v>0.12</v>
      </c>
      <c r="U7" s="19">
        <f t="shared" si="0"/>
        <v>0</v>
      </c>
      <c r="V7" s="19">
        <f t="shared" si="0"/>
        <v>0</v>
      </c>
      <c r="W7" s="19">
        <f t="shared" si="0"/>
        <v>0</v>
      </c>
      <c r="X7" s="348">
        <f t="shared" si="0"/>
        <v>0</v>
      </c>
      <c r="Y7" s="395">
        <v>1</v>
      </c>
    </row>
    <row r="8" spans="2:25">
      <c r="C8" t="s">
        <v>506</v>
      </c>
      <c r="D8" t="s">
        <v>200</v>
      </c>
      <c r="E8" s="19" t="str">
        <f>_xlfn.TEXTJOIN(",",TRUE,Regions!$C$3:$D$3)</f>
        <v>IE,National</v>
      </c>
      <c r="F8" s="19">
        <f>ROUNDUP(Conversions!$B$2*SUM('EB2018'!$AO$30),1)</f>
        <v>23.400000000000002</v>
      </c>
      <c r="G8" s="19">
        <f>ROUNDUP(Conversions!$B$2*SUM('EB2019'!$AO$30),1)+1.5</f>
        <v>25.6</v>
      </c>
      <c r="H8" s="19">
        <f>ROUNDUP(Conversions!$B$2*SUM('EB2020'!$AO$30),1)</f>
        <v>24.900000000000002</v>
      </c>
      <c r="I8" s="19">
        <f>ROUNDUP(Conversions!$B$2*SUM('EB2021'!$AO$30),1)</f>
        <v>24.700000000000003</v>
      </c>
      <c r="J8" s="348">
        <f>ROUNDUP(Conversions!$B$2*SUM('EB2022'!$AO$30),1)</f>
        <v>24.8</v>
      </c>
      <c r="K8">
        <v>1</v>
      </c>
      <c r="P8" s="394" t="s">
        <v>499</v>
      </c>
      <c r="Q8" t="s">
        <v>506</v>
      </c>
      <c r="R8" t="s">
        <v>200</v>
      </c>
      <c r="S8" s="19" t="str">
        <f>_xlfn.TEXTJOIN(",",TRUE,Regions!$C$3:$D$3)</f>
        <v>IE,National</v>
      </c>
      <c r="T8" s="19">
        <f t="shared" si="1"/>
        <v>28.080000000000002</v>
      </c>
      <c r="U8" s="19">
        <f t="shared" si="0"/>
        <v>30.72</v>
      </c>
      <c r="V8" s="19">
        <f t="shared" si="0"/>
        <v>29.880000000000003</v>
      </c>
      <c r="W8" s="19">
        <f t="shared" si="0"/>
        <v>29.64</v>
      </c>
      <c r="X8" s="348">
        <f t="shared" si="0"/>
        <v>29.759999999999998</v>
      </c>
      <c r="Y8" s="395">
        <v>1</v>
      </c>
    </row>
    <row r="9" spans="2:25">
      <c r="B9" t="s">
        <v>456</v>
      </c>
      <c r="C9" t="s">
        <v>612</v>
      </c>
      <c r="D9" t="s">
        <v>200</v>
      </c>
      <c r="E9" s="19" t="str">
        <f>_xlfn.TEXTJOIN(",",TRUE,Regions!$C$3:$D$3)</f>
        <v>IE,National</v>
      </c>
      <c r="F9" s="19">
        <f>ROUNDUP(Conversions!$B$2*SUM('EB2018'!$AN$30),1)</f>
        <v>2.3000000000000003</v>
      </c>
      <c r="G9" s="19">
        <f>ROUNDUP(Conversions!$B$2*SUM('EB2019'!$AN$30),1)</f>
        <v>2.4</v>
      </c>
      <c r="H9" s="19">
        <f>ROUNDUP(Conversions!$B$2*SUM('EB2020'!$AN$30),1)</f>
        <v>2.3000000000000003</v>
      </c>
      <c r="I9" s="19">
        <f>ROUNDUP(Conversions!$B$2*SUM('EB2021'!$AN$30),1)</f>
        <v>2.3000000000000003</v>
      </c>
      <c r="J9" s="348">
        <f>ROUNDUP(Conversions!$B$2*SUM('EB2022'!$AN$30),1)</f>
        <v>2.5</v>
      </c>
      <c r="K9">
        <v>1</v>
      </c>
      <c r="L9" s="429"/>
      <c r="P9" s="394" t="s">
        <v>499</v>
      </c>
      <c r="Q9" t="s">
        <v>612</v>
      </c>
      <c r="R9" t="s">
        <v>200</v>
      </c>
      <c r="S9" s="19" t="str">
        <f>_xlfn.TEXTJOIN(",",TRUE,Regions!$C$3:$D$3)</f>
        <v>IE,National</v>
      </c>
      <c r="T9" s="19">
        <f>+F9*(1+3*$N$1)</f>
        <v>3.6800000000000006</v>
      </c>
      <c r="U9" s="19">
        <f t="shared" ref="U9:X9" si="2">+G9*(1+3*$N$1)</f>
        <v>3.84</v>
      </c>
      <c r="V9" s="19">
        <f t="shared" si="2"/>
        <v>3.6800000000000006</v>
      </c>
      <c r="W9" s="19">
        <f t="shared" si="2"/>
        <v>3.6800000000000006</v>
      </c>
      <c r="X9" s="19">
        <f t="shared" si="2"/>
        <v>4</v>
      </c>
      <c r="Y9" s="395">
        <v>1</v>
      </c>
    </row>
    <row r="10" spans="2:25">
      <c r="C10" t="s">
        <v>608</v>
      </c>
      <c r="D10" t="s">
        <v>200</v>
      </c>
      <c r="E10" s="19" t="str">
        <f>_xlfn.TEXTJOIN(",",TRUE,Regions!$C$3:$D$3)</f>
        <v>IE,National</v>
      </c>
      <c r="F10" s="19">
        <f>ROUNDUP(Conversions!$B$2*SUM('EB2018'!$AA$30),1)</f>
        <v>41.5</v>
      </c>
      <c r="G10" s="19">
        <f>ROUNDUP(Conversions!$B$2*SUM('EB2019'!$AA$30),1)</f>
        <v>43.1</v>
      </c>
      <c r="H10" s="19">
        <f>ROUNDUP(Conversions!$B$2*SUM('EB2020'!$AA$30),1)</f>
        <v>43.9</v>
      </c>
      <c r="I10" s="19">
        <f>ROUNDUP(Conversions!$B$2*SUM('EB2021'!$AA$30),1)</f>
        <v>41.4</v>
      </c>
      <c r="J10" s="348">
        <f>ROUNDUP(Conversions!$B$2*SUM('EB2022'!$AA$30),1)</f>
        <v>38.1</v>
      </c>
      <c r="K10">
        <v>1</v>
      </c>
      <c r="L10" s="429"/>
      <c r="P10" s="394" t="s">
        <v>499</v>
      </c>
      <c r="Q10" t="s">
        <v>608</v>
      </c>
      <c r="R10" t="s">
        <v>200</v>
      </c>
      <c r="S10" s="19" t="str">
        <f>_xlfn.TEXTJOIN(",",TRUE,Regions!$C$3:$D$3)</f>
        <v>IE,National</v>
      </c>
      <c r="T10" s="19">
        <f t="shared" si="1"/>
        <v>49.8</v>
      </c>
      <c r="U10" s="19">
        <f t="shared" si="0"/>
        <v>51.72</v>
      </c>
      <c r="V10" s="19">
        <f t="shared" si="0"/>
        <v>52.68</v>
      </c>
      <c r="W10" s="19">
        <f t="shared" si="0"/>
        <v>49.68</v>
      </c>
      <c r="X10" s="348">
        <f t="shared" si="0"/>
        <v>45.72</v>
      </c>
      <c r="Y10" s="395">
        <v>1</v>
      </c>
    </row>
    <row r="11" spans="2:25">
      <c r="B11" t="s">
        <v>456</v>
      </c>
      <c r="C11" t="s">
        <v>607</v>
      </c>
      <c r="D11" t="s">
        <v>200</v>
      </c>
      <c r="E11" s="19" t="str">
        <f>_xlfn.TEXTJOIN(",",TRUE,Regions!$C$3:$D$3)</f>
        <v>IE,National</v>
      </c>
      <c r="F11" s="19">
        <f>ROUNDUP(Conversions!$B$2*SUM('EB2018'!$AP$30),1)</f>
        <v>0</v>
      </c>
      <c r="G11" s="19">
        <f>ROUNDUP(Conversions!$B$2*SUM('EB2019'!$AP$30),1)</f>
        <v>0</v>
      </c>
      <c r="H11" s="19">
        <f>ROUNDUP(Conversions!$B$2*SUM('EB2020'!$AP$30),1)</f>
        <v>0</v>
      </c>
      <c r="I11" s="19">
        <f>ROUNDUP(Conversions!$B$2*SUM('EB2021'!$AP$30),1)</f>
        <v>0</v>
      </c>
      <c r="J11" s="348">
        <f>ROUNDUP(Conversions!$B$2*SUM('EB2022'!$AP$30),1)</f>
        <v>0</v>
      </c>
      <c r="K11">
        <v>1</v>
      </c>
      <c r="L11" s="429"/>
      <c r="P11" s="394" t="s">
        <v>456</v>
      </c>
      <c r="Q11" t="s">
        <v>456</v>
      </c>
      <c r="R11" t="s">
        <v>456</v>
      </c>
      <c r="S11" s="19" t="s">
        <v>456</v>
      </c>
      <c r="T11" s="19"/>
      <c r="U11" s="19"/>
      <c r="V11" s="19"/>
      <c r="W11" s="19"/>
      <c r="X11" s="348"/>
      <c r="Y11" s="395"/>
    </row>
    <row r="12" spans="2:25">
      <c r="C12" s="437" t="s">
        <v>609</v>
      </c>
      <c r="D12" t="s">
        <v>200</v>
      </c>
      <c r="E12" s="19" t="str">
        <f>_xlfn.TEXTJOIN(",",TRUE,Regions!$C$3:$D$3)</f>
        <v>IE,National</v>
      </c>
      <c r="F12" s="19">
        <f>ROUNDUP(Conversions!$B$2*SUM('EB2018'!$AH$30),1)</f>
        <v>0.2</v>
      </c>
      <c r="G12" s="19">
        <f>ROUNDUP(Conversions!$B$2*SUM('EB2019'!$AH$30),1)</f>
        <v>0.2</v>
      </c>
      <c r="H12" s="19">
        <f>ROUNDUP(Conversions!$B$2*SUM('EB2020'!$AH$30),1)</f>
        <v>0.30000000000000004</v>
      </c>
      <c r="I12" s="19">
        <f>ROUNDUP(Conversions!$B$2*SUM('EB2021'!$AH$30),1)</f>
        <v>0.30000000000000004</v>
      </c>
      <c r="J12" s="348">
        <f>ROUNDUP(Conversions!$B$2*SUM('EB2022'!$AH$30),1)</f>
        <v>0.30000000000000004</v>
      </c>
      <c r="K12">
        <v>1</v>
      </c>
      <c r="L12" s="430"/>
      <c r="P12" s="394" t="s">
        <v>499</v>
      </c>
      <c r="Q12" s="437" t="s">
        <v>609</v>
      </c>
      <c r="R12" t="s">
        <v>200</v>
      </c>
      <c r="S12" s="19" t="str">
        <f>_xlfn.TEXTJOIN(",",TRUE,Regions!$C$3:$D$3)</f>
        <v>IE,National</v>
      </c>
      <c r="T12" s="19">
        <f t="shared" si="1"/>
        <v>0.24</v>
      </c>
      <c r="U12" s="19">
        <f t="shared" si="0"/>
        <v>0.24</v>
      </c>
      <c r="V12" s="19">
        <f t="shared" si="0"/>
        <v>0.36000000000000004</v>
      </c>
      <c r="W12" s="19">
        <f t="shared" si="0"/>
        <v>0.36000000000000004</v>
      </c>
      <c r="X12" s="348">
        <f t="shared" si="0"/>
        <v>0.36000000000000004</v>
      </c>
      <c r="Y12" s="395">
        <v>1</v>
      </c>
    </row>
    <row r="13" spans="2:25">
      <c r="C13" t="s">
        <v>606</v>
      </c>
      <c r="D13" t="s">
        <v>200</v>
      </c>
      <c r="E13" s="19" t="str">
        <f>_xlfn.TEXTJOIN(",",TRUE,Regions!$C$3:$D$3)</f>
        <v>IE,National</v>
      </c>
      <c r="F13" s="19">
        <f>ROUNDUP(Conversions!$B$2*SUM('EB2018'!$Q$30,'EB2018'!$U$30,'EB2018'!$S$30,'EB2018'!$T$30),1)</f>
        <v>8.1999999999999993</v>
      </c>
      <c r="G13" s="19">
        <f>ROUNDUP(Conversions!$B$2*SUM('EB2019'!$Q$30,'EB2019'!$U$30,'EB2019'!$S$30,'EB2019'!$T$30),1)</f>
        <v>8.1</v>
      </c>
      <c r="H13" s="19">
        <f>ROUNDUP(Conversions!$B$2*SUM('EB2020'!$Q$30,'EB2020'!$U$30,'EB2020'!$S$30,'EB2020'!$T$30),1)</f>
        <v>8.6</v>
      </c>
      <c r="I13" s="19">
        <f>ROUNDUP(Conversions!$B$2*SUM('EB2021'!$Q$30,'EB2021'!$U$30,'EB2021'!$S$30,'EB2021'!$T$30),1)</f>
        <v>8.1999999999999993</v>
      </c>
      <c r="J13" s="348">
        <f>ROUNDUP(Conversions!$B$2*SUM('EB2022'!$Q$30,'EB2021'!$U$30,'EB2021'!$S$30,'EB2021'!$T$30),1)</f>
        <v>8.1999999999999993</v>
      </c>
      <c r="K13">
        <v>1</v>
      </c>
      <c r="P13" s="394" t="s">
        <v>499</v>
      </c>
      <c r="Q13" t="s">
        <v>606</v>
      </c>
      <c r="R13" t="s">
        <v>200</v>
      </c>
      <c r="S13" s="19" t="str">
        <f>_xlfn.TEXTJOIN(",",TRUE,Regions!$C$3:$D$3)</f>
        <v>IE,National</v>
      </c>
      <c r="T13" s="19">
        <f t="shared" si="1"/>
        <v>9.8399999999999981</v>
      </c>
      <c r="U13" s="19">
        <f t="shared" si="0"/>
        <v>9.7199999999999989</v>
      </c>
      <c r="V13" s="19">
        <f t="shared" si="0"/>
        <v>10.319999999999999</v>
      </c>
      <c r="W13" s="19">
        <f t="shared" si="0"/>
        <v>9.8399999999999981</v>
      </c>
      <c r="X13" s="348">
        <f t="shared" si="0"/>
        <v>9.8399999999999981</v>
      </c>
      <c r="Y13" s="395">
        <v>5</v>
      </c>
    </row>
    <row r="14" spans="2:25" ht="15.75" thickBot="1">
      <c r="C14" t="s">
        <v>611</v>
      </c>
      <c r="D14" t="s">
        <v>200</v>
      </c>
      <c r="E14" s="19" t="str">
        <f>_xlfn.TEXTJOIN(",",TRUE,Regions!$C$3:$D$3)</f>
        <v>IE,National</v>
      </c>
      <c r="F14" s="19">
        <f>ROUNDUP(Conversions!$B$2*SUM('EB2018'!$AF$30),1)</f>
        <v>1.8</v>
      </c>
      <c r="G14" s="19">
        <f>ROUNDUP(Conversions!$B$2*SUM('EB2019'!$AF$30),1)</f>
        <v>1.7000000000000002</v>
      </c>
      <c r="H14" s="19">
        <f>ROUNDUP(Conversions!$B$2*SUM('EB2020'!$AF$30),1)</f>
        <v>1.9000000000000001</v>
      </c>
      <c r="I14" s="19">
        <f>ROUNDUP(Conversions!$B$2*SUM('EB2021'!$AF$30),1)</f>
        <v>2</v>
      </c>
      <c r="J14" s="348">
        <f>ROUNDUP(Conversions!$B$2*SUM('EB2022'!$AF$30),1)</f>
        <v>2.3000000000000003</v>
      </c>
      <c r="K14">
        <v>1</v>
      </c>
      <c r="P14" s="396" t="s">
        <v>499</v>
      </c>
      <c r="Q14" t="s">
        <v>611</v>
      </c>
      <c r="R14" s="397" t="s">
        <v>200</v>
      </c>
      <c r="S14" s="398" t="str">
        <f>_xlfn.TEXTJOIN(",",TRUE,Regions!$C$3:$D$3)</f>
        <v>IE,National</v>
      </c>
      <c r="T14" s="398">
        <f t="shared" si="1"/>
        <v>2.16</v>
      </c>
      <c r="U14" s="398">
        <f t="shared" si="0"/>
        <v>2.04</v>
      </c>
      <c r="V14" s="398">
        <f t="shared" si="0"/>
        <v>2.2800000000000002</v>
      </c>
      <c r="W14" s="398">
        <f t="shared" si="0"/>
        <v>2.4</v>
      </c>
      <c r="X14" s="399">
        <f t="shared" si="0"/>
        <v>2.7600000000000002</v>
      </c>
      <c r="Y14" s="400">
        <v>1</v>
      </c>
    </row>
    <row r="15" spans="2:25">
      <c r="P15" s="389" t="s">
        <v>485</v>
      </c>
      <c r="Q15" t="s">
        <v>607</v>
      </c>
      <c r="R15" s="390" t="s">
        <v>200</v>
      </c>
      <c r="S15" s="391" t="str">
        <f>_xlfn.TEXTJOIN(",",TRUE,Regions!$C$3:$D$3)</f>
        <v>IE,National</v>
      </c>
      <c r="T15" s="391">
        <f>+F4*(1-$N$1)</f>
        <v>4.8000000000000007</v>
      </c>
      <c r="U15" s="391">
        <f t="shared" ref="U15:X24" si="3">+G4*(1-$N$1)</f>
        <v>4.6399999999999997</v>
      </c>
      <c r="V15" s="391">
        <f t="shared" si="3"/>
        <v>4.24</v>
      </c>
      <c r="W15" s="391">
        <f t="shared" si="3"/>
        <v>4.88</v>
      </c>
      <c r="X15" s="392">
        <f t="shared" si="3"/>
        <v>4</v>
      </c>
      <c r="Y15" s="393">
        <v>1</v>
      </c>
    </row>
    <row r="16" spans="2:25">
      <c r="F16" s="19">
        <f>SUM(F4:F15)</f>
        <v>94.5</v>
      </c>
      <c r="G16" s="19">
        <f t="shared" ref="G16:J16" si="4">SUM(G4:G15)</f>
        <v>96.5</v>
      </c>
      <c r="H16" s="19">
        <f t="shared" si="4"/>
        <v>96.2</v>
      </c>
      <c r="I16" s="19">
        <f t="shared" si="4"/>
        <v>94.1</v>
      </c>
      <c r="J16" s="19">
        <f t="shared" si="4"/>
        <v>89.7</v>
      </c>
      <c r="P16" s="394" t="s">
        <v>485</v>
      </c>
      <c r="Q16" t="s">
        <v>610</v>
      </c>
      <c r="R16" t="s">
        <v>200</v>
      </c>
      <c r="S16" s="19" t="str">
        <f>_xlfn.TEXTJOIN(",",TRUE,Regions!$C$3:$D$3)</f>
        <v>IE,National</v>
      </c>
      <c r="T16" s="19">
        <f>+F5*(1-$N$1)*0.95</f>
        <v>4.9399999999999995</v>
      </c>
      <c r="U16" s="19">
        <f t="shared" si="3"/>
        <v>4.96</v>
      </c>
      <c r="V16" s="19">
        <f t="shared" si="3"/>
        <v>4.6399999999999997</v>
      </c>
      <c r="W16" s="19">
        <f t="shared" si="3"/>
        <v>4.24</v>
      </c>
      <c r="X16" s="348">
        <f t="shared" si="3"/>
        <v>4.4000000000000004</v>
      </c>
      <c r="Y16" s="395">
        <v>1</v>
      </c>
    </row>
    <row r="17" spans="3:25">
      <c r="P17" s="394" t="s">
        <v>485</v>
      </c>
      <c r="Q17" t="s">
        <v>604</v>
      </c>
      <c r="R17" t="s">
        <v>200</v>
      </c>
      <c r="S17" s="19" t="str">
        <f>_xlfn.TEXTJOIN(",",TRUE,Regions!$C$3:$D$3)</f>
        <v>IE,National</v>
      </c>
      <c r="T17" s="19">
        <f t="shared" ref="T17:T24" si="5">+F6*(1-$N$1)</f>
        <v>3.6</v>
      </c>
      <c r="U17" s="19">
        <f t="shared" si="3"/>
        <v>2.72</v>
      </c>
      <c r="V17" s="19">
        <f t="shared" si="3"/>
        <v>2.5600000000000005</v>
      </c>
      <c r="W17" s="19">
        <f t="shared" si="3"/>
        <v>3.0400000000000005</v>
      </c>
      <c r="X17" s="348">
        <f t="shared" si="3"/>
        <v>2.4000000000000004</v>
      </c>
      <c r="Y17" s="395">
        <v>1</v>
      </c>
    </row>
    <row r="18" spans="3:25">
      <c r="C18" t="s">
        <v>604</v>
      </c>
      <c r="P18" s="394" t="s">
        <v>456</v>
      </c>
      <c r="Q18" t="s">
        <v>616</v>
      </c>
      <c r="R18" t="s">
        <v>200</v>
      </c>
      <c r="S18" s="19" t="str">
        <f>_xlfn.TEXTJOIN(",",TRUE,Regions!$C$3:$D$3)</f>
        <v>IE,National</v>
      </c>
      <c r="T18" s="19">
        <f>+F7*(1-$N$1)*0.95</f>
        <v>7.6000000000000012E-2</v>
      </c>
      <c r="U18" s="19">
        <f t="shared" si="3"/>
        <v>0</v>
      </c>
      <c r="V18" s="19">
        <f t="shared" si="3"/>
        <v>0</v>
      </c>
      <c r="W18" s="19">
        <f t="shared" si="3"/>
        <v>0</v>
      </c>
      <c r="X18" s="348">
        <f t="shared" si="3"/>
        <v>0</v>
      </c>
      <c r="Y18" s="395">
        <v>1</v>
      </c>
    </row>
    <row r="19" spans="3:25">
      <c r="C19" t="s">
        <v>605</v>
      </c>
      <c r="P19" s="394" t="s">
        <v>485</v>
      </c>
      <c r="Q19" t="s">
        <v>506</v>
      </c>
      <c r="R19" t="s">
        <v>200</v>
      </c>
      <c r="S19" s="19" t="str">
        <f>_xlfn.TEXTJOIN(",",TRUE,Regions!$C$3:$D$3)</f>
        <v>IE,National</v>
      </c>
      <c r="T19" s="19">
        <f t="shared" si="5"/>
        <v>18.720000000000002</v>
      </c>
      <c r="U19" s="19">
        <f t="shared" si="3"/>
        <v>20.480000000000004</v>
      </c>
      <c r="V19" s="19">
        <f t="shared" si="3"/>
        <v>19.920000000000002</v>
      </c>
      <c r="W19" s="19">
        <f t="shared" si="3"/>
        <v>19.760000000000005</v>
      </c>
      <c r="X19" s="348">
        <f t="shared" si="3"/>
        <v>19.840000000000003</v>
      </c>
      <c r="Y19" s="395">
        <v>1</v>
      </c>
    </row>
    <row r="20" spans="3:25">
      <c r="C20" t="s">
        <v>606</v>
      </c>
      <c r="P20" s="394" t="s">
        <v>485</v>
      </c>
      <c r="Q20" t="s">
        <v>612</v>
      </c>
      <c r="R20" t="s">
        <v>200</v>
      </c>
      <c r="S20" s="19" t="str">
        <f>_xlfn.TEXTJOIN(",",TRUE,Regions!$C$3:$D$3)</f>
        <v>IE,National</v>
      </c>
      <c r="T20" s="19">
        <f>+F9*(1-3*$N$1)</f>
        <v>0.91999999999999993</v>
      </c>
      <c r="U20" s="19">
        <f t="shared" ref="U20:X20" si="6">+G9*(1-3*$N$1)</f>
        <v>0.95999999999999974</v>
      </c>
      <c r="V20" s="19">
        <f t="shared" si="6"/>
        <v>0.91999999999999993</v>
      </c>
      <c r="W20" s="19">
        <f t="shared" si="6"/>
        <v>0.91999999999999993</v>
      </c>
      <c r="X20" s="19">
        <f t="shared" si="6"/>
        <v>0.99999999999999978</v>
      </c>
      <c r="Y20" s="395">
        <v>5</v>
      </c>
    </row>
    <row r="21" spans="3:25">
      <c r="C21" t="s">
        <v>607</v>
      </c>
      <c r="P21" s="394" t="s">
        <v>485</v>
      </c>
      <c r="Q21" t="s">
        <v>608</v>
      </c>
      <c r="R21" t="s">
        <v>200</v>
      </c>
      <c r="S21" s="19" t="str">
        <f>_xlfn.TEXTJOIN(",",TRUE,Regions!$C$3:$D$3)</f>
        <v>IE,National</v>
      </c>
      <c r="T21" s="19">
        <f t="shared" si="5"/>
        <v>33.200000000000003</v>
      </c>
      <c r="U21" s="19">
        <f t="shared" si="3"/>
        <v>34.480000000000004</v>
      </c>
      <c r="V21" s="19">
        <f t="shared" si="3"/>
        <v>35.119999999999997</v>
      </c>
      <c r="W21" s="19">
        <f t="shared" si="3"/>
        <v>33.119999999999997</v>
      </c>
      <c r="X21" s="348">
        <f t="shared" si="3"/>
        <v>30.480000000000004</v>
      </c>
      <c r="Y21" s="395">
        <v>1</v>
      </c>
    </row>
    <row r="22" spans="3:25">
      <c r="C22" t="s">
        <v>608</v>
      </c>
      <c r="P22" s="394" t="s">
        <v>456</v>
      </c>
      <c r="Q22" t="s">
        <v>456</v>
      </c>
      <c r="R22" t="s">
        <v>456</v>
      </c>
      <c r="S22" s="19" t="s">
        <v>456</v>
      </c>
      <c r="T22" s="19"/>
      <c r="U22" s="19"/>
      <c r="V22" s="19"/>
      <c r="W22" s="19"/>
      <c r="X22" s="348"/>
      <c r="Y22" s="395"/>
    </row>
    <row r="23" spans="3:25">
      <c r="C23" t="s">
        <v>506</v>
      </c>
      <c r="P23" s="394" t="s">
        <v>456</v>
      </c>
      <c r="Q23" s="437" t="s">
        <v>609</v>
      </c>
      <c r="R23" t="s">
        <v>200</v>
      </c>
      <c r="S23" s="19" t="str">
        <f>_xlfn.TEXTJOIN(",",TRUE,Regions!$C$3:$D$3)</f>
        <v>IE,National</v>
      </c>
      <c r="T23" s="19">
        <f>+F12*(1-$N$1)*0.9</f>
        <v>0.14400000000000004</v>
      </c>
      <c r="U23" s="19">
        <f t="shared" si="3"/>
        <v>0.16000000000000003</v>
      </c>
      <c r="V23" s="19">
        <f t="shared" si="3"/>
        <v>0.24000000000000005</v>
      </c>
      <c r="W23" s="19">
        <f t="shared" si="3"/>
        <v>0.24000000000000005</v>
      </c>
      <c r="X23" s="348">
        <f t="shared" si="3"/>
        <v>0.24000000000000005</v>
      </c>
      <c r="Y23" s="395">
        <v>1</v>
      </c>
    </row>
    <row r="24" spans="3:25">
      <c r="C24" t="s">
        <v>609</v>
      </c>
      <c r="P24" s="394" t="s">
        <v>485</v>
      </c>
      <c r="Q24" t="s">
        <v>606</v>
      </c>
      <c r="R24" t="s">
        <v>200</v>
      </c>
      <c r="S24" s="19" t="str">
        <f>_xlfn.TEXTJOIN(",",TRUE,Regions!$C$3:$D$3)</f>
        <v>IE,National</v>
      </c>
      <c r="T24" s="19">
        <f t="shared" si="5"/>
        <v>6.56</v>
      </c>
      <c r="U24" s="19">
        <f t="shared" si="3"/>
        <v>6.48</v>
      </c>
      <c r="V24" s="19">
        <f t="shared" si="3"/>
        <v>6.88</v>
      </c>
      <c r="W24" s="19">
        <f t="shared" si="3"/>
        <v>6.56</v>
      </c>
      <c r="X24" s="348">
        <f t="shared" si="3"/>
        <v>6.56</v>
      </c>
      <c r="Y24" s="395">
        <v>1</v>
      </c>
    </row>
    <row r="25" spans="3:25" ht="15.75" thickBot="1">
      <c r="C25" t="s">
        <v>610</v>
      </c>
      <c r="P25" s="396" t="s">
        <v>485</v>
      </c>
      <c r="Q25" t="s">
        <v>611</v>
      </c>
      <c r="R25" s="397" t="s">
        <v>200</v>
      </c>
      <c r="S25" s="398" t="str">
        <f>_xlfn.TEXTJOIN(",",TRUE,Regions!$C$3:$D$3)</f>
        <v>IE,National</v>
      </c>
      <c r="T25" s="398">
        <f>+F14*(1-3*$N$1)</f>
        <v>0.71999999999999986</v>
      </c>
      <c r="U25" s="398">
        <f t="shared" ref="U25:X25" si="7">+G14*(1-3*$N$1)</f>
        <v>0.67999999999999994</v>
      </c>
      <c r="V25" s="398">
        <f t="shared" si="7"/>
        <v>0.7599999999999999</v>
      </c>
      <c r="W25" s="398">
        <f t="shared" si="7"/>
        <v>0.79999999999999982</v>
      </c>
      <c r="X25" s="398">
        <f t="shared" si="7"/>
        <v>0.91999999999999993</v>
      </c>
      <c r="Y25" s="400">
        <v>5</v>
      </c>
    </row>
    <row r="26" spans="3:25">
      <c r="C26" t="s">
        <v>611</v>
      </c>
    </row>
    <row r="27" spans="3:25">
      <c r="C27" t="s">
        <v>612</v>
      </c>
    </row>
    <row r="28" spans="3:25">
      <c r="C28" t="s">
        <v>613</v>
      </c>
    </row>
    <row r="29" spans="3:25">
      <c r="C29" t="s">
        <v>614</v>
      </c>
    </row>
    <row r="30" spans="3:25">
      <c r="C30" t="s">
        <v>615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F1" workbookViewId="0">
      <selection activeCell="X19" sqref="X19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584</v>
      </c>
      <c r="N1" s="428">
        <v>0.02</v>
      </c>
    </row>
    <row r="2" spans="2:25">
      <c r="B2" s="28" t="s">
        <v>583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499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499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499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499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499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499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499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499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499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499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499</v>
      </c>
      <c r="Q14" s="397" t="s">
        <v>586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485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485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485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485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485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485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+F12*(1-$N$1)*0.8</f>
        <v>1.8032000000000001</v>
      </c>
      <c r="U23" s="19">
        <f t="shared" ref="U23:X23" si="12">+G12*(1-$N$1)*0.8</f>
        <v>1.6463999999999999</v>
      </c>
      <c r="V23" s="19">
        <f t="shared" si="12"/>
        <v>1.8815999999999999</v>
      </c>
      <c r="W23" s="19">
        <f t="shared" si="12"/>
        <v>1.6463999999999999</v>
      </c>
      <c r="X23" s="19">
        <f t="shared" si="12"/>
        <v>1.4896000000000003</v>
      </c>
      <c r="Y23" s="395">
        <v>1</v>
      </c>
    </row>
    <row r="24" spans="16:25">
      <c r="P24" s="394" t="s">
        <v>485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.7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C1" workbookViewId="0">
      <selection activeCell="N13" sqref="N13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584</v>
      </c>
      <c r="N1" s="428">
        <v>0.03</v>
      </c>
    </row>
    <row r="2" spans="2:25">
      <c r="B2" s="28" t="s">
        <v>583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524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499</v>
      </c>
      <c r="Q4" s="390" t="s">
        <v>524</v>
      </c>
      <c r="R4" s="390" t="s">
        <v>200</v>
      </c>
      <c r="S4" s="391" t="str">
        <f>_xlfn.TEXTJOIN(",",TRUE,Regions!$C$3:$D$3)</f>
        <v>IE,National</v>
      </c>
      <c r="T4" s="391">
        <f>+F4*(2+$N$1)</f>
        <v>1.4209999999999998</v>
      </c>
      <c r="U4" s="391">
        <f t="shared" ref="U4:X4" si="0">+G4*(2+$N$1)</f>
        <v>1.4209999999999998</v>
      </c>
      <c r="V4" s="391">
        <f t="shared" si="0"/>
        <v>1.827</v>
      </c>
      <c r="W4" s="391">
        <f t="shared" si="0"/>
        <v>2.0299999999999998</v>
      </c>
      <c r="X4" s="391">
        <f t="shared" si="0"/>
        <v>2.6593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499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0</v>
      </c>
      <c r="U5" s="19">
        <f t="shared" ref="U5:X14" si="2">+G5*(1+$N$1)</f>
        <v>0</v>
      </c>
      <c r="V5" s="19">
        <f t="shared" si="2"/>
        <v>0</v>
      </c>
      <c r="W5" s="19">
        <f t="shared" si="2"/>
        <v>0</v>
      </c>
      <c r="X5" s="348">
        <f t="shared" si="2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499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2"/>
        <v>0.30900000000000005</v>
      </c>
      <c r="V6" s="19">
        <f t="shared" si="2"/>
        <v>0.30900000000000005</v>
      </c>
      <c r="W6" s="19">
        <f t="shared" si="2"/>
        <v>0.30900000000000005</v>
      </c>
      <c r="X6" s="348">
        <f t="shared" si="2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499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2"/>
        <v>0.61799999999999999</v>
      </c>
      <c r="V7" s="19">
        <f t="shared" si="2"/>
        <v>0.72099999999999997</v>
      </c>
      <c r="W7" s="19">
        <f t="shared" si="2"/>
        <v>0.82399999999999995</v>
      </c>
      <c r="X7" s="348">
        <f t="shared" si="2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499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2"/>
        <v>0.10300000000000001</v>
      </c>
      <c r="V8" s="19">
        <f t="shared" si="2"/>
        <v>0.10300000000000001</v>
      </c>
      <c r="W8" s="19">
        <f t="shared" si="2"/>
        <v>0.10300000000000001</v>
      </c>
      <c r="X8" s="348">
        <f t="shared" si="2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499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2"/>
        <v>48.307000000000002</v>
      </c>
      <c r="V9" s="19">
        <f t="shared" si="2"/>
        <v>45.938000000000002</v>
      </c>
      <c r="W9" s="19">
        <f t="shared" si="2"/>
        <v>50.573</v>
      </c>
      <c r="X9" s="348">
        <f t="shared" si="2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499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2"/>
        <v>0</v>
      </c>
      <c r="V10" s="19">
        <f t="shared" si="2"/>
        <v>0</v>
      </c>
      <c r="W10" s="19">
        <f t="shared" si="2"/>
        <v>0</v>
      </c>
      <c r="X10" s="348">
        <f t="shared" si="2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499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2"/>
        <v>14.625999999999999</v>
      </c>
      <c r="V11" s="19">
        <f t="shared" si="2"/>
        <v>13.287000000000001</v>
      </c>
      <c r="W11" s="19">
        <f t="shared" si="2"/>
        <v>15.141</v>
      </c>
      <c r="X11" s="348">
        <f t="shared" si="2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499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2"/>
        <v>0</v>
      </c>
      <c r="V12" s="19">
        <f t="shared" si="2"/>
        <v>0</v>
      </c>
      <c r="W12" s="19">
        <f t="shared" si="2"/>
        <v>0</v>
      </c>
      <c r="X12" s="348">
        <f t="shared" si="2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499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2"/>
        <v>3.09</v>
      </c>
      <c r="V13" s="19">
        <f t="shared" si="2"/>
        <v>2.3690000000000002</v>
      </c>
      <c r="W13" s="19">
        <f t="shared" si="2"/>
        <v>2.6780000000000004</v>
      </c>
      <c r="X13" s="348">
        <f t="shared" si="2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499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2"/>
        <v>6.5919999999999996</v>
      </c>
      <c r="V14" s="19">
        <f t="shared" si="2"/>
        <v>5.9740000000000002</v>
      </c>
      <c r="W14" s="19">
        <f t="shared" si="2"/>
        <v>5.7679999999999998</v>
      </c>
      <c r="X14" s="348">
        <f t="shared" si="2"/>
        <v>5.4589999999999996</v>
      </c>
      <c r="Y14" s="395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499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>+F15*(5+$N$1)</f>
        <v>0.503</v>
      </c>
      <c r="U15" s="398">
        <f t="shared" ref="U15:X15" si="3">+G15*(5+$N$1)</f>
        <v>0.503</v>
      </c>
      <c r="V15" s="398">
        <f t="shared" si="3"/>
        <v>0.503</v>
      </c>
      <c r="W15" s="398">
        <f t="shared" si="3"/>
        <v>0.503</v>
      </c>
      <c r="X15" s="398">
        <f t="shared" si="3"/>
        <v>0.503</v>
      </c>
      <c r="Y15" s="400">
        <v>1</v>
      </c>
    </row>
    <row r="16" spans="2:25">
      <c r="P16" s="389" t="s">
        <v>456</v>
      </c>
      <c r="Q16" s="390" t="s">
        <v>524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4">+G4*(1-$N$1)</f>
        <v>0.67899999999999994</v>
      </c>
      <c r="V16" s="391">
        <f t="shared" si="4"/>
        <v>0.873</v>
      </c>
      <c r="W16" s="391">
        <f t="shared" si="4"/>
        <v>0.97</v>
      </c>
      <c r="X16" s="392">
        <f t="shared" si="4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5">+F5*(1-$N$1)</f>
        <v>0</v>
      </c>
      <c r="U17" s="19">
        <f t="shared" ref="U17:U27" si="6">+G5*(1-$N$1)</f>
        <v>0</v>
      </c>
      <c r="V17" s="19">
        <f t="shared" ref="V17:V27" si="7">+H5*(1-$N$1)</f>
        <v>0</v>
      </c>
      <c r="W17" s="19">
        <f t="shared" ref="W17:W27" si="8">+I5*(1-$N$1)</f>
        <v>0</v>
      </c>
      <c r="X17" s="348">
        <f t="shared" ref="X17:X27" si="9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5"/>
        <v>0.29100000000000004</v>
      </c>
      <c r="U18" s="19">
        <f t="shared" si="6"/>
        <v>0.29100000000000004</v>
      </c>
      <c r="V18" s="19">
        <f t="shared" si="7"/>
        <v>0.29100000000000004</v>
      </c>
      <c r="W18" s="19">
        <f t="shared" si="8"/>
        <v>0.29100000000000004</v>
      </c>
      <c r="X18" s="348">
        <f t="shared" si="9"/>
        <v>0.29100000000000004</v>
      </c>
      <c r="Y18" s="395">
        <v>1</v>
      </c>
    </row>
    <row r="19" spans="6:25">
      <c r="P19" s="394" t="s">
        <v>485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6"/>
        <v>0.58199999999999996</v>
      </c>
      <c r="V19" s="19">
        <f t="shared" si="7"/>
        <v>0.67899999999999994</v>
      </c>
      <c r="W19" s="19">
        <f t="shared" si="8"/>
        <v>0.77599999999999991</v>
      </c>
      <c r="X19" s="348">
        <f t="shared" si="9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5"/>
        <v>9.7000000000000003E-2</v>
      </c>
      <c r="U20" s="19">
        <f t="shared" si="6"/>
        <v>9.7000000000000003E-2</v>
      </c>
      <c r="V20" s="19">
        <f t="shared" si="7"/>
        <v>9.7000000000000003E-2</v>
      </c>
      <c r="W20" s="19">
        <f t="shared" si="8"/>
        <v>9.7000000000000003E-2</v>
      </c>
      <c r="X20" s="348">
        <f t="shared" si="9"/>
        <v>9.7000000000000003E-2</v>
      </c>
      <c r="Y20" s="395">
        <v>1</v>
      </c>
    </row>
    <row r="21" spans="6:25">
      <c r="P21" s="394" t="s">
        <v>485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5"/>
        <v>44.037999999999997</v>
      </c>
      <c r="U21" s="19">
        <f t="shared" si="6"/>
        <v>45.492999999999995</v>
      </c>
      <c r="V21" s="19">
        <f t="shared" si="7"/>
        <v>43.262</v>
      </c>
      <c r="W21" s="19">
        <f t="shared" si="8"/>
        <v>47.627000000000002</v>
      </c>
      <c r="X21" s="348">
        <f t="shared" si="9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5"/>
        <v>0</v>
      </c>
      <c r="U22" s="19">
        <f t="shared" si="6"/>
        <v>0</v>
      </c>
      <c r="V22" s="19">
        <f t="shared" si="7"/>
        <v>0</v>
      </c>
      <c r="W22" s="19">
        <f t="shared" si="8"/>
        <v>0</v>
      </c>
      <c r="X22" s="348">
        <f t="shared" si="9"/>
        <v>0</v>
      </c>
      <c r="Y22" s="395">
        <v>1</v>
      </c>
    </row>
    <row r="23" spans="6:25">
      <c r="P23" s="394" t="s">
        <v>485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6"/>
        <v>13.773999999999999</v>
      </c>
      <c r="V23" s="19">
        <f t="shared" si="7"/>
        <v>12.513</v>
      </c>
      <c r="W23" s="19">
        <f t="shared" si="8"/>
        <v>14.258999999999999</v>
      </c>
      <c r="X23" s="348">
        <f t="shared" si="9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5"/>
        <v>0</v>
      </c>
      <c r="U24" s="19">
        <f t="shared" si="6"/>
        <v>0</v>
      </c>
      <c r="V24" s="19">
        <f t="shared" si="7"/>
        <v>0</v>
      </c>
      <c r="W24" s="19">
        <f t="shared" si="8"/>
        <v>0</v>
      </c>
      <c r="X24" s="348">
        <f t="shared" si="9"/>
        <v>0</v>
      </c>
      <c r="Y24" s="395">
        <v>1</v>
      </c>
    </row>
    <row r="25" spans="6:25">
      <c r="P25" s="394" t="s">
        <v>485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5"/>
        <v>2.7160000000000002</v>
      </c>
      <c r="U25" s="19">
        <f t="shared" si="6"/>
        <v>2.91</v>
      </c>
      <c r="V25" s="19">
        <f t="shared" si="7"/>
        <v>2.2310000000000003</v>
      </c>
      <c r="W25" s="19">
        <f t="shared" si="8"/>
        <v>2.5219999999999998</v>
      </c>
      <c r="X25" s="348">
        <f t="shared" si="9"/>
        <v>2.6190000000000002</v>
      </c>
      <c r="Y25" s="395">
        <v>1</v>
      </c>
    </row>
    <row r="26" spans="6:25">
      <c r="P26" s="394" t="s">
        <v>485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5"/>
        <v>6.8869999999999996</v>
      </c>
      <c r="U26">
        <f t="shared" si="6"/>
        <v>6.2079999999999993</v>
      </c>
      <c r="V26">
        <f t="shared" si="7"/>
        <v>5.6259999999999994</v>
      </c>
      <c r="W26">
        <f t="shared" si="8"/>
        <v>5.4319999999999995</v>
      </c>
      <c r="X26">
        <f t="shared" si="9"/>
        <v>5.141</v>
      </c>
      <c r="Y26" s="395">
        <v>1</v>
      </c>
    </row>
    <row r="27" spans="6:25" ht="15.7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5"/>
        <v>9.7000000000000003E-2</v>
      </c>
      <c r="U27" s="397">
        <f t="shared" si="6"/>
        <v>9.7000000000000003E-2</v>
      </c>
      <c r="V27" s="397">
        <f t="shared" si="7"/>
        <v>9.7000000000000003E-2</v>
      </c>
      <c r="W27" s="397">
        <f t="shared" si="8"/>
        <v>9.7000000000000003E-2</v>
      </c>
      <c r="X27" s="397">
        <f t="shared" si="9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C39" workbookViewId="0">
      <selection activeCell="Y61" sqref="Y61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","UC_T","")</f>
        <v>UC_T</v>
      </c>
    </row>
    <row r="5" spans="2:10">
      <c r="B5" s="350" t="s">
        <v>461</v>
      </c>
      <c r="C5" s="351" t="s">
        <v>473</v>
      </c>
      <c r="D5" s="351" t="s">
        <v>474</v>
      </c>
      <c r="E5" s="351" t="s">
        <v>225</v>
      </c>
      <c r="F5" s="351" t="s">
        <v>226</v>
      </c>
      <c r="G5" s="351" t="s">
        <v>227</v>
      </c>
      <c r="H5" s="352" t="s">
        <v>497</v>
      </c>
      <c r="I5" s="353" t="s">
        <v>479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477</v>
      </c>
      <c r="J6" s="30"/>
    </row>
    <row r="7" spans="2:10">
      <c r="B7" t="str">
        <f>"UC_Historic_"&amp;C7&amp;"-cons_Multi"</f>
        <v>UC_Historic_TRABDL-cons_Multi</v>
      </c>
      <c r="C7" t="s">
        <v>514</v>
      </c>
      <c r="F7">
        <v>2018</v>
      </c>
      <c r="G7" t="s">
        <v>499</v>
      </c>
      <c r="H7">
        <v>1</v>
      </c>
      <c r="I7" s="19">
        <f>F49</f>
        <v>5.8999999999999995</v>
      </c>
      <c r="J7" t="s">
        <v>522</v>
      </c>
    </row>
    <row r="8" spans="2:10">
      <c r="F8">
        <v>2019</v>
      </c>
      <c r="G8" t="s">
        <v>499</v>
      </c>
      <c r="I8" s="19">
        <f>G49</f>
        <v>6.8</v>
      </c>
    </row>
    <row r="9" spans="2:10">
      <c r="F9">
        <v>2020</v>
      </c>
      <c r="G9" t="s">
        <v>499</v>
      </c>
      <c r="I9" s="19">
        <f>H49</f>
        <v>6.5</v>
      </c>
    </row>
    <row r="10" spans="2:10">
      <c r="F10">
        <v>2021</v>
      </c>
      <c r="G10" t="s">
        <v>499</v>
      </c>
      <c r="I10" s="19">
        <f>I49</f>
        <v>6.6999999999999993</v>
      </c>
    </row>
    <row r="11" spans="2:10">
      <c r="F11">
        <v>2022</v>
      </c>
      <c r="G11" t="s">
        <v>499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515</v>
      </c>
      <c r="F13">
        <v>2018</v>
      </c>
      <c r="G13" t="s">
        <v>499</v>
      </c>
      <c r="H13">
        <v>1</v>
      </c>
      <c r="I13" s="19">
        <f>F50</f>
        <v>141.89999999999998</v>
      </c>
      <c r="J13" t="s">
        <v>523</v>
      </c>
    </row>
    <row r="14" spans="2:10">
      <c r="F14">
        <v>2019</v>
      </c>
      <c r="G14" t="s">
        <v>499</v>
      </c>
      <c r="I14" s="19">
        <f>G50</f>
        <v>133.22</v>
      </c>
    </row>
    <row r="15" spans="2:10">
      <c r="F15">
        <v>2020</v>
      </c>
      <c r="G15" t="s">
        <v>499</v>
      </c>
      <c r="I15" s="19">
        <f>H50</f>
        <v>113.3</v>
      </c>
    </row>
    <row r="16" spans="2:10">
      <c r="F16">
        <v>2021</v>
      </c>
      <c r="G16" t="s">
        <v>499</v>
      </c>
      <c r="I16" s="19">
        <f>I50</f>
        <v>120.89999999999999</v>
      </c>
    </row>
    <row r="17" spans="2:10">
      <c r="F17">
        <v>2022</v>
      </c>
      <c r="G17" t="s">
        <v>499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507</v>
      </c>
      <c r="F19">
        <v>2018</v>
      </c>
      <c r="G19" t="s">
        <v>499</v>
      </c>
      <c r="H19">
        <v>1</v>
      </c>
      <c r="I19" s="19">
        <f>F51</f>
        <v>0.38300000000000006</v>
      </c>
      <c r="J19" t="s">
        <v>508</v>
      </c>
    </row>
    <row r="20" spans="2:10">
      <c r="F20">
        <v>2019</v>
      </c>
      <c r="G20" t="s">
        <v>499</v>
      </c>
      <c r="I20" s="19">
        <f>G51</f>
        <v>0.52</v>
      </c>
    </row>
    <row r="21" spans="2:10">
      <c r="F21">
        <v>2020</v>
      </c>
      <c r="G21" t="s">
        <v>499</v>
      </c>
      <c r="I21" s="19">
        <f>H51</f>
        <v>0.65</v>
      </c>
    </row>
    <row r="22" spans="2:10">
      <c r="F22">
        <v>2021</v>
      </c>
      <c r="G22" t="s">
        <v>499</v>
      </c>
      <c r="I22" s="19">
        <f>I51</f>
        <v>0.72</v>
      </c>
    </row>
    <row r="23" spans="2:10">
      <c r="F23">
        <v>2022</v>
      </c>
      <c r="G23" t="s">
        <v>499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516</v>
      </c>
      <c r="F25">
        <v>2018</v>
      </c>
      <c r="G25" t="s">
        <v>499</v>
      </c>
      <c r="H25">
        <v>1</v>
      </c>
      <c r="I25" s="19">
        <f>F52</f>
        <v>1.2000000000000002</v>
      </c>
      <c r="J25" t="s">
        <v>521</v>
      </c>
    </row>
    <row r="26" spans="2:10">
      <c r="F26">
        <v>2019</v>
      </c>
      <c r="G26" t="s">
        <v>499</v>
      </c>
      <c r="I26" s="19">
        <f>G52</f>
        <v>1.1000000000000001</v>
      </c>
    </row>
    <row r="27" spans="2:10">
      <c r="F27">
        <v>2020</v>
      </c>
      <c r="G27" t="s">
        <v>499</v>
      </c>
      <c r="I27" s="19">
        <f>H52</f>
        <v>0.9</v>
      </c>
    </row>
    <row r="28" spans="2:10">
      <c r="F28">
        <v>2021</v>
      </c>
      <c r="G28" t="s">
        <v>499</v>
      </c>
      <c r="I28" s="19">
        <f>I52</f>
        <v>0.9</v>
      </c>
    </row>
    <row r="29" spans="2:10">
      <c r="F29">
        <v>2022</v>
      </c>
      <c r="G29" t="s">
        <v>499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517</v>
      </c>
      <c r="F31">
        <v>2018</v>
      </c>
      <c r="G31" t="s">
        <v>499</v>
      </c>
      <c r="H31">
        <v>1</v>
      </c>
      <c r="I31" s="19">
        <f>F53</f>
        <v>34.4</v>
      </c>
      <c r="J31" t="s">
        <v>520</v>
      </c>
    </row>
    <row r="32" spans="2:10">
      <c r="F32">
        <v>2019</v>
      </c>
      <c r="G32" t="s">
        <v>499</v>
      </c>
      <c r="I32" s="19">
        <f>G53</f>
        <v>32.700000000000003</v>
      </c>
    </row>
    <row r="33" spans="2:26">
      <c r="F33">
        <v>2020</v>
      </c>
      <c r="G33" t="s">
        <v>499</v>
      </c>
      <c r="I33" s="19">
        <f>H53</f>
        <v>27.87</v>
      </c>
    </row>
    <row r="34" spans="2:26">
      <c r="F34">
        <v>2021</v>
      </c>
      <c r="G34" t="s">
        <v>499</v>
      </c>
      <c r="I34" s="19">
        <f>I53</f>
        <v>25.700000000000003</v>
      </c>
    </row>
    <row r="35" spans="2:26">
      <c r="F35">
        <v>2022</v>
      </c>
      <c r="G35" t="s">
        <v>499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518</v>
      </c>
      <c r="F37">
        <v>2018</v>
      </c>
      <c r="G37" t="s">
        <v>499</v>
      </c>
      <c r="H37">
        <v>1</v>
      </c>
      <c r="I37" s="19">
        <f>F54</f>
        <v>46.202000000000005</v>
      </c>
      <c r="J37" t="s">
        <v>519</v>
      </c>
    </row>
    <row r="38" spans="2:26">
      <c r="F38">
        <v>2019</v>
      </c>
      <c r="G38" t="s">
        <v>499</v>
      </c>
      <c r="I38" s="19">
        <f>G54</f>
        <v>46.800000000000004</v>
      </c>
    </row>
    <row r="39" spans="2:26">
      <c r="F39">
        <v>2020</v>
      </c>
      <c r="G39" t="s">
        <v>499</v>
      </c>
      <c r="I39" s="19">
        <f>H54</f>
        <v>16.700000000000003</v>
      </c>
    </row>
    <row r="40" spans="2:26">
      <c r="F40">
        <v>2021</v>
      </c>
      <c r="G40" t="s">
        <v>499</v>
      </c>
      <c r="I40" s="19">
        <f>I54</f>
        <v>18.700000000000003</v>
      </c>
    </row>
    <row r="41" spans="2:26">
      <c r="F41">
        <v>2022</v>
      </c>
      <c r="G41" t="s">
        <v>499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584</v>
      </c>
      <c r="O46" s="428">
        <v>3.5000000000000003E-2</v>
      </c>
    </row>
    <row r="47" spans="2:26">
      <c r="B47" s="28" t="s">
        <v>583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509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499</v>
      </c>
      <c r="R49" s="390" t="s">
        <v>509</v>
      </c>
      <c r="S49" s="390" t="s">
        <v>200</v>
      </c>
      <c r="T49" s="391" t="str">
        <f>_xlfn.TEXTJOIN(",",TRUE,Regions!$C$3)</f>
        <v>IE</v>
      </c>
      <c r="U49" s="391">
        <f>+F49*(1+$O$46)</f>
        <v>6.1064999999999987</v>
      </c>
      <c r="V49" s="391">
        <f t="shared" ref="V49:Y49" si="0">+G49*(1+$O$46)</f>
        <v>7.0379999999999994</v>
      </c>
      <c r="W49" s="391">
        <f t="shared" si="0"/>
        <v>6.7274999999999991</v>
      </c>
      <c r="X49" s="391">
        <f t="shared" si="0"/>
        <v>6.934499999999999</v>
      </c>
      <c r="Y49" s="392">
        <f t="shared" si="0"/>
        <v>8.6939999999999991</v>
      </c>
      <c r="Z49" s="393">
        <v>1</v>
      </c>
    </row>
    <row r="50" spans="3:26">
      <c r="C50" t="s">
        <v>510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499</v>
      </c>
      <c r="R50" t="s">
        <v>510</v>
      </c>
      <c r="S50" t="s">
        <v>200</v>
      </c>
      <c r="T50" s="19" t="str">
        <f>_xlfn.TEXTJOIN(",",TRUE,Regions!$C$3)</f>
        <v>IE</v>
      </c>
      <c r="U50" s="19">
        <f t="shared" ref="U50:U53" si="1">+F50*(1+$O$46)</f>
        <v>146.86649999999997</v>
      </c>
      <c r="V50" s="19">
        <f t="shared" ref="V50:V53" si="2">+G50*(1+$O$46)</f>
        <v>137.8827</v>
      </c>
      <c r="W50" s="19">
        <f t="shared" ref="W50:W53" si="3">+H50*(1+$O$46)</f>
        <v>117.26549999999999</v>
      </c>
      <c r="X50" s="19">
        <f t="shared" ref="X50:X53" si="4">+I50*(1+$O$46)</f>
        <v>125.13149999999999</v>
      </c>
      <c r="Y50" s="19">
        <f t="shared" ref="Y50:Y53" si="5">+J50*(1+$O$46)</f>
        <v>130.72049999999999</v>
      </c>
      <c r="Z50" s="395">
        <v>1</v>
      </c>
    </row>
    <row r="51" spans="3:26">
      <c r="C51" t="s">
        <v>505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499</v>
      </c>
      <c r="R51" t="s">
        <v>505</v>
      </c>
      <c r="S51" t="s">
        <v>200</v>
      </c>
      <c r="T51" s="19" t="str">
        <f>_xlfn.TEXTJOIN(",",TRUE,Regions!$C$3)</f>
        <v>IE</v>
      </c>
      <c r="U51" s="19">
        <f t="shared" si="1"/>
        <v>0.39640500000000001</v>
      </c>
      <c r="V51" s="19">
        <f t="shared" si="2"/>
        <v>0.53820000000000001</v>
      </c>
      <c r="W51" s="19">
        <f t="shared" si="3"/>
        <v>0.67274999999999996</v>
      </c>
      <c r="X51" s="19">
        <f t="shared" si="4"/>
        <v>0.74519999999999986</v>
      </c>
      <c r="Y51" s="19">
        <f t="shared" si="5"/>
        <v>0.82799999999999985</v>
      </c>
      <c r="Z51" s="395">
        <v>1</v>
      </c>
    </row>
    <row r="52" spans="3:26">
      <c r="C52" t="s">
        <v>511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499</v>
      </c>
      <c r="R52" t="s">
        <v>511</v>
      </c>
      <c r="S52" t="s">
        <v>200</v>
      </c>
      <c r="T52" s="19" t="str">
        <f>_xlfn.TEXTJOIN(",",TRUE,Regions!$C$3)</f>
        <v>IE</v>
      </c>
      <c r="U52" s="19">
        <f>+F52*(1.1+$O$46)</f>
        <v>1.3620000000000003</v>
      </c>
      <c r="V52" s="19">
        <f t="shared" ref="V52:Y52" si="6">+G52*(1.1+$O$46)</f>
        <v>1.2485000000000002</v>
      </c>
      <c r="W52" s="19">
        <f t="shared" si="6"/>
        <v>1.0215000000000001</v>
      </c>
      <c r="X52" s="19">
        <f t="shared" si="6"/>
        <v>1.0215000000000001</v>
      </c>
      <c r="Y52" s="19">
        <f t="shared" si="6"/>
        <v>1.135</v>
      </c>
      <c r="Z52" s="395">
        <v>1</v>
      </c>
    </row>
    <row r="53" spans="3:26">
      <c r="C53" t="s">
        <v>512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499</v>
      </c>
      <c r="R53" t="s">
        <v>512</v>
      </c>
      <c r="S53" t="s">
        <v>200</v>
      </c>
      <c r="T53" s="19" t="str">
        <f>_xlfn.TEXTJOIN(",",TRUE,Regions!$C$3)</f>
        <v>IE</v>
      </c>
      <c r="U53" s="19">
        <f t="shared" si="1"/>
        <v>35.603999999999999</v>
      </c>
      <c r="V53" s="19">
        <f t="shared" si="2"/>
        <v>33.844500000000004</v>
      </c>
      <c r="W53" s="19">
        <f t="shared" si="3"/>
        <v>28.84545</v>
      </c>
      <c r="X53" s="19">
        <f t="shared" si="4"/>
        <v>26.599500000000003</v>
      </c>
      <c r="Y53" s="19">
        <f t="shared" si="5"/>
        <v>30.325499999999998</v>
      </c>
      <c r="Z53" s="395">
        <v>1</v>
      </c>
    </row>
    <row r="54" spans="3:26" ht="15.75" thickBot="1">
      <c r="C54" t="s">
        <v>513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499</v>
      </c>
      <c r="R54" s="397" t="s">
        <v>513</v>
      </c>
      <c r="S54" s="397" t="s">
        <v>200</v>
      </c>
      <c r="T54" s="398" t="str">
        <f>_xlfn.TEXTJOIN(",",TRUE,Regions!$C$3)</f>
        <v>IE</v>
      </c>
      <c r="U54" s="398">
        <f>+F54*(1.05+$O$46)</f>
        <v>50.129170000000002</v>
      </c>
      <c r="V54" s="398">
        <f t="shared" ref="V54:X54" si="7">+G54*(1.05+$O$46)</f>
        <v>50.778000000000006</v>
      </c>
      <c r="W54" s="398">
        <f t="shared" si="7"/>
        <v>18.119500000000002</v>
      </c>
      <c r="X54" s="398">
        <f t="shared" si="7"/>
        <v>20.289500000000004</v>
      </c>
      <c r="Y54" s="398">
        <f>+J54*(1.1+$O$46)</f>
        <v>48.464500000000001</v>
      </c>
      <c r="Z54" s="400">
        <v>1</v>
      </c>
    </row>
    <row r="55" spans="3:26">
      <c r="C55" s="426" t="s">
        <v>588</v>
      </c>
      <c r="D55" t="s">
        <v>200</v>
      </c>
      <c r="E55" t="s">
        <v>1</v>
      </c>
      <c r="F55" s="356">
        <f>ROUNDUP(Conversions!$B$2*SUM('EB2018'!$AA$45),1)+0.002</f>
        <v>1.002</v>
      </c>
      <c r="G55" s="356">
        <f>ROUNDUP(Conversions!$B$2*SUM('EB2019'!$AA$45),1)+0.002</f>
        <v>0.80199999999999994</v>
      </c>
      <c r="H55" s="356">
        <f>ROUNDUP(Conversions!$B$2*SUM('EB2020'!$AA$45),1)+0.002</f>
        <v>0.70199999999999996</v>
      </c>
      <c r="I55" s="356">
        <f>ROUNDUP(Conversions!$B$2*SUM('EB2021'!$AA$45),1)+0.002</f>
        <v>0.70199999999999996</v>
      </c>
      <c r="J55" s="356">
        <f>ROUNDUP(Conversions!$B$2*SUM('EB2022'!$AA$45),1)+0.002</f>
        <v>0.70199999999999996</v>
      </c>
      <c r="Q55" s="389" t="s">
        <v>485</v>
      </c>
      <c r="R55" s="390" t="s">
        <v>509</v>
      </c>
      <c r="S55" s="390" t="s">
        <v>200</v>
      </c>
      <c r="T55" s="391" t="str">
        <f>_xlfn.TEXTJOIN(",",TRUE,Regions!$C$3)</f>
        <v>IE</v>
      </c>
      <c r="U55" s="391">
        <f>+F49*(1-$O$46)</f>
        <v>5.6934999999999993</v>
      </c>
      <c r="V55" s="391">
        <f t="shared" ref="V55:Y55" si="8">+G49*(1-$O$46)</f>
        <v>6.5619999999999994</v>
      </c>
      <c r="W55" s="391">
        <f t="shared" si="8"/>
        <v>6.2725</v>
      </c>
      <c r="X55" s="391">
        <f t="shared" si="8"/>
        <v>6.4654999999999987</v>
      </c>
      <c r="Y55" s="391">
        <f t="shared" si="8"/>
        <v>8.1059999999999999</v>
      </c>
      <c r="Z55" s="393">
        <v>1</v>
      </c>
    </row>
    <row r="56" spans="3:26">
      <c r="N56" s="426"/>
      <c r="Q56" s="394" t="s">
        <v>485</v>
      </c>
      <c r="R56" t="s">
        <v>510</v>
      </c>
      <c r="S56" t="s">
        <v>200</v>
      </c>
      <c r="T56" s="19" t="str">
        <f>_xlfn.TEXTJOIN(",",TRUE,Regions!$C$3)</f>
        <v>IE</v>
      </c>
      <c r="U56" s="19">
        <f t="shared" ref="U56:U60" si="9">+F50*(1-$O$46)</f>
        <v>136.93349999999998</v>
      </c>
      <c r="V56" s="19">
        <f t="shared" ref="V56:V60" si="10">+G50*(1-$O$46)</f>
        <v>128.5573</v>
      </c>
      <c r="W56" s="19">
        <f t="shared" ref="W56:W60" si="11">+H50*(1-$O$46)</f>
        <v>109.33449999999999</v>
      </c>
      <c r="X56" s="19">
        <f t="shared" ref="X56:X60" si="12">+I50*(1-$O$46)</f>
        <v>116.66849999999999</v>
      </c>
      <c r="Y56" s="19">
        <f t="shared" ref="Y56:Y59" si="13">+J50*(1-$O$46)</f>
        <v>121.87949999999999</v>
      </c>
      <c r="Z56" s="395">
        <v>1</v>
      </c>
    </row>
    <row r="57" spans="3:26">
      <c r="N57" s="426"/>
      <c r="Q57" s="394" t="s">
        <v>485</v>
      </c>
      <c r="R57" t="s">
        <v>505</v>
      </c>
      <c r="S57" t="s">
        <v>200</v>
      </c>
      <c r="T57" s="19" t="str">
        <f>_xlfn.TEXTJOIN(",",TRUE,Regions!$C$3)</f>
        <v>IE</v>
      </c>
      <c r="U57" s="19">
        <f t="shared" si="9"/>
        <v>0.36959500000000006</v>
      </c>
      <c r="V57" s="19">
        <f t="shared" si="10"/>
        <v>0.50180000000000002</v>
      </c>
      <c r="W57" s="19">
        <f t="shared" si="11"/>
        <v>0.62724999999999997</v>
      </c>
      <c r="X57" s="19">
        <f t="shared" si="12"/>
        <v>0.69479999999999997</v>
      </c>
      <c r="Y57" s="19">
        <f t="shared" si="13"/>
        <v>0.77199999999999991</v>
      </c>
      <c r="Z57" s="395">
        <v>1</v>
      </c>
    </row>
    <row r="58" spans="3:26">
      <c r="N58" s="426"/>
      <c r="Q58" s="394" t="s">
        <v>456</v>
      </c>
      <c r="R58" t="s">
        <v>511</v>
      </c>
      <c r="S58" t="s">
        <v>200</v>
      </c>
      <c r="T58" s="19" t="str">
        <f>_xlfn.TEXTJOIN(",",TRUE,Regions!$C$3)</f>
        <v>IE</v>
      </c>
      <c r="U58" s="19">
        <f t="shared" si="9"/>
        <v>1.1580000000000001</v>
      </c>
      <c r="V58" s="19">
        <f t="shared" si="10"/>
        <v>1.0615000000000001</v>
      </c>
      <c r="W58" s="19">
        <f t="shared" si="11"/>
        <v>0.86849999999999994</v>
      </c>
      <c r="X58" s="19">
        <f t="shared" si="12"/>
        <v>0.86849999999999994</v>
      </c>
      <c r="Y58" s="19">
        <f t="shared" si="13"/>
        <v>0.96499999999999997</v>
      </c>
      <c r="Z58" s="395">
        <v>1</v>
      </c>
    </row>
    <row r="59" spans="3:26">
      <c r="N59" s="426"/>
      <c r="Q59" s="394" t="s">
        <v>485</v>
      </c>
      <c r="R59" t="s">
        <v>512</v>
      </c>
      <c r="S59" t="s">
        <v>200</v>
      </c>
      <c r="T59" s="19" t="str">
        <f>_xlfn.TEXTJOIN(",",TRUE,Regions!$C$3)</f>
        <v>IE</v>
      </c>
      <c r="U59" s="19">
        <f t="shared" si="9"/>
        <v>33.195999999999998</v>
      </c>
      <c r="V59" s="19">
        <f t="shared" si="10"/>
        <v>31.555500000000002</v>
      </c>
      <c r="W59" s="19">
        <f t="shared" si="11"/>
        <v>26.894549999999999</v>
      </c>
      <c r="X59" s="19">
        <f t="shared" si="12"/>
        <v>24.800500000000003</v>
      </c>
      <c r="Y59" s="19">
        <f t="shared" si="13"/>
        <v>28.2745</v>
      </c>
      <c r="Z59" s="395">
        <v>1</v>
      </c>
    </row>
    <row r="60" spans="3:26" ht="15.75" thickBot="1">
      <c r="N60" s="426"/>
      <c r="Q60" s="396" t="s">
        <v>485</v>
      </c>
      <c r="R60" s="397" t="s">
        <v>513</v>
      </c>
      <c r="S60" s="397" t="s">
        <v>200</v>
      </c>
      <c r="T60" s="398" t="str">
        <f>_xlfn.TEXTJOIN(",",TRUE,Regions!$C$3)</f>
        <v>IE</v>
      </c>
      <c r="U60" s="398">
        <f t="shared" si="9"/>
        <v>44.584930000000007</v>
      </c>
      <c r="V60" s="398">
        <f t="shared" si="10"/>
        <v>45.162000000000006</v>
      </c>
      <c r="W60" s="398">
        <f t="shared" si="11"/>
        <v>16.115500000000001</v>
      </c>
      <c r="X60" s="398">
        <f t="shared" si="12"/>
        <v>18.045500000000001</v>
      </c>
      <c r="Y60" s="398">
        <f>+J54*(0.95-$O$46)</f>
        <v>39.070500000000003</v>
      </c>
      <c r="Z60" s="400">
        <v>1</v>
      </c>
    </row>
    <row r="61" spans="3:26" ht="15.75" thickBot="1">
      <c r="N61" s="426"/>
      <c r="Q61" s="394" t="s">
        <v>499</v>
      </c>
      <c r="R61" s="426" t="s">
        <v>587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499</v>
      </c>
      <c r="R62" s="426" t="s">
        <v>588</v>
      </c>
      <c r="S62" t="s">
        <v>200</v>
      </c>
      <c r="T62" t="s">
        <v>1</v>
      </c>
      <c r="U62" s="391">
        <f>+F55*(1+$O$46)</f>
        <v>1.0370699999999999</v>
      </c>
      <c r="V62" s="391">
        <f t="shared" ref="V62:Y62" si="14">+G55*(1+$O$46)</f>
        <v>0.83006999999999986</v>
      </c>
      <c r="W62" s="391">
        <f t="shared" si="14"/>
        <v>0.72656999999999994</v>
      </c>
      <c r="X62" s="391">
        <f t="shared" si="14"/>
        <v>0.72656999999999994</v>
      </c>
      <c r="Y62" s="391">
        <f t="shared" si="14"/>
        <v>0.72656999999999994</v>
      </c>
      <c r="Z62" s="395">
        <v>5</v>
      </c>
    </row>
    <row r="63" spans="3:26">
      <c r="N63" s="426"/>
      <c r="Q63" s="394" t="s">
        <v>499</v>
      </c>
      <c r="R63" s="426" t="s">
        <v>589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499</v>
      </c>
      <c r="R64" s="426" t="s">
        <v>590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40"/>
  <sheetViews>
    <sheetView topLeftCell="A126" zoomScale="85" zoomScaleNormal="85" workbookViewId="0">
      <selection activeCell="E149" sqref="E149:M151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538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557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539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557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537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557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563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557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565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557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602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.7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557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  <row r="131" spans="1:36">
      <c r="H131" s="431">
        <f>+H122/SUM(H118:H125)</f>
        <v>0.13595569133671309</v>
      </c>
    </row>
    <row r="134" spans="1:36">
      <c r="D134" s="349" t="str">
        <f>"~UC_Sets: R_E: IE"</f>
        <v>~UC_Sets: R_E: IE</v>
      </c>
    </row>
    <row r="135" spans="1:36">
      <c r="D135" s="349" t="s">
        <v>618</v>
      </c>
    </row>
    <row r="136" spans="1:36">
      <c r="I136" t="str">
        <f>IF(RIGHT(D134,1)&lt;&gt;" ","~UC_T","")</f>
        <v>~UC_T</v>
      </c>
    </row>
    <row r="137" spans="1:36">
      <c r="D137" s="350" t="s">
        <v>461</v>
      </c>
      <c r="E137" s="351" t="s">
        <v>473</v>
      </c>
      <c r="F137" s="351" t="s">
        <v>224</v>
      </c>
      <c r="G137" s="351" t="s">
        <v>225</v>
      </c>
      <c r="H137" s="351" t="s">
        <v>226</v>
      </c>
      <c r="I137" s="351" t="s">
        <v>227</v>
      </c>
      <c r="J137" s="352" t="s">
        <v>619</v>
      </c>
      <c r="K137" s="353" t="s">
        <v>479</v>
      </c>
      <c r="L137" s="353" t="s">
        <v>620</v>
      </c>
      <c r="M137" s="350" t="s">
        <v>463</v>
      </c>
    </row>
    <row r="138" spans="1:36">
      <c r="D138" s="30" t="s">
        <v>464</v>
      </c>
      <c r="E138" s="30"/>
      <c r="F138" s="30"/>
      <c r="G138" s="30"/>
      <c r="H138" s="30"/>
      <c r="I138" s="30"/>
      <c r="J138" s="30"/>
      <c r="K138" s="30" t="s">
        <v>477</v>
      </c>
      <c r="L138" s="30" t="s">
        <v>477</v>
      </c>
      <c r="M138" s="30"/>
    </row>
    <row r="139" spans="1:36">
      <c r="D139" t="str">
        <f>"UC_BEV_MinShare"</f>
        <v>UC_BEV_MinShare</v>
      </c>
      <c r="F139" t="s">
        <v>221</v>
      </c>
      <c r="G139" t="s">
        <v>623</v>
      </c>
      <c r="H139">
        <v>2025</v>
      </c>
      <c r="I139" t="s">
        <v>622</v>
      </c>
      <c r="J139" s="19">
        <v>-1</v>
      </c>
      <c r="K139" s="19">
        <f>H181</f>
        <v>0</v>
      </c>
      <c r="L139" s="19">
        <v>5</v>
      </c>
      <c r="M139" t="s">
        <v>621</v>
      </c>
    </row>
    <row r="140" spans="1:36">
      <c r="F140" t="s">
        <v>221</v>
      </c>
      <c r="G140" t="s">
        <v>624</v>
      </c>
      <c r="J140" s="387">
        <f>+H131</f>
        <v>0.13595569133671309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480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481</v>
      </c>
      <c r="C7" s="31">
        <v>0</v>
      </c>
      <c r="D7">
        <v>1</v>
      </c>
    </row>
    <row r="8" spans="2:4">
      <c r="B8" t="s">
        <v>225</v>
      </c>
      <c r="C8" t="s">
        <v>482</v>
      </c>
    </row>
    <row r="9" spans="2:4">
      <c r="B9" t="s">
        <v>473</v>
      </c>
      <c r="C9" t="s">
        <v>582</v>
      </c>
    </row>
    <row r="10" spans="2:4">
      <c r="B10" t="s">
        <v>474</v>
      </c>
      <c r="C10" t="s">
        <v>483</v>
      </c>
    </row>
    <row r="11" spans="2:4">
      <c r="B11" t="s">
        <v>484</v>
      </c>
    </row>
    <row r="12" spans="2:4">
      <c r="B12" t="s">
        <v>227</v>
      </c>
      <c r="C12" t="s">
        <v>485</v>
      </c>
    </row>
    <row r="13" spans="2:4">
      <c r="B13" t="s">
        <v>476</v>
      </c>
      <c r="C13">
        <v>-1</v>
      </c>
    </row>
    <row r="14" spans="2:4">
      <c r="B14" t="s">
        <v>475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  <col min="10" max="10" width="25.140625" bestFit="1" customWidth="1"/>
    <col min="11" max="13" width="10.42578125" customWidth="1"/>
    <col min="14" max="14" width="11.85546875" bestFit="1" customWidth="1"/>
    <col min="15" max="15" width="15.140625" bestFit="1" customWidth="1"/>
    <col min="16" max="16" width="12.85546875" customWidth="1"/>
    <col min="17" max="17" width="10" bestFit="1" customWidth="1"/>
    <col min="18" max="18" width="11.85546875" bestFit="1" customWidth="1"/>
    <col min="19" max="19" width="15.140625" bestFit="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33">
        <v>54556</v>
      </c>
    </row>
    <row r="7" spans="1:4">
      <c r="A7">
        <v>2</v>
      </c>
      <c r="B7" t="s">
        <v>399</v>
      </c>
      <c r="C7">
        <v>32600</v>
      </c>
      <c r="D7" s="433">
        <v>47569</v>
      </c>
    </row>
    <row r="8" spans="1:4">
      <c r="A8">
        <v>3</v>
      </c>
      <c r="B8" t="s">
        <v>530</v>
      </c>
      <c r="C8">
        <v>10474</v>
      </c>
      <c r="D8" s="433">
        <v>10193</v>
      </c>
    </row>
    <row r="9" spans="1:4">
      <c r="A9">
        <v>4</v>
      </c>
      <c r="B9" t="s">
        <v>389</v>
      </c>
      <c r="C9">
        <v>4013</v>
      </c>
      <c r="D9" s="433">
        <v>3444</v>
      </c>
    </row>
    <row r="10" spans="1:4">
      <c r="A10">
        <v>5</v>
      </c>
      <c r="B10" t="s">
        <v>397</v>
      </c>
      <c r="C10">
        <v>2459</v>
      </c>
      <c r="D10" s="433">
        <v>1343</v>
      </c>
    </row>
    <row r="11" spans="1:4">
      <c r="A11">
        <v>6</v>
      </c>
      <c r="B11" t="s">
        <v>398</v>
      </c>
      <c r="C11">
        <v>512</v>
      </c>
      <c r="D11" s="433">
        <v>1</v>
      </c>
    </row>
    <row r="12" spans="1:4">
      <c r="A12">
        <v>7</v>
      </c>
      <c r="B12" t="s">
        <v>395</v>
      </c>
      <c r="C12">
        <v>33</v>
      </c>
      <c r="D12" s="433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75">
      <c r="A17" s="56" t="s">
        <v>400</v>
      </c>
    </row>
    <row r="18" spans="1:19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33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593</v>
      </c>
    </row>
    <row r="20" spans="1:19">
      <c r="B20" t="s">
        <v>557</v>
      </c>
      <c r="C20" s="433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33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33">
        <v>44</v>
      </c>
      <c r="D22">
        <v>29</v>
      </c>
      <c r="G22" s="31">
        <f>R27</f>
        <v>303</v>
      </c>
      <c r="H22" s="31">
        <f>S27</f>
        <v>402.12962962962968</v>
      </c>
      <c r="M22" t="s">
        <v>594</v>
      </c>
    </row>
    <row r="23" spans="1:19">
      <c r="B23" t="s">
        <v>398</v>
      </c>
      <c r="O23" s="48" t="s">
        <v>595</v>
      </c>
      <c r="P23" s="48" t="s">
        <v>596</v>
      </c>
      <c r="Q23" s="48"/>
      <c r="R23" s="48" t="s">
        <v>597</v>
      </c>
      <c r="S23" s="48" t="s">
        <v>598</v>
      </c>
    </row>
    <row r="24" spans="1:19">
      <c r="B24" t="s">
        <v>397</v>
      </c>
      <c r="C24" s="433">
        <v>1</v>
      </c>
      <c r="D24">
        <v>16</v>
      </c>
      <c r="M24" t="s">
        <v>393</v>
      </c>
      <c r="N24" s="433" t="s">
        <v>392</v>
      </c>
      <c r="O24" t="s">
        <v>599</v>
      </c>
      <c r="P24" t="s">
        <v>600</v>
      </c>
      <c r="Q24" s="48" t="s">
        <v>601</v>
      </c>
      <c r="R24" s="432">
        <v>2023</v>
      </c>
      <c r="S24" s="432">
        <v>2024</v>
      </c>
    </row>
    <row r="25" spans="1:19">
      <c r="B25" t="s">
        <v>390</v>
      </c>
      <c r="D25">
        <v>2</v>
      </c>
      <c r="M25">
        <v>1</v>
      </c>
      <c r="N25" s="433" t="s">
        <v>391</v>
      </c>
      <c r="O25">
        <v>19449</v>
      </c>
      <c r="P25">
        <v>16527</v>
      </c>
      <c r="Q25" s="431">
        <f>R25/P25</f>
        <v>1.6658800750287408</v>
      </c>
      <c r="R25" s="433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33" t="s">
        <v>389</v>
      </c>
      <c r="O26">
        <v>467</v>
      </c>
      <c r="P26">
        <v>440</v>
      </c>
      <c r="Q26" s="431">
        <f t="shared" ref="Q26:Q31" si="1">R26/P26</f>
        <v>2.1454545454545455</v>
      </c>
      <c r="R26" s="433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33" t="s">
        <v>399</v>
      </c>
      <c r="O27">
        <v>215</v>
      </c>
      <c r="P27">
        <v>162</v>
      </c>
      <c r="Q27" s="431">
        <f t="shared" si="1"/>
        <v>1.8703703703703705</v>
      </c>
      <c r="R27" s="433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33" t="s">
        <v>530</v>
      </c>
      <c r="O28">
        <v>59</v>
      </c>
      <c r="P28">
        <v>2</v>
      </c>
      <c r="Q28" s="431">
        <f t="shared" si="1"/>
        <v>22</v>
      </c>
      <c r="R28" s="433">
        <v>44</v>
      </c>
      <c r="S28" s="31">
        <f t="shared" si="0"/>
        <v>1298</v>
      </c>
    </row>
    <row r="29" spans="1:19">
      <c r="M29">
        <v>5</v>
      </c>
      <c r="N29" s="433" t="s">
        <v>397</v>
      </c>
      <c r="O29">
        <v>27</v>
      </c>
      <c r="P29">
        <v>37</v>
      </c>
      <c r="Q29" s="431">
        <f t="shared" si="1"/>
        <v>0.59459459459459463</v>
      </c>
      <c r="R29" s="433">
        <v>22</v>
      </c>
      <c r="S29" s="31">
        <f t="shared" si="0"/>
        <v>16.054054054054056</v>
      </c>
    </row>
    <row r="30" spans="1:19">
      <c r="M30">
        <v>6</v>
      </c>
      <c r="N30" s="433" t="s">
        <v>531</v>
      </c>
      <c r="O30">
        <v>10</v>
      </c>
      <c r="P30">
        <v>8</v>
      </c>
      <c r="Q30" s="431">
        <f t="shared" si="1"/>
        <v>0.75</v>
      </c>
      <c r="R30" s="433">
        <v>6</v>
      </c>
      <c r="S30" s="31">
        <f t="shared" si="0"/>
        <v>7.5</v>
      </c>
    </row>
    <row r="31" spans="1:19">
      <c r="M31">
        <v>7</v>
      </c>
      <c r="N31" s="433" t="s">
        <v>390</v>
      </c>
      <c r="O31">
        <v>4</v>
      </c>
      <c r="P31">
        <v>3</v>
      </c>
      <c r="Q31" s="431">
        <f t="shared" si="1"/>
        <v>1</v>
      </c>
      <c r="R31" s="433">
        <v>3</v>
      </c>
      <c r="S31" s="31">
        <f t="shared" si="0"/>
        <v>4</v>
      </c>
    </row>
    <row r="32" spans="1:19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41" t="s">
        <v>382</v>
      </c>
      <c r="C50" s="441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75">
      <c r="A133" s="359" t="s">
        <v>534</v>
      </c>
      <c r="B133" s="358"/>
      <c r="C133" s="358"/>
      <c r="D133" s="358"/>
    </row>
    <row r="135" spans="1:15" ht="15.7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535</v>
      </c>
      <c r="B136" s="358"/>
      <c r="C136" s="358"/>
      <c r="D136" s="358"/>
      <c r="I136" t="s">
        <v>594</v>
      </c>
    </row>
    <row r="137" spans="1:15">
      <c r="K137" t="s">
        <v>603</v>
      </c>
      <c r="L137" t="s">
        <v>603</v>
      </c>
    </row>
    <row r="138" spans="1:15" ht="15.75">
      <c r="A138" s="434" t="s">
        <v>393</v>
      </c>
      <c r="B138" s="434" t="s">
        <v>392</v>
      </c>
      <c r="C138" s="435" t="s">
        <v>525</v>
      </c>
      <c r="D138" s="435" t="s">
        <v>526</v>
      </c>
      <c r="E138" s="435" t="s">
        <v>527</v>
      </c>
      <c r="F138" s="435" t="s">
        <v>528</v>
      </c>
      <c r="G138" s="435" t="s">
        <v>529</v>
      </c>
      <c r="I138" s="48"/>
      <c r="J138" s="48"/>
      <c r="K138" s="48" t="s">
        <v>595</v>
      </c>
      <c r="L138" s="48" t="s">
        <v>595</v>
      </c>
      <c r="M138" s="48"/>
      <c r="N138" s="48" t="s">
        <v>597</v>
      </c>
      <c r="O138" s="48" t="s">
        <v>598</v>
      </c>
    </row>
    <row r="139" spans="1:15">
      <c r="A139" s="433">
        <v>1</v>
      </c>
      <c r="B139" s="433" t="s">
        <v>399</v>
      </c>
      <c r="C139" s="433">
        <v>30542</v>
      </c>
      <c r="D139" s="433">
        <v>32798</v>
      </c>
      <c r="E139" s="433">
        <v>-6.88</v>
      </c>
      <c r="F139" s="433">
        <v>30.1</v>
      </c>
      <c r="G139" s="433">
        <v>32.39</v>
      </c>
      <c r="I139" s="48" t="s">
        <v>393</v>
      </c>
      <c r="J139" s="48" t="s">
        <v>392</v>
      </c>
      <c r="K139" s="48" t="s">
        <v>599</v>
      </c>
      <c r="L139" s="48" t="s">
        <v>600</v>
      </c>
      <c r="M139" s="48" t="s">
        <v>601</v>
      </c>
      <c r="N139" s="432">
        <v>2023</v>
      </c>
      <c r="O139" s="432">
        <v>2024</v>
      </c>
    </row>
    <row r="140" spans="1:15">
      <c r="A140" s="433">
        <v>2</v>
      </c>
      <c r="B140" s="433" t="s">
        <v>391</v>
      </c>
      <c r="C140" s="433">
        <v>27388</v>
      </c>
      <c r="D140" s="433">
        <v>34166</v>
      </c>
      <c r="E140" s="433">
        <v>-19.84</v>
      </c>
      <c r="F140" s="433">
        <v>26.99</v>
      </c>
      <c r="G140" s="433">
        <v>33.74</v>
      </c>
      <c r="I140">
        <v>1</v>
      </c>
      <c r="J140" t="s">
        <v>399</v>
      </c>
      <c r="K140">
        <v>26017</v>
      </c>
      <c r="L140" s="433">
        <v>23808</v>
      </c>
      <c r="M140" s="431">
        <f t="shared" ref="M140:M147" si="2">N140/L140</f>
        <v>1.5489751344086022</v>
      </c>
      <c r="N140" s="436">
        <v>36878</v>
      </c>
      <c r="O140" s="31">
        <f t="shared" ref="O140:O146" si="3">K140*M140</f>
        <v>40299.686071908603</v>
      </c>
    </row>
    <row r="141" spans="1:15">
      <c r="A141" s="433">
        <v>3</v>
      </c>
      <c r="B141" s="433" t="s">
        <v>530</v>
      </c>
      <c r="C141" s="433">
        <v>19959</v>
      </c>
      <c r="D141" s="433">
        <v>16424</v>
      </c>
      <c r="E141" s="433">
        <v>21.52</v>
      </c>
      <c r="F141" s="433">
        <v>19.670000000000002</v>
      </c>
      <c r="G141" s="433">
        <v>16.22</v>
      </c>
      <c r="I141">
        <v>2</v>
      </c>
      <c r="J141" t="s">
        <v>391</v>
      </c>
      <c r="K141">
        <v>18065</v>
      </c>
      <c r="L141" s="433">
        <v>17045</v>
      </c>
      <c r="M141" s="431">
        <f t="shared" si="2"/>
        <v>1.5986506306834849</v>
      </c>
      <c r="N141" s="436">
        <v>27249</v>
      </c>
      <c r="O141" s="31">
        <f t="shared" si="3"/>
        <v>28879.623643297156</v>
      </c>
    </row>
    <row r="142" spans="1:15">
      <c r="A142" s="433">
        <v>4</v>
      </c>
      <c r="B142" s="433" t="s">
        <v>389</v>
      </c>
      <c r="C142" s="433">
        <v>14508</v>
      </c>
      <c r="D142" s="433">
        <v>7899</v>
      </c>
      <c r="E142" s="433">
        <v>83.67</v>
      </c>
      <c r="F142" s="433">
        <v>14.3</v>
      </c>
      <c r="G142" s="433">
        <v>7.8</v>
      </c>
      <c r="I142">
        <v>3</v>
      </c>
      <c r="J142" t="s">
        <v>530</v>
      </c>
      <c r="K142">
        <v>15877</v>
      </c>
      <c r="L142" s="433">
        <v>14350</v>
      </c>
      <c r="M142" s="431">
        <f t="shared" si="2"/>
        <v>1.5924738675958188</v>
      </c>
      <c r="N142" s="436">
        <v>22852</v>
      </c>
      <c r="O142" s="31">
        <f t="shared" si="3"/>
        <v>25283.707595818814</v>
      </c>
    </row>
    <row r="143" spans="1:15">
      <c r="A143" s="433">
        <v>5</v>
      </c>
      <c r="B143" s="433" t="s">
        <v>397</v>
      </c>
      <c r="C143" s="433">
        <v>6889</v>
      </c>
      <c r="D143" s="433">
        <v>7289</v>
      </c>
      <c r="E143" s="433">
        <v>-5.49</v>
      </c>
      <c r="F143" s="433">
        <v>6.79</v>
      </c>
      <c r="G143" s="433">
        <v>7.2</v>
      </c>
      <c r="I143">
        <v>4</v>
      </c>
      <c r="J143" t="s">
        <v>389</v>
      </c>
      <c r="K143">
        <v>10738</v>
      </c>
      <c r="L143" s="433">
        <v>14307</v>
      </c>
      <c r="M143" s="431">
        <f t="shared" si="2"/>
        <v>1.5794366394072832</v>
      </c>
      <c r="N143" s="436">
        <v>22597</v>
      </c>
      <c r="O143" s="31">
        <f t="shared" si="3"/>
        <v>16959.990633955407</v>
      </c>
    </row>
    <row r="144" spans="1:15">
      <c r="A144" s="433">
        <v>6</v>
      </c>
      <c r="B144" s="433" t="s">
        <v>531</v>
      </c>
      <c r="C144" s="433">
        <v>927</v>
      </c>
      <c r="D144" s="433">
        <v>2172</v>
      </c>
      <c r="E144" s="433">
        <v>-57.32</v>
      </c>
      <c r="F144" s="433">
        <v>0.91</v>
      </c>
      <c r="G144" s="433">
        <v>2.14</v>
      </c>
      <c r="I144">
        <v>5</v>
      </c>
      <c r="J144" t="s">
        <v>397</v>
      </c>
      <c r="K144">
        <v>6968</v>
      </c>
      <c r="L144" s="433">
        <v>6040</v>
      </c>
      <c r="M144" s="431">
        <f t="shared" si="2"/>
        <v>1.6697019867549669</v>
      </c>
      <c r="N144" s="436">
        <v>10085</v>
      </c>
      <c r="O144" s="31">
        <f t="shared" si="3"/>
        <v>11634.48344370861</v>
      </c>
    </row>
    <row r="145" spans="1:15">
      <c r="A145" s="433">
        <v>7</v>
      </c>
      <c r="B145" s="433" t="s">
        <v>532</v>
      </c>
      <c r="C145" s="433">
        <v>580</v>
      </c>
      <c r="D145" s="433">
        <v>294</v>
      </c>
      <c r="E145" s="433">
        <v>97.28</v>
      </c>
      <c r="F145" s="433">
        <v>0.56999999999999995</v>
      </c>
      <c r="G145" s="433">
        <v>0.28999999999999998</v>
      </c>
      <c r="I145">
        <v>6</v>
      </c>
      <c r="J145" t="s">
        <v>531</v>
      </c>
      <c r="K145">
        <v>1060</v>
      </c>
      <c r="L145" s="433">
        <v>1841</v>
      </c>
      <c r="M145" s="431">
        <f t="shared" si="2"/>
        <v>1.3264530146659423</v>
      </c>
      <c r="N145" s="436">
        <v>2442</v>
      </c>
      <c r="O145" s="31">
        <f t="shared" si="3"/>
        <v>1406.040195545899</v>
      </c>
    </row>
    <row r="146" spans="1:15">
      <c r="A146" s="433">
        <v>8</v>
      </c>
      <c r="B146" s="433" t="s">
        <v>395</v>
      </c>
      <c r="C146" s="433">
        <v>549</v>
      </c>
      <c r="D146" s="433">
        <v>227</v>
      </c>
      <c r="E146" s="433">
        <v>141.85</v>
      </c>
      <c r="F146" s="433">
        <v>0.54</v>
      </c>
      <c r="G146" s="433">
        <v>0.22</v>
      </c>
      <c r="I146">
        <v>7</v>
      </c>
      <c r="J146" t="s">
        <v>395</v>
      </c>
      <c r="K146">
        <v>201</v>
      </c>
      <c r="L146" s="433">
        <v>211</v>
      </c>
      <c r="M146" s="431">
        <f t="shared" si="2"/>
        <v>1.4075829383886256</v>
      </c>
      <c r="N146" s="436">
        <v>297</v>
      </c>
      <c r="O146" s="31">
        <f t="shared" si="3"/>
        <v>282.92417061611377</v>
      </c>
    </row>
    <row r="147" spans="1:15">
      <c r="A147" s="433">
        <v>9</v>
      </c>
      <c r="B147" s="433" t="s">
        <v>390</v>
      </c>
      <c r="C147" s="433">
        <v>140</v>
      </c>
      <c r="D147" s="433">
        <v>0</v>
      </c>
      <c r="E147" s="433" t="s">
        <v>533</v>
      </c>
      <c r="F147" s="433">
        <v>0.14000000000000001</v>
      </c>
      <c r="G147" s="433">
        <v>0</v>
      </c>
      <c r="K147">
        <f>SUM(K140:K146)</f>
        <v>78926</v>
      </c>
      <c r="L147">
        <f>SUM(L140:L146)</f>
        <v>77602</v>
      </c>
      <c r="M147" s="431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75">
      <c r="A151" s="359" t="s">
        <v>534</v>
      </c>
      <c r="B151" s="358"/>
      <c r="C151" s="358"/>
      <c r="D151" s="358"/>
      <c r="E151" s="358"/>
      <c r="F151" s="358"/>
      <c r="G151" s="358"/>
    </row>
    <row r="153" spans="1:15" ht="15.7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535</v>
      </c>
      <c r="B154" s="358"/>
      <c r="C154" s="358"/>
      <c r="D154" s="358"/>
      <c r="E154" s="358"/>
      <c r="F154" s="358"/>
      <c r="G154" s="358"/>
    </row>
    <row r="156" spans="1:15" ht="15.75">
      <c r="A156" s="359" t="s">
        <v>393</v>
      </c>
      <c r="B156" s="359" t="s">
        <v>392</v>
      </c>
      <c r="C156" s="359" t="s">
        <v>525</v>
      </c>
      <c r="D156" s="359" t="s">
        <v>526</v>
      </c>
      <c r="E156" s="359" t="s">
        <v>527</v>
      </c>
      <c r="F156" s="359" t="s">
        <v>528</v>
      </c>
      <c r="G156" s="359" t="s">
        <v>529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531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530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533</v>
      </c>
      <c r="F163" s="358">
        <v>0.02</v>
      </c>
      <c r="G163" s="358">
        <v>0</v>
      </c>
    </row>
    <row r="164" spans="1:9">
      <c r="A164" s="358" t="s">
        <v>533</v>
      </c>
      <c r="B164" s="358" t="s">
        <v>395</v>
      </c>
      <c r="C164" s="358">
        <v>0</v>
      </c>
      <c r="D164" s="358">
        <v>9</v>
      </c>
      <c r="E164" s="358" t="s">
        <v>533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75">
      <c r="A168" s="359" t="s">
        <v>534</v>
      </c>
      <c r="B168" s="358"/>
      <c r="C168" s="358"/>
      <c r="D168" s="358"/>
      <c r="E168" s="358"/>
      <c r="F168" s="358"/>
      <c r="G168" s="358"/>
    </row>
    <row r="170" spans="1:9" ht="15.7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535</v>
      </c>
      <c r="B171" s="358"/>
      <c r="C171" s="358"/>
      <c r="D171" s="358"/>
      <c r="E171" s="358"/>
      <c r="F171" s="358"/>
      <c r="G171" s="358"/>
    </row>
    <row r="173" spans="1:9" ht="15.75">
      <c r="A173" s="359" t="s">
        <v>393</v>
      </c>
      <c r="B173" s="359" t="s">
        <v>392</v>
      </c>
      <c r="C173" s="359" t="s">
        <v>525</v>
      </c>
      <c r="D173" s="359" t="s">
        <v>526</v>
      </c>
      <c r="E173" s="359" t="s">
        <v>527</v>
      </c>
      <c r="F173" s="359" t="s">
        <v>528</v>
      </c>
      <c r="G173" s="359" t="s">
        <v>529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531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533</v>
      </c>
      <c r="B179" s="358" t="s">
        <v>395</v>
      </c>
      <c r="C179" s="358">
        <v>0</v>
      </c>
      <c r="D179" s="358">
        <v>100</v>
      </c>
      <c r="E179" s="358" t="s">
        <v>533</v>
      </c>
      <c r="F179" s="358">
        <v>0</v>
      </c>
      <c r="G179" s="358">
        <v>4.28</v>
      </c>
    </row>
    <row r="180" spans="1:7">
      <c r="A180" s="358" t="s">
        <v>533</v>
      </c>
      <c r="B180" s="358" t="s">
        <v>536</v>
      </c>
      <c r="C180" s="358">
        <v>0</v>
      </c>
      <c r="D180" s="358">
        <v>2</v>
      </c>
      <c r="E180" s="358" t="s">
        <v>533</v>
      </c>
      <c r="F180" s="358">
        <v>0</v>
      </c>
      <c r="G180" s="358">
        <v>0.09</v>
      </c>
    </row>
    <row r="184" spans="1:7">
      <c r="B184" t="s">
        <v>562</v>
      </c>
    </row>
    <row r="185" spans="1:7">
      <c r="B185" s="372" t="s">
        <v>547</v>
      </c>
      <c r="C185" s="373" t="s">
        <v>226</v>
      </c>
      <c r="D185" s="373" t="s">
        <v>548</v>
      </c>
      <c r="E185" s="373" t="s">
        <v>549</v>
      </c>
      <c r="F185" s="373" t="s">
        <v>550</v>
      </c>
      <c r="G185" s="374" t="s">
        <v>551</v>
      </c>
    </row>
    <row r="186" spans="1:7">
      <c r="B186" s="375" t="s">
        <v>552</v>
      </c>
      <c r="C186" s="376" t="s">
        <v>553</v>
      </c>
      <c r="D186" s="376" t="s">
        <v>554</v>
      </c>
      <c r="E186" s="376" t="s">
        <v>399</v>
      </c>
      <c r="F186" s="376" t="s">
        <v>555</v>
      </c>
      <c r="G186" s="377">
        <v>46776</v>
      </c>
    </row>
    <row r="187" spans="1:7">
      <c r="B187" s="378" t="s">
        <v>552</v>
      </c>
      <c r="C187" s="379" t="s">
        <v>553</v>
      </c>
      <c r="D187" s="379" t="s">
        <v>554</v>
      </c>
      <c r="E187" s="379" t="s">
        <v>391</v>
      </c>
      <c r="F187" s="379" t="s">
        <v>555</v>
      </c>
      <c r="G187" s="380">
        <v>65814</v>
      </c>
    </row>
    <row r="188" spans="1:7">
      <c r="B188" s="375" t="s">
        <v>552</v>
      </c>
      <c r="C188" s="376" t="s">
        <v>553</v>
      </c>
      <c r="D188" s="376" t="s">
        <v>554</v>
      </c>
      <c r="E188" s="376" t="s">
        <v>556</v>
      </c>
      <c r="F188" s="376" t="s">
        <v>555</v>
      </c>
      <c r="G188" s="377">
        <v>0</v>
      </c>
    </row>
    <row r="189" spans="1:7">
      <c r="B189" s="378" t="s">
        <v>552</v>
      </c>
      <c r="C189" s="379" t="s">
        <v>553</v>
      </c>
      <c r="D189" s="379" t="s">
        <v>554</v>
      </c>
      <c r="E189" s="379" t="s">
        <v>389</v>
      </c>
      <c r="F189" s="379" t="s">
        <v>555</v>
      </c>
      <c r="G189" s="380">
        <v>1222</v>
      </c>
    </row>
    <row r="190" spans="1:7">
      <c r="B190" s="375" t="s">
        <v>552</v>
      </c>
      <c r="C190" s="376" t="s">
        <v>553</v>
      </c>
      <c r="D190" s="376" t="s">
        <v>554</v>
      </c>
      <c r="E190" s="376" t="s">
        <v>557</v>
      </c>
      <c r="F190" s="376" t="s">
        <v>555</v>
      </c>
      <c r="G190" s="377">
        <v>7345</v>
      </c>
    </row>
    <row r="191" spans="1:7">
      <c r="B191" s="378" t="s">
        <v>552</v>
      </c>
      <c r="C191" s="379" t="s">
        <v>558</v>
      </c>
      <c r="D191" s="379" t="s">
        <v>554</v>
      </c>
      <c r="E191" s="379" t="s">
        <v>399</v>
      </c>
      <c r="F191" s="379" t="s">
        <v>555</v>
      </c>
      <c r="G191" s="380">
        <v>45761</v>
      </c>
    </row>
    <row r="192" spans="1:7">
      <c r="B192" s="375" t="s">
        <v>552</v>
      </c>
      <c r="C192" s="376" t="s">
        <v>558</v>
      </c>
      <c r="D192" s="376" t="s">
        <v>554</v>
      </c>
      <c r="E192" s="376" t="s">
        <v>391</v>
      </c>
      <c r="F192" s="376" t="s">
        <v>555</v>
      </c>
      <c r="G192" s="377">
        <v>53201</v>
      </c>
    </row>
    <row r="193" spans="2:7">
      <c r="B193" s="378" t="s">
        <v>552</v>
      </c>
      <c r="C193" s="379" t="s">
        <v>558</v>
      </c>
      <c r="D193" s="379" t="s">
        <v>554</v>
      </c>
      <c r="E193" s="379" t="s">
        <v>556</v>
      </c>
      <c r="F193" s="379" t="s">
        <v>555</v>
      </c>
      <c r="G193" s="380">
        <v>0</v>
      </c>
    </row>
    <row r="194" spans="2:7">
      <c r="B194" s="375" t="s">
        <v>552</v>
      </c>
      <c r="C194" s="376" t="s">
        <v>558</v>
      </c>
      <c r="D194" s="376" t="s">
        <v>554</v>
      </c>
      <c r="E194" s="376" t="s">
        <v>389</v>
      </c>
      <c r="F194" s="376" t="s">
        <v>555</v>
      </c>
      <c r="G194" s="377">
        <v>3443</v>
      </c>
    </row>
    <row r="195" spans="2:7">
      <c r="B195" s="378" t="s">
        <v>552</v>
      </c>
      <c r="C195" s="379" t="s">
        <v>558</v>
      </c>
      <c r="D195" s="379" t="s">
        <v>554</v>
      </c>
      <c r="E195" s="379" t="s">
        <v>557</v>
      </c>
      <c r="F195" s="379" t="s">
        <v>555</v>
      </c>
      <c r="G195" s="380">
        <v>10900</v>
      </c>
    </row>
    <row r="196" spans="2:7">
      <c r="B196" s="375" t="s">
        <v>552</v>
      </c>
      <c r="C196" s="376" t="s">
        <v>559</v>
      </c>
      <c r="D196" s="376" t="s">
        <v>554</v>
      </c>
      <c r="E196" s="376" t="s">
        <v>399</v>
      </c>
      <c r="F196" s="376" t="s">
        <v>555</v>
      </c>
      <c r="G196" s="377">
        <v>31507</v>
      </c>
    </row>
    <row r="197" spans="2:7">
      <c r="B197" s="378" t="s">
        <v>552</v>
      </c>
      <c r="C197" s="379" t="s">
        <v>559</v>
      </c>
      <c r="D197" s="379" t="s">
        <v>554</v>
      </c>
      <c r="E197" s="379" t="s">
        <v>391</v>
      </c>
      <c r="F197" s="379" t="s">
        <v>555</v>
      </c>
      <c r="G197" s="380">
        <v>36208</v>
      </c>
    </row>
    <row r="198" spans="2:7">
      <c r="B198" s="375" t="s">
        <v>552</v>
      </c>
      <c r="C198" s="376" t="s">
        <v>559</v>
      </c>
      <c r="D198" s="376" t="s">
        <v>554</v>
      </c>
      <c r="E198" s="376" t="s">
        <v>556</v>
      </c>
      <c r="F198" s="376" t="s">
        <v>555</v>
      </c>
      <c r="G198" s="377">
        <v>0</v>
      </c>
    </row>
    <row r="199" spans="2:7">
      <c r="B199" s="378" t="s">
        <v>552</v>
      </c>
      <c r="C199" s="379" t="s">
        <v>559</v>
      </c>
      <c r="D199" s="379" t="s">
        <v>554</v>
      </c>
      <c r="E199" s="379" t="s">
        <v>389</v>
      </c>
      <c r="F199" s="379" t="s">
        <v>555</v>
      </c>
      <c r="G199" s="380">
        <v>3940</v>
      </c>
    </row>
    <row r="200" spans="2:7">
      <c r="B200" s="375" t="s">
        <v>552</v>
      </c>
      <c r="C200" s="376" t="s">
        <v>559</v>
      </c>
      <c r="D200" s="376" t="s">
        <v>554</v>
      </c>
      <c r="E200" s="376" t="s">
        <v>557</v>
      </c>
      <c r="F200" s="376" t="s">
        <v>555</v>
      </c>
      <c r="G200" s="377">
        <v>12654</v>
      </c>
    </row>
    <row r="201" spans="2:7">
      <c r="B201" s="378" t="s">
        <v>552</v>
      </c>
      <c r="C201" s="379" t="s">
        <v>560</v>
      </c>
      <c r="D201" s="379" t="s">
        <v>554</v>
      </c>
      <c r="E201" s="379" t="s">
        <v>399</v>
      </c>
      <c r="F201" s="379" t="s">
        <v>555</v>
      </c>
      <c r="G201" s="380">
        <v>32950</v>
      </c>
    </row>
    <row r="202" spans="2:7">
      <c r="B202" s="375" t="s">
        <v>552</v>
      </c>
      <c r="C202" s="376" t="s">
        <v>560</v>
      </c>
      <c r="D202" s="376" t="s">
        <v>554</v>
      </c>
      <c r="E202" s="376" t="s">
        <v>391</v>
      </c>
      <c r="F202" s="376" t="s">
        <v>555</v>
      </c>
      <c r="G202" s="377">
        <v>34396</v>
      </c>
    </row>
    <row r="203" spans="2:7">
      <c r="B203" s="378" t="s">
        <v>552</v>
      </c>
      <c r="C203" s="379" t="s">
        <v>560</v>
      </c>
      <c r="D203" s="379" t="s">
        <v>554</v>
      </c>
      <c r="E203" s="379" t="s">
        <v>556</v>
      </c>
      <c r="F203" s="379" t="s">
        <v>555</v>
      </c>
      <c r="G203" s="380">
        <v>292</v>
      </c>
    </row>
    <row r="204" spans="2:7">
      <c r="B204" s="375" t="s">
        <v>552</v>
      </c>
      <c r="C204" s="376" t="s">
        <v>560</v>
      </c>
      <c r="D204" s="376" t="s">
        <v>554</v>
      </c>
      <c r="E204" s="376" t="s">
        <v>389</v>
      </c>
      <c r="F204" s="376" t="s">
        <v>555</v>
      </c>
      <c r="G204" s="377">
        <v>8554</v>
      </c>
    </row>
    <row r="205" spans="2:7">
      <c r="B205" s="378" t="s">
        <v>552</v>
      </c>
      <c r="C205" s="379" t="s">
        <v>560</v>
      </c>
      <c r="D205" s="379" t="s">
        <v>554</v>
      </c>
      <c r="E205" s="379" t="s">
        <v>557</v>
      </c>
      <c r="F205" s="379" t="s">
        <v>555</v>
      </c>
      <c r="G205" s="380">
        <v>25661</v>
      </c>
    </row>
    <row r="206" spans="2:7">
      <c r="B206" s="375" t="s">
        <v>552</v>
      </c>
      <c r="C206" s="376" t="s">
        <v>561</v>
      </c>
      <c r="D206" s="376" t="s">
        <v>554</v>
      </c>
      <c r="E206" s="376" t="s">
        <v>399</v>
      </c>
      <c r="F206" s="376" t="s">
        <v>555</v>
      </c>
      <c r="G206" s="377">
        <v>30627</v>
      </c>
    </row>
    <row r="207" spans="2:7">
      <c r="B207" s="378" t="s">
        <v>552</v>
      </c>
      <c r="C207" s="379" t="s">
        <v>561</v>
      </c>
      <c r="D207" s="379" t="s">
        <v>554</v>
      </c>
      <c r="E207" s="379" t="s">
        <v>391</v>
      </c>
      <c r="F207" s="379" t="s">
        <v>555</v>
      </c>
      <c r="G207" s="380">
        <v>27188</v>
      </c>
    </row>
    <row r="208" spans="2:7">
      <c r="B208" s="375" t="s">
        <v>552</v>
      </c>
      <c r="C208" s="376" t="s">
        <v>561</v>
      </c>
      <c r="D208" s="376" t="s">
        <v>554</v>
      </c>
      <c r="E208" s="376" t="s">
        <v>556</v>
      </c>
      <c r="F208" s="376" t="s">
        <v>555</v>
      </c>
      <c r="G208" s="377">
        <v>717</v>
      </c>
    </row>
    <row r="209" spans="2:8">
      <c r="B209" s="378" t="s">
        <v>552</v>
      </c>
      <c r="C209" s="379" t="s">
        <v>561</v>
      </c>
      <c r="D209" s="379" t="s">
        <v>554</v>
      </c>
      <c r="E209" s="379" t="s">
        <v>389</v>
      </c>
      <c r="F209" s="379" t="s">
        <v>555</v>
      </c>
      <c r="G209" s="380">
        <v>15462</v>
      </c>
    </row>
    <row r="210" spans="2:8">
      <c r="B210" s="369" t="s">
        <v>552</v>
      </c>
      <c r="C210" s="370" t="s">
        <v>561</v>
      </c>
      <c r="D210" s="370" t="s">
        <v>554</v>
      </c>
      <c r="E210" s="370" t="s">
        <v>557</v>
      </c>
      <c r="F210" s="370" t="s">
        <v>555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564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564</v>
      </c>
    </row>
    <row r="213" spans="2:8">
      <c r="C213" s="383">
        <v>2023</v>
      </c>
      <c r="E213" t="str">
        <f t="shared" si="4"/>
        <v>Other fuel types</v>
      </c>
      <c r="H213" t="s">
        <v>564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564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564</v>
      </c>
    </row>
    <row r="219" spans="2:8">
      <c r="B219" s="384"/>
    </row>
    <row r="227" spans="2:8">
      <c r="B227" s="372" t="s">
        <v>566</v>
      </c>
      <c r="C227" s="373" t="s">
        <v>226</v>
      </c>
      <c r="D227" s="373" t="s">
        <v>567</v>
      </c>
      <c r="E227" s="373" t="s">
        <v>568</v>
      </c>
      <c r="F227" s="373" t="s">
        <v>569</v>
      </c>
      <c r="G227" s="373" t="s">
        <v>550</v>
      </c>
      <c r="H227" s="374" t="s">
        <v>551</v>
      </c>
    </row>
    <row r="228" spans="2:8">
      <c r="B228" s="375" t="s">
        <v>570</v>
      </c>
      <c r="C228" s="376" t="s">
        <v>553</v>
      </c>
      <c r="D228" s="376" t="s">
        <v>571</v>
      </c>
      <c r="E228" s="376" t="s">
        <v>572</v>
      </c>
      <c r="F228" s="376" t="s">
        <v>573</v>
      </c>
      <c r="G228" s="376" t="s">
        <v>555</v>
      </c>
      <c r="H228" s="377">
        <v>25459</v>
      </c>
    </row>
    <row r="229" spans="2:8">
      <c r="B229" s="378" t="s">
        <v>570</v>
      </c>
      <c r="C229" s="379" t="s">
        <v>553</v>
      </c>
      <c r="D229" s="379" t="s">
        <v>571</v>
      </c>
      <c r="E229" s="379" t="s">
        <v>574</v>
      </c>
      <c r="F229" s="379" t="s">
        <v>573</v>
      </c>
      <c r="G229" s="379" t="s">
        <v>555</v>
      </c>
      <c r="H229" s="380">
        <v>4</v>
      </c>
    </row>
    <row r="230" spans="2:8">
      <c r="B230" s="375" t="s">
        <v>570</v>
      </c>
      <c r="C230" s="376" t="s">
        <v>553</v>
      </c>
      <c r="D230" s="376" t="s">
        <v>571</v>
      </c>
      <c r="E230" s="376" t="s">
        <v>575</v>
      </c>
      <c r="F230" s="376" t="s">
        <v>573</v>
      </c>
      <c r="G230" s="376" t="s">
        <v>555</v>
      </c>
      <c r="H230" s="377">
        <v>3</v>
      </c>
    </row>
    <row r="231" spans="2:8">
      <c r="B231" s="378" t="s">
        <v>570</v>
      </c>
      <c r="C231" s="379" t="s">
        <v>553</v>
      </c>
      <c r="D231" s="379" t="s">
        <v>571</v>
      </c>
      <c r="E231" s="379" t="s">
        <v>576</v>
      </c>
      <c r="F231" s="379" t="s">
        <v>573</v>
      </c>
      <c r="G231" s="379" t="s">
        <v>555</v>
      </c>
      <c r="H231" s="380">
        <v>705</v>
      </c>
    </row>
    <row r="232" spans="2:8">
      <c r="B232" s="375" t="s">
        <v>570</v>
      </c>
      <c r="C232" s="376" t="s">
        <v>553</v>
      </c>
      <c r="D232" s="376" t="s">
        <v>571</v>
      </c>
      <c r="E232" s="376" t="s">
        <v>577</v>
      </c>
      <c r="F232" s="376" t="s">
        <v>573</v>
      </c>
      <c r="G232" s="376" t="s">
        <v>555</v>
      </c>
      <c r="H232" s="377">
        <v>7746</v>
      </c>
    </row>
    <row r="233" spans="2:8">
      <c r="B233" s="378" t="s">
        <v>570</v>
      </c>
      <c r="C233" s="379" t="s">
        <v>553</v>
      </c>
      <c r="D233" s="379" t="s">
        <v>571</v>
      </c>
      <c r="E233" s="379" t="s">
        <v>578</v>
      </c>
      <c r="F233" s="379" t="s">
        <v>573</v>
      </c>
      <c r="G233" s="379" t="s">
        <v>555</v>
      </c>
      <c r="H233" s="380">
        <v>7598</v>
      </c>
    </row>
    <row r="234" spans="2:8">
      <c r="B234" s="375" t="s">
        <v>570</v>
      </c>
      <c r="C234" s="376" t="s">
        <v>553</v>
      </c>
      <c r="D234" s="376" t="s">
        <v>571</v>
      </c>
      <c r="E234" s="376" t="s">
        <v>579</v>
      </c>
      <c r="F234" s="376" t="s">
        <v>573</v>
      </c>
      <c r="G234" s="376" t="s">
        <v>555</v>
      </c>
      <c r="H234" s="377">
        <v>7429</v>
      </c>
    </row>
    <row r="235" spans="2:8">
      <c r="B235" s="378" t="s">
        <v>570</v>
      </c>
      <c r="C235" s="379" t="s">
        <v>553</v>
      </c>
      <c r="D235" s="379" t="s">
        <v>571</v>
      </c>
      <c r="E235" s="379" t="s">
        <v>580</v>
      </c>
      <c r="F235" s="379" t="s">
        <v>573</v>
      </c>
      <c r="G235" s="379" t="s">
        <v>555</v>
      </c>
      <c r="H235" s="380">
        <v>293</v>
      </c>
    </row>
    <row r="236" spans="2:8">
      <c r="B236" s="375" t="s">
        <v>570</v>
      </c>
      <c r="C236" s="376" t="s">
        <v>553</v>
      </c>
      <c r="D236" s="376" t="s">
        <v>571</v>
      </c>
      <c r="E236" s="376" t="s">
        <v>581</v>
      </c>
      <c r="F236" s="376" t="s">
        <v>573</v>
      </c>
      <c r="G236" s="376" t="s">
        <v>555</v>
      </c>
      <c r="H236" s="377">
        <v>1681</v>
      </c>
    </row>
    <row r="237" spans="2:8">
      <c r="B237" s="378" t="s">
        <v>570</v>
      </c>
      <c r="C237" s="379" t="s">
        <v>558</v>
      </c>
      <c r="D237" s="379" t="s">
        <v>571</v>
      </c>
      <c r="E237" s="379" t="s">
        <v>572</v>
      </c>
      <c r="F237" s="379" t="s">
        <v>573</v>
      </c>
      <c r="G237" s="379" t="s">
        <v>555</v>
      </c>
      <c r="H237" s="380">
        <v>24645</v>
      </c>
    </row>
    <row r="238" spans="2:8">
      <c r="B238" s="375" t="s">
        <v>570</v>
      </c>
      <c r="C238" s="376" t="s">
        <v>558</v>
      </c>
      <c r="D238" s="376" t="s">
        <v>571</v>
      </c>
      <c r="E238" s="376" t="s">
        <v>574</v>
      </c>
      <c r="F238" s="376" t="s">
        <v>573</v>
      </c>
      <c r="G238" s="376" t="s">
        <v>555</v>
      </c>
      <c r="H238" s="377">
        <v>3</v>
      </c>
    </row>
    <row r="239" spans="2:8">
      <c r="B239" s="378" t="s">
        <v>570</v>
      </c>
      <c r="C239" s="379" t="s">
        <v>558</v>
      </c>
      <c r="D239" s="379" t="s">
        <v>571</v>
      </c>
      <c r="E239" s="379" t="s">
        <v>575</v>
      </c>
      <c r="F239" s="379" t="s">
        <v>573</v>
      </c>
      <c r="G239" s="379" t="s">
        <v>555</v>
      </c>
      <c r="H239" s="380">
        <v>13</v>
      </c>
    </row>
    <row r="240" spans="2:8">
      <c r="B240" s="375" t="s">
        <v>570</v>
      </c>
      <c r="C240" s="376" t="s">
        <v>558</v>
      </c>
      <c r="D240" s="376" t="s">
        <v>571</v>
      </c>
      <c r="E240" s="376" t="s">
        <v>576</v>
      </c>
      <c r="F240" s="376" t="s">
        <v>573</v>
      </c>
      <c r="G240" s="376" t="s">
        <v>555</v>
      </c>
      <c r="H240" s="377">
        <v>925</v>
      </c>
    </row>
    <row r="241" spans="2:8">
      <c r="B241" s="378" t="s">
        <v>570</v>
      </c>
      <c r="C241" s="379" t="s">
        <v>558</v>
      </c>
      <c r="D241" s="379" t="s">
        <v>571</v>
      </c>
      <c r="E241" s="379" t="s">
        <v>577</v>
      </c>
      <c r="F241" s="379" t="s">
        <v>573</v>
      </c>
      <c r="G241" s="379" t="s">
        <v>555</v>
      </c>
      <c r="H241" s="380">
        <v>6705</v>
      </c>
    </row>
    <row r="242" spans="2:8">
      <c r="B242" s="375" t="s">
        <v>570</v>
      </c>
      <c r="C242" s="376" t="s">
        <v>558</v>
      </c>
      <c r="D242" s="376" t="s">
        <v>571</v>
      </c>
      <c r="E242" s="376" t="s">
        <v>578</v>
      </c>
      <c r="F242" s="376" t="s">
        <v>573</v>
      </c>
      <c r="G242" s="376" t="s">
        <v>555</v>
      </c>
      <c r="H242" s="377">
        <v>8154</v>
      </c>
    </row>
    <row r="243" spans="2:8">
      <c r="B243" s="378" t="s">
        <v>570</v>
      </c>
      <c r="C243" s="379" t="s">
        <v>558</v>
      </c>
      <c r="D243" s="379" t="s">
        <v>571</v>
      </c>
      <c r="E243" s="379" t="s">
        <v>579</v>
      </c>
      <c r="F243" s="379" t="s">
        <v>573</v>
      </c>
      <c r="G243" s="379" t="s">
        <v>555</v>
      </c>
      <c r="H243" s="380">
        <v>6946</v>
      </c>
    </row>
    <row r="244" spans="2:8">
      <c r="B244" s="375" t="s">
        <v>570</v>
      </c>
      <c r="C244" s="376" t="s">
        <v>558</v>
      </c>
      <c r="D244" s="376" t="s">
        <v>571</v>
      </c>
      <c r="E244" s="376" t="s">
        <v>580</v>
      </c>
      <c r="F244" s="376" t="s">
        <v>573</v>
      </c>
      <c r="G244" s="376" t="s">
        <v>555</v>
      </c>
      <c r="H244" s="377">
        <v>279</v>
      </c>
    </row>
    <row r="245" spans="2:8">
      <c r="B245" s="378" t="s">
        <v>570</v>
      </c>
      <c r="C245" s="379" t="s">
        <v>558</v>
      </c>
      <c r="D245" s="379" t="s">
        <v>571</v>
      </c>
      <c r="E245" s="379" t="s">
        <v>581</v>
      </c>
      <c r="F245" s="379" t="s">
        <v>573</v>
      </c>
      <c r="G245" s="379" t="s">
        <v>555</v>
      </c>
      <c r="H245" s="380">
        <v>1620</v>
      </c>
    </row>
    <row r="246" spans="2:8">
      <c r="B246" s="375" t="s">
        <v>570</v>
      </c>
      <c r="C246" s="376" t="s">
        <v>559</v>
      </c>
      <c r="D246" s="376" t="s">
        <v>571</v>
      </c>
      <c r="E246" s="376" t="s">
        <v>572</v>
      </c>
      <c r="F246" s="376" t="s">
        <v>573</v>
      </c>
      <c r="G246" s="376" t="s">
        <v>555</v>
      </c>
      <c r="H246" s="377">
        <v>21495</v>
      </c>
    </row>
    <row r="247" spans="2:8">
      <c r="B247" s="378" t="s">
        <v>570</v>
      </c>
      <c r="C247" s="379" t="s">
        <v>559</v>
      </c>
      <c r="D247" s="379" t="s">
        <v>571</v>
      </c>
      <c r="E247" s="379" t="s">
        <v>574</v>
      </c>
      <c r="F247" s="379" t="s">
        <v>573</v>
      </c>
      <c r="G247" s="379" t="s">
        <v>555</v>
      </c>
      <c r="H247" s="380">
        <v>2</v>
      </c>
    </row>
    <row r="248" spans="2:8">
      <c r="B248" s="375" t="s">
        <v>570</v>
      </c>
      <c r="C248" s="376" t="s">
        <v>559</v>
      </c>
      <c r="D248" s="376" t="s">
        <v>571</v>
      </c>
      <c r="E248" s="376" t="s">
        <v>575</v>
      </c>
      <c r="F248" s="376" t="s">
        <v>573</v>
      </c>
      <c r="G248" s="376" t="s">
        <v>555</v>
      </c>
      <c r="H248" s="377">
        <v>11</v>
      </c>
    </row>
    <row r="249" spans="2:8">
      <c r="B249" s="378" t="s">
        <v>570</v>
      </c>
      <c r="C249" s="379" t="s">
        <v>559</v>
      </c>
      <c r="D249" s="379" t="s">
        <v>571</v>
      </c>
      <c r="E249" s="379" t="s">
        <v>576</v>
      </c>
      <c r="F249" s="379" t="s">
        <v>573</v>
      </c>
      <c r="G249" s="379" t="s">
        <v>555</v>
      </c>
      <c r="H249" s="380">
        <v>457</v>
      </c>
    </row>
    <row r="250" spans="2:8">
      <c r="B250" s="375" t="s">
        <v>570</v>
      </c>
      <c r="C250" s="376" t="s">
        <v>559</v>
      </c>
      <c r="D250" s="376" t="s">
        <v>571</v>
      </c>
      <c r="E250" s="376" t="s">
        <v>577</v>
      </c>
      <c r="F250" s="376" t="s">
        <v>573</v>
      </c>
      <c r="G250" s="376" t="s">
        <v>555</v>
      </c>
      <c r="H250" s="377">
        <v>5152</v>
      </c>
    </row>
    <row r="251" spans="2:8">
      <c r="B251" s="378" t="s">
        <v>570</v>
      </c>
      <c r="C251" s="379" t="s">
        <v>559</v>
      </c>
      <c r="D251" s="379" t="s">
        <v>571</v>
      </c>
      <c r="E251" s="379" t="s">
        <v>578</v>
      </c>
      <c r="F251" s="379" t="s">
        <v>573</v>
      </c>
      <c r="G251" s="379" t="s">
        <v>555</v>
      </c>
      <c r="H251" s="380">
        <v>6344</v>
      </c>
    </row>
    <row r="252" spans="2:8">
      <c r="B252" s="375" t="s">
        <v>570</v>
      </c>
      <c r="C252" s="376" t="s">
        <v>559</v>
      </c>
      <c r="D252" s="376" t="s">
        <v>571</v>
      </c>
      <c r="E252" s="376" t="s">
        <v>579</v>
      </c>
      <c r="F252" s="376" t="s">
        <v>573</v>
      </c>
      <c r="G252" s="376" t="s">
        <v>555</v>
      </c>
      <c r="H252" s="377">
        <v>7793</v>
      </c>
    </row>
    <row r="253" spans="2:8">
      <c r="B253" s="378" t="s">
        <v>570</v>
      </c>
      <c r="C253" s="379" t="s">
        <v>559</v>
      </c>
      <c r="D253" s="379" t="s">
        <v>571</v>
      </c>
      <c r="E253" s="379" t="s">
        <v>580</v>
      </c>
      <c r="F253" s="379" t="s">
        <v>573</v>
      </c>
      <c r="G253" s="379" t="s">
        <v>555</v>
      </c>
      <c r="H253" s="380">
        <v>194</v>
      </c>
    </row>
    <row r="254" spans="2:8">
      <c r="B254" s="375" t="s">
        <v>570</v>
      </c>
      <c r="C254" s="376" t="s">
        <v>559</v>
      </c>
      <c r="D254" s="376" t="s">
        <v>571</v>
      </c>
      <c r="E254" s="376" t="s">
        <v>581</v>
      </c>
      <c r="F254" s="376" t="s">
        <v>573</v>
      </c>
      <c r="G254" s="376" t="s">
        <v>555</v>
      </c>
      <c r="H254" s="377">
        <v>1542</v>
      </c>
    </row>
    <row r="255" spans="2:8">
      <c r="B255" s="378" t="s">
        <v>570</v>
      </c>
      <c r="C255" s="379" t="s">
        <v>560</v>
      </c>
      <c r="D255" s="379" t="s">
        <v>571</v>
      </c>
      <c r="E255" s="379" t="s">
        <v>572</v>
      </c>
      <c r="F255" s="379" t="s">
        <v>573</v>
      </c>
      <c r="G255" s="379" t="s">
        <v>555</v>
      </c>
      <c r="H255" s="380">
        <v>28387</v>
      </c>
    </row>
    <row r="256" spans="2:8">
      <c r="B256" s="375" t="s">
        <v>570</v>
      </c>
      <c r="C256" s="376" t="s">
        <v>560</v>
      </c>
      <c r="D256" s="376" t="s">
        <v>571</v>
      </c>
      <c r="E256" s="376" t="s">
        <v>574</v>
      </c>
      <c r="F256" s="376" t="s">
        <v>573</v>
      </c>
      <c r="G256" s="376" t="s">
        <v>555</v>
      </c>
      <c r="H256" s="377">
        <v>7</v>
      </c>
    </row>
    <row r="257" spans="2:8">
      <c r="B257" s="378" t="s">
        <v>570</v>
      </c>
      <c r="C257" s="379" t="s">
        <v>560</v>
      </c>
      <c r="D257" s="379" t="s">
        <v>571</v>
      </c>
      <c r="E257" s="379" t="s">
        <v>575</v>
      </c>
      <c r="F257" s="379" t="s">
        <v>573</v>
      </c>
      <c r="G257" s="379" t="s">
        <v>555</v>
      </c>
      <c r="H257" s="380">
        <v>27</v>
      </c>
    </row>
    <row r="258" spans="2:8">
      <c r="B258" s="375" t="s">
        <v>570</v>
      </c>
      <c r="C258" s="376" t="s">
        <v>560</v>
      </c>
      <c r="D258" s="376" t="s">
        <v>571</v>
      </c>
      <c r="E258" s="376" t="s">
        <v>576</v>
      </c>
      <c r="F258" s="376" t="s">
        <v>573</v>
      </c>
      <c r="G258" s="376" t="s">
        <v>555</v>
      </c>
      <c r="H258" s="377">
        <v>217</v>
      </c>
    </row>
    <row r="259" spans="2:8">
      <c r="B259" s="378" t="s">
        <v>570</v>
      </c>
      <c r="C259" s="379" t="s">
        <v>560</v>
      </c>
      <c r="D259" s="379" t="s">
        <v>571</v>
      </c>
      <c r="E259" s="379" t="s">
        <v>577</v>
      </c>
      <c r="F259" s="379" t="s">
        <v>573</v>
      </c>
      <c r="G259" s="379" t="s">
        <v>555</v>
      </c>
      <c r="H259" s="380">
        <v>6726</v>
      </c>
    </row>
    <row r="260" spans="2:8">
      <c r="B260" s="375" t="s">
        <v>570</v>
      </c>
      <c r="C260" s="376" t="s">
        <v>560</v>
      </c>
      <c r="D260" s="376" t="s">
        <v>571</v>
      </c>
      <c r="E260" s="376" t="s">
        <v>578</v>
      </c>
      <c r="F260" s="376" t="s">
        <v>573</v>
      </c>
      <c r="G260" s="376" t="s">
        <v>555</v>
      </c>
      <c r="H260" s="377">
        <v>8180</v>
      </c>
    </row>
    <row r="261" spans="2:8">
      <c r="B261" s="378" t="s">
        <v>570</v>
      </c>
      <c r="C261" s="379" t="s">
        <v>560</v>
      </c>
      <c r="D261" s="379" t="s">
        <v>571</v>
      </c>
      <c r="E261" s="379" t="s">
        <v>579</v>
      </c>
      <c r="F261" s="379" t="s">
        <v>573</v>
      </c>
      <c r="G261" s="379" t="s">
        <v>555</v>
      </c>
      <c r="H261" s="380">
        <v>11264</v>
      </c>
    </row>
    <row r="262" spans="2:8">
      <c r="B262" s="375" t="s">
        <v>570</v>
      </c>
      <c r="C262" s="376" t="s">
        <v>560</v>
      </c>
      <c r="D262" s="376" t="s">
        <v>571</v>
      </c>
      <c r="E262" s="376" t="s">
        <v>580</v>
      </c>
      <c r="F262" s="376" t="s">
        <v>573</v>
      </c>
      <c r="G262" s="376" t="s">
        <v>555</v>
      </c>
      <c r="H262" s="377">
        <v>222</v>
      </c>
    </row>
    <row r="263" spans="2:8">
      <c r="B263" s="378" t="s">
        <v>570</v>
      </c>
      <c r="C263" s="379" t="s">
        <v>560</v>
      </c>
      <c r="D263" s="379" t="s">
        <v>571</v>
      </c>
      <c r="E263" s="379" t="s">
        <v>581</v>
      </c>
      <c r="F263" s="379" t="s">
        <v>573</v>
      </c>
      <c r="G263" s="379" t="s">
        <v>555</v>
      </c>
      <c r="H263" s="380">
        <v>1744</v>
      </c>
    </row>
    <row r="264" spans="2:8">
      <c r="B264" s="375" t="s">
        <v>570</v>
      </c>
      <c r="C264" s="376" t="s">
        <v>561</v>
      </c>
      <c r="D264" s="376" t="s">
        <v>571</v>
      </c>
      <c r="E264" s="376" t="s">
        <v>572</v>
      </c>
      <c r="F264" s="376" t="s">
        <v>573</v>
      </c>
      <c r="G264" s="376" t="s">
        <v>555</v>
      </c>
      <c r="H264" s="377">
        <v>23655</v>
      </c>
    </row>
    <row r="265" spans="2:8">
      <c r="B265" s="378" t="s">
        <v>570</v>
      </c>
      <c r="C265" s="379" t="s">
        <v>561</v>
      </c>
      <c r="D265" s="379" t="s">
        <v>571</v>
      </c>
      <c r="E265" s="379" t="s">
        <v>574</v>
      </c>
      <c r="F265" s="379" t="s">
        <v>573</v>
      </c>
      <c r="G265" s="379" t="s">
        <v>555</v>
      </c>
      <c r="H265" s="380">
        <v>3</v>
      </c>
    </row>
    <row r="266" spans="2:8">
      <c r="B266" s="375" t="s">
        <v>570</v>
      </c>
      <c r="C266" s="376" t="s">
        <v>561</v>
      </c>
      <c r="D266" s="376" t="s">
        <v>571</v>
      </c>
      <c r="E266" s="376" t="s">
        <v>575</v>
      </c>
      <c r="F266" s="376" t="s">
        <v>573</v>
      </c>
      <c r="G266" s="376" t="s">
        <v>555</v>
      </c>
      <c r="H266" s="377">
        <v>11</v>
      </c>
    </row>
    <row r="267" spans="2:8">
      <c r="B267" s="378" t="s">
        <v>570</v>
      </c>
      <c r="C267" s="379" t="s">
        <v>561</v>
      </c>
      <c r="D267" s="379" t="s">
        <v>571</v>
      </c>
      <c r="E267" s="379" t="s">
        <v>576</v>
      </c>
      <c r="F267" s="379" t="s">
        <v>573</v>
      </c>
      <c r="G267" s="379" t="s">
        <v>555</v>
      </c>
      <c r="H267" s="380">
        <v>348</v>
      </c>
    </row>
    <row r="268" spans="2:8">
      <c r="B268" s="375" t="s">
        <v>570</v>
      </c>
      <c r="C268" s="376" t="s">
        <v>561</v>
      </c>
      <c r="D268" s="376" t="s">
        <v>571</v>
      </c>
      <c r="E268" s="376" t="s">
        <v>577</v>
      </c>
      <c r="F268" s="376" t="s">
        <v>573</v>
      </c>
      <c r="G268" s="376" t="s">
        <v>555</v>
      </c>
      <c r="H268" s="377">
        <v>4830</v>
      </c>
    </row>
    <row r="269" spans="2:8">
      <c r="B269" s="378" t="s">
        <v>570</v>
      </c>
      <c r="C269" s="379" t="s">
        <v>561</v>
      </c>
      <c r="D269" s="379" t="s">
        <v>571</v>
      </c>
      <c r="E269" s="379" t="s">
        <v>578</v>
      </c>
      <c r="F269" s="379" t="s">
        <v>573</v>
      </c>
      <c r="G269" s="379" t="s">
        <v>555</v>
      </c>
      <c r="H269" s="380">
        <v>7243</v>
      </c>
    </row>
    <row r="270" spans="2:8">
      <c r="B270" s="375" t="s">
        <v>570</v>
      </c>
      <c r="C270" s="376" t="s">
        <v>561</v>
      </c>
      <c r="D270" s="376" t="s">
        <v>571</v>
      </c>
      <c r="E270" s="376" t="s">
        <v>579</v>
      </c>
      <c r="F270" s="376" t="s">
        <v>573</v>
      </c>
      <c r="G270" s="376" t="s">
        <v>555</v>
      </c>
      <c r="H270" s="377">
        <v>9199</v>
      </c>
    </row>
    <row r="271" spans="2:8">
      <c r="B271" s="378" t="s">
        <v>570</v>
      </c>
      <c r="C271" s="379" t="s">
        <v>561</v>
      </c>
      <c r="D271" s="379" t="s">
        <v>571</v>
      </c>
      <c r="E271" s="379" t="s">
        <v>580</v>
      </c>
      <c r="F271" s="379" t="s">
        <v>573</v>
      </c>
      <c r="G271" s="379" t="s">
        <v>555</v>
      </c>
      <c r="H271" s="380">
        <v>224</v>
      </c>
    </row>
    <row r="272" spans="2:8">
      <c r="B272" s="369" t="s">
        <v>570</v>
      </c>
      <c r="C272" s="370" t="s">
        <v>561</v>
      </c>
      <c r="D272" s="370" t="s">
        <v>571</v>
      </c>
      <c r="E272" s="370" t="s">
        <v>581</v>
      </c>
      <c r="F272" s="370" t="s">
        <v>573</v>
      </c>
      <c r="G272" s="370" t="s">
        <v>555</v>
      </c>
      <c r="H272" s="371">
        <v>1797</v>
      </c>
    </row>
    <row r="279" spans="2:7">
      <c r="B279" s="372" t="s">
        <v>547</v>
      </c>
      <c r="C279" s="373" t="s">
        <v>226</v>
      </c>
      <c r="D279" s="373" t="s">
        <v>548</v>
      </c>
      <c r="E279" s="373" t="s">
        <v>549</v>
      </c>
      <c r="F279" s="373" t="s">
        <v>550</v>
      </c>
      <c r="G279" s="374" t="s">
        <v>551</v>
      </c>
    </row>
    <row r="280" spans="2:7">
      <c r="B280" s="375" t="s">
        <v>552</v>
      </c>
      <c r="C280" s="376" t="s">
        <v>553</v>
      </c>
      <c r="D280" s="376" t="s">
        <v>570</v>
      </c>
      <c r="E280" s="376" t="s">
        <v>399</v>
      </c>
      <c r="F280" s="376" t="s">
        <v>555</v>
      </c>
      <c r="G280" s="377">
        <v>8</v>
      </c>
    </row>
    <row r="281" spans="2:7">
      <c r="B281" s="378" t="s">
        <v>552</v>
      </c>
      <c r="C281" s="379" t="s">
        <v>553</v>
      </c>
      <c r="D281" s="379" t="s">
        <v>570</v>
      </c>
      <c r="E281" s="379" t="s">
        <v>391</v>
      </c>
      <c r="F281" s="379" t="s">
        <v>555</v>
      </c>
      <c r="G281" s="380">
        <v>25372</v>
      </c>
    </row>
    <row r="282" spans="2:7">
      <c r="B282" s="375" t="s">
        <v>552</v>
      </c>
      <c r="C282" s="376" t="s">
        <v>553</v>
      </c>
      <c r="D282" s="376" t="s">
        <v>570</v>
      </c>
      <c r="E282" s="376" t="s">
        <v>556</v>
      </c>
      <c r="F282" s="376" t="s">
        <v>555</v>
      </c>
      <c r="G282" s="377">
        <v>10</v>
      </c>
    </row>
    <row r="283" spans="2:7">
      <c r="B283" s="378" t="s">
        <v>552</v>
      </c>
      <c r="C283" s="379" t="s">
        <v>553</v>
      </c>
      <c r="D283" s="379" t="s">
        <v>570</v>
      </c>
      <c r="E283" s="379" t="s">
        <v>389</v>
      </c>
      <c r="F283" s="379" t="s">
        <v>555</v>
      </c>
      <c r="G283" s="380">
        <v>67</v>
      </c>
    </row>
    <row r="284" spans="2:7">
      <c r="B284" s="375" t="s">
        <v>552</v>
      </c>
      <c r="C284" s="376" t="s">
        <v>553</v>
      </c>
      <c r="D284" s="376" t="s">
        <v>570</v>
      </c>
      <c r="E284" s="376" t="s">
        <v>557</v>
      </c>
      <c r="F284" s="376" t="s">
        <v>555</v>
      </c>
      <c r="G284" s="377">
        <v>2</v>
      </c>
    </row>
    <row r="285" spans="2:7">
      <c r="B285" s="378" t="s">
        <v>552</v>
      </c>
      <c r="C285" s="379" t="s">
        <v>558</v>
      </c>
      <c r="D285" s="379" t="s">
        <v>570</v>
      </c>
      <c r="E285" s="379" t="s">
        <v>399</v>
      </c>
      <c r="F285" s="379" t="s">
        <v>555</v>
      </c>
      <c r="G285" s="380">
        <v>10</v>
      </c>
    </row>
    <row r="286" spans="2:7">
      <c r="B286" s="375" t="s">
        <v>552</v>
      </c>
      <c r="C286" s="376" t="s">
        <v>558</v>
      </c>
      <c r="D286" s="376" t="s">
        <v>570</v>
      </c>
      <c r="E286" s="376" t="s">
        <v>391</v>
      </c>
      <c r="F286" s="376" t="s">
        <v>555</v>
      </c>
      <c r="G286" s="377">
        <v>24327</v>
      </c>
    </row>
    <row r="287" spans="2:7">
      <c r="B287" s="378" t="s">
        <v>552</v>
      </c>
      <c r="C287" s="379" t="s">
        <v>558</v>
      </c>
      <c r="D287" s="379" t="s">
        <v>570</v>
      </c>
      <c r="E287" s="379" t="s">
        <v>556</v>
      </c>
      <c r="F287" s="379" t="s">
        <v>555</v>
      </c>
      <c r="G287" s="380">
        <v>10</v>
      </c>
    </row>
    <row r="288" spans="2:7">
      <c r="B288" s="375" t="s">
        <v>552</v>
      </c>
      <c r="C288" s="376" t="s">
        <v>558</v>
      </c>
      <c r="D288" s="376" t="s">
        <v>570</v>
      </c>
      <c r="E288" s="376" t="s">
        <v>389</v>
      </c>
      <c r="F288" s="376" t="s">
        <v>555</v>
      </c>
      <c r="G288" s="377">
        <v>293</v>
      </c>
    </row>
    <row r="289" spans="2:7">
      <c r="B289" s="378" t="s">
        <v>552</v>
      </c>
      <c r="C289" s="379" t="s">
        <v>558</v>
      </c>
      <c r="D289" s="379" t="s">
        <v>570</v>
      </c>
      <c r="E289" s="379" t="s">
        <v>557</v>
      </c>
      <c r="F289" s="379" t="s">
        <v>555</v>
      </c>
      <c r="G289" s="380">
        <v>5</v>
      </c>
    </row>
    <row r="290" spans="2:7">
      <c r="B290" s="375" t="s">
        <v>552</v>
      </c>
      <c r="C290" s="376" t="s">
        <v>559</v>
      </c>
      <c r="D290" s="376" t="s">
        <v>570</v>
      </c>
      <c r="E290" s="376" t="s">
        <v>399</v>
      </c>
      <c r="F290" s="376" t="s">
        <v>555</v>
      </c>
      <c r="G290" s="377">
        <v>21</v>
      </c>
    </row>
    <row r="291" spans="2:7">
      <c r="B291" s="378" t="s">
        <v>552</v>
      </c>
      <c r="C291" s="379" t="s">
        <v>559</v>
      </c>
      <c r="D291" s="379" t="s">
        <v>570</v>
      </c>
      <c r="E291" s="379" t="s">
        <v>391</v>
      </c>
      <c r="F291" s="379" t="s">
        <v>555</v>
      </c>
      <c r="G291" s="380">
        <v>20977</v>
      </c>
    </row>
    <row r="292" spans="2:7">
      <c r="B292" s="375" t="s">
        <v>552</v>
      </c>
      <c r="C292" s="376" t="s">
        <v>559</v>
      </c>
      <c r="D292" s="376" t="s">
        <v>570</v>
      </c>
      <c r="E292" s="376" t="s">
        <v>556</v>
      </c>
      <c r="F292" s="376" t="s">
        <v>555</v>
      </c>
      <c r="G292" s="377">
        <v>19</v>
      </c>
    </row>
    <row r="293" spans="2:7">
      <c r="B293" s="378" t="s">
        <v>552</v>
      </c>
      <c r="C293" s="379" t="s">
        <v>559</v>
      </c>
      <c r="D293" s="379" t="s">
        <v>570</v>
      </c>
      <c r="E293" s="379" t="s">
        <v>389</v>
      </c>
      <c r="F293" s="379" t="s">
        <v>555</v>
      </c>
      <c r="G293" s="380">
        <v>443</v>
      </c>
    </row>
    <row r="294" spans="2:7">
      <c r="B294" s="375" t="s">
        <v>552</v>
      </c>
      <c r="C294" s="376" t="s">
        <v>559</v>
      </c>
      <c r="D294" s="376" t="s">
        <v>570</v>
      </c>
      <c r="E294" s="376" t="s">
        <v>557</v>
      </c>
      <c r="F294" s="376" t="s">
        <v>555</v>
      </c>
      <c r="G294" s="377">
        <v>35</v>
      </c>
    </row>
    <row r="295" spans="2:7">
      <c r="B295" s="378" t="s">
        <v>552</v>
      </c>
      <c r="C295" s="379" t="s">
        <v>560</v>
      </c>
      <c r="D295" s="379" t="s">
        <v>570</v>
      </c>
      <c r="E295" s="379" t="s">
        <v>399</v>
      </c>
      <c r="F295" s="379" t="s">
        <v>555</v>
      </c>
      <c r="G295" s="380">
        <v>28</v>
      </c>
    </row>
    <row r="296" spans="2:7">
      <c r="B296" s="375" t="s">
        <v>552</v>
      </c>
      <c r="C296" s="376" t="s">
        <v>560</v>
      </c>
      <c r="D296" s="376" t="s">
        <v>570</v>
      </c>
      <c r="E296" s="376" t="s">
        <v>391</v>
      </c>
      <c r="F296" s="376" t="s">
        <v>555</v>
      </c>
      <c r="G296" s="377">
        <v>27258</v>
      </c>
    </row>
    <row r="297" spans="2:7">
      <c r="B297" s="378" t="s">
        <v>552</v>
      </c>
      <c r="C297" s="379" t="s">
        <v>560</v>
      </c>
      <c r="D297" s="379" t="s">
        <v>570</v>
      </c>
      <c r="E297" s="379" t="s">
        <v>556</v>
      </c>
      <c r="F297" s="379" t="s">
        <v>555</v>
      </c>
      <c r="G297" s="380">
        <v>23</v>
      </c>
    </row>
    <row r="298" spans="2:7">
      <c r="B298" s="375" t="s">
        <v>552</v>
      </c>
      <c r="C298" s="376" t="s">
        <v>560</v>
      </c>
      <c r="D298" s="376" t="s">
        <v>570</v>
      </c>
      <c r="E298" s="376" t="s">
        <v>389</v>
      </c>
      <c r="F298" s="376" t="s">
        <v>555</v>
      </c>
      <c r="G298" s="377">
        <v>894</v>
      </c>
    </row>
    <row r="299" spans="2:7">
      <c r="B299" s="378" t="s">
        <v>552</v>
      </c>
      <c r="C299" s="379" t="s">
        <v>560</v>
      </c>
      <c r="D299" s="379" t="s">
        <v>570</v>
      </c>
      <c r="E299" s="379" t="s">
        <v>557</v>
      </c>
      <c r="F299" s="379" t="s">
        <v>555</v>
      </c>
      <c r="G299" s="380">
        <v>184</v>
      </c>
    </row>
    <row r="300" spans="2:7">
      <c r="B300" s="375" t="s">
        <v>552</v>
      </c>
      <c r="C300" s="376" t="s">
        <v>561</v>
      </c>
      <c r="D300" s="376" t="s">
        <v>570</v>
      </c>
      <c r="E300" s="376" t="s">
        <v>399</v>
      </c>
      <c r="F300" s="376" t="s">
        <v>555</v>
      </c>
      <c r="G300" s="377">
        <v>121</v>
      </c>
    </row>
    <row r="301" spans="2:7">
      <c r="B301" s="378" t="s">
        <v>552</v>
      </c>
      <c r="C301" s="379" t="s">
        <v>561</v>
      </c>
      <c r="D301" s="379" t="s">
        <v>570</v>
      </c>
      <c r="E301" s="379" t="s">
        <v>391</v>
      </c>
      <c r="F301" s="379" t="s">
        <v>555</v>
      </c>
      <c r="G301" s="380">
        <v>22974</v>
      </c>
    </row>
    <row r="302" spans="2:7">
      <c r="B302" s="375" t="s">
        <v>552</v>
      </c>
      <c r="C302" s="376" t="s">
        <v>561</v>
      </c>
      <c r="D302" s="376" t="s">
        <v>570</v>
      </c>
      <c r="E302" s="376" t="s">
        <v>556</v>
      </c>
      <c r="F302" s="376" t="s">
        <v>555</v>
      </c>
      <c r="G302" s="377">
        <v>25</v>
      </c>
    </row>
    <row r="303" spans="2:7">
      <c r="B303" s="378" t="s">
        <v>552</v>
      </c>
      <c r="C303" s="379" t="s">
        <v>561</v>
      </c>
      <c r="D303" s="379" t="s">
        <v>570</v>
      </c>
      <c r="E303" s="379" t="s">
        <v>389</v>
      </c>
      <c r="F303" s="379" t="s">
        <v>555</v>
      </c>
      <c r="G303" s="380">
        <v>411</v>
      </c>
    </row>
    <row r="304" spans="2:7">
      <c r="B304" s="369" t="s">
        <v>552</v>
      </c>
      <c r="C304" s="370" t="s">
        <v>561</v>
      </c>
      <c r="D304" s="370" t="s">
        <v>570</v>
      </c>
      <c r="E304" s="370" t="s">
        <v>557</v>
      </c>
      <c r="F304" s="370" t="s">
        <v>555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478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473</v>
      </c>
      <c r="D5" s="351" t="s">
        <v>474</v>
      </c>
      <c r="E5" s="351" t="s">
        <v>225</v>
      </c>
      <c r="F5" s="351" t="s">
        <v>226</v>
      </c>
      <c r="G5" s="351" t="s">
        <v>227</v>
      </c>
      <c r="H5" s="352" t="s">
        <v>475</v>
      </c>
      <c r="I5" s="352" t="s">
        <v>476</v>
      </c>
      <c r="J5" s="353" t="s">
        <v>479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477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472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473</v>
      </c>
      <c r="D5" s="351" t="s">
        <v>474</v>
      </c>
      <c r="E5" s="351" t="s">
        <v>225</v>
      </c>
      <c r="F5" s="351" t="s">
        <v>226</v>
      </c>
      <c r="G5" s="351" t="s">
        <v>227</v>
      </c>
      <c r="H5" s="352" t="s">
        <v>475</v>
      </c>
      <c r="I5" s="352" t="s">
        <v>476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477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2" activePane="bottomRight" state="frozen"/>
      <selection activeCell="C3" sqref="C3"/>
      <selection pane="topRight" activeCell="C3" sqref="C3"/>
      <selection pane="bottomLeft" activeCell="C3" sqref="C3"/>
      <selection pane="bottomRight" activeCell="L28" sqref="L2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5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V30" activeCellId="2" sqref="Q30 U30 V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541</v>
      </c>
    </row>
    <row r="75" spans="1:43">
      <c r="A75" s="333" t="s">
        <v>542</v>
      </c>
    </row>
    <row r="76" spans="1:43">
      <c r="A76" s="334" t="s">
        <v>543</v>
      </c>
    </row>
    <row r="77" spans="1:43">
      <c r="A77" s="336" t="s">
        <v>544</v>
      </c>
    </row>
    <row r="78" spans="1:43">
      <c r="A78" s="366" t="s">
        <v>545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2025-01-06T16:06:25Z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