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comments7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omments8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C8CFB296-C9B8-4A4F-95C6-29C415416C07}" xr6:coauthVersionLast="47" xr6:coauthVersionMax="47" xr10:uidLastSave="{00000000-0000-0000-0000-000000000000}"/>
  <bookViews>
    <workbookView xWindow="-120" yWindow="-120" windowWidth="29040" windowHeight="15720" firstSheet="6" activeTab="14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 CO2" sheetId="24" r:id="rId9"/>
    <sheet name="Imports_Bio" sheetId="7" r:id="rId10"/>
    <sheet name="Domestic" sheetId="3" r:id="rId11"/>
    <sheet name="Domestic_Bio" sheetId="10" r:id="rId12"/>
    <sheet name="Refinery" sheetId="12" r:id="rId13"/>
    <sheet name="Interconnector" sheetId="5" r:id="rId14"/>
    <sheet name="Emi" sheetId="19" r:id="rId15"/>
    <sheet name="SEAI-AEA_BioData" sheetId="9" r:id="rId16"/>
    <sheet name="Conversions" sheetId="16" r:id="rId1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3" i="10" l="1"/>
  <c r="E23" i="10"/>
  <c r="E13" i="10"/>
  <c r="B59" i="7"/>
  <c r="B60" i="7"/>
  <c r="B61" i="7"/>
  <c r="C56" i="7"/>
  <c r="C55" i="7"/>
  <c r="H57" i="7"/>
  <c r="I57" i="7"/>
  <c r="J57" i="7"/>
  <c r="K57" i="7"/>
  <c r="L57" i="7"/>
  <c r="M57" i="7"/>
  <c r="G57" i="7"/>
  <c r="H53" i="7"/>
  <c r="I53" i="7"/>
  <c r="J53" i="7"/>
  <c r="K53" i="7"/>
  <c r="L53" i="7"/>
  <c r="M53" i="7"/>
  <c r="H54" i="7"/>
  <c r="I54" i="7"/>
  <c r="J54" i="7"/>
  <c r="K54" i="7"/>
  <c r="L54" i="7"/>
  <c r="M54" i="7"/>
  <c r="G54" i="7"/>
  <c r="G53" i="7"/>
  <c r="B56" i="7"/>
  <c r="F53" i="7"/>
  <c r="M68" i="7"/>
  <c r="L68" i="7"/>
  <c r="K68" i="7"/>
  <c r="J68" i="7"/>
  <c r="I68" i="7"/>
  <c r="H68" i="7"/>
  <c r="I69" i="7"/>
  <c r="J69" i="7" s="1"/>
  <c r="K69" i="7" s="1"/>
  <c r="L69" i="7" s="1"/>
  <c r="K70" i="7"/>
  <c r="L70" i="7" s="1"/>
  <c r="M70" i="7" s="1"/>
  <c r="J70" i="7"/>
  <c r="J67" i="7"/>
  <c r="M67" i="7"/>
  <c r="L67" i="7"/>
  <c r="K67" i="7"/>
  <c r="I67" i="7"/>
  <c r="H67" i="7"/>
  <c r="H71" i="7" s="1"/>
  <c r="G67" i="7"/>
  <c r="G71" i="7" s="1"/>
  <c r="V19" i="9"/>
  <c r="N18" i="9"/>
  <c r="L19" i="9"/>
  <c r="E70" i="7"/>
  <c r="F70" i="7" s="1"/>
  <c r="H16" i="7" s="1"/>
  <c r="E69" i="7"/>
  <c r="F69" i="7" s="1"/>
  <c r="I15" i="7" s="1"/>
  <c r="E68" i="7"/>
  <c r="F68" i="7" s="1"/>
  <c r="E67" i="7"/>
  <c r="F67" i="7" s="1"/>
  <c r="C12" i="24"/>
  <c r="B12" i="24"/>
  <c r="C5" i="24"/>
  <c r="J5" i="5"/>
  <c r="J6" i="5"/>
  <c r="M11" i="5"/>
  <c r="B83" i="21"/>
  <c r="C83" i="21"/>
  <c r="B5" i="5" s="1"/>
  <c r="B84" i="21"/>
  <c r="C84" i="21"/>
  <c r="B6" i="5" s="1"/>
  <c r="J80" i="20"/>
  <c r="J79" i="20"/>
  <c r="I80" i="20"/>
  <c r="G80" i="20" s="1"/>
  <c r="H80" i="20"/>
  <c r="I79" i="20"/>
  <c r="G79" i="20" s="1"/>
  <c r="H79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C58" i="4"/>
  <c r="D58" i="4"/>
  <c r="C57" i="4"/>
  <c r="F5" i="5" s="1"/>
  <c r="I71" i="7" l="1"/>
  <c r="L71" i="7"/>
  <c r="M69" i="7"/>
  <c r="K71" i="7"/>
  <c r="M71" i="7"/>
  <c r="J71" i="7"/>
  <c r="G13" i="7"/>
  <c r="F13" i="7"/>
  <c r="H13" i="7"/>
  <c r="I13" i="7"/>
  <c r="J13" i="7"/>
  <c r="K13" i="7"/>
  <c r="J14" i="7"/>
  <c r="K14" i="7"/>
  <c r="I14" i="7"/>
  <c r="G14" i="7"/>
  <c r="H14" i="7"/>
  <c r="F14" i="7"/>
  <c r="K15" i="7"/>
  <c r="F15" i="7"/>
  <c r="J15" i="7"/>
  <c r="K16" i="7"/>
  <c r="H15" i="7"/>
  <c r="G16" i="7"/>
  <c r="F16" i="7"/>
  <c r="J16" i="7"/>
  <c r="G15" i="7"/>
  <c r="I16" i="7"/>
  <c r="E6" i="5"/>
  <c r="F79" i="20"/>
  <c r="E83" i="21" s="1"/>
  <c r="D5" i="5" s="1"/>
  <c r="E80" i="20"/>
  <c r="D84" i="21" s="1"/>
  <c r="C6" i="5" s="1"/>
  <c r="E79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0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C38" i="21"/>
  <c r="B19" i="7" s="1"/>
  <c r="C37" i="21"/>
  <c r="B18" i="7" s="1"/>
  <c r="C36" i="21"/>
  <c r="B17" i="7" s="1"/>
  <c r="B58" i="7" s="1"/>
  <c r="C35" i="21"/>
  <c r="B16" i="7" s="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8" i="21"/>
  <c r="B89" i="21"/>
  <c r="B90" i="21"/>
  <c r="B91" i="21"/>
  <c r="B87" i="21"/>
  <c r="H86" i="20"/>
  <c r="H85" i="20"/>
  <c r="H84" i="20"/>
  <c r="H83" i="20"/>
  <c r="H82" i="20"/>
  <c r="I83" i="20"/>
  <c r="E83" i="20" s="1"/>
  <c r="D88" i="21" s="1"/>
  <c r="C7" i="17" s="1"/>
  <c r="I84" i="20"/>
  <c r="E84" i="20" s="1"/>
  <c r="D89" i="21" s="1"/>
  <c r="C8" i="17" s="1"/>
  <c r="I85" i="20"/>
  <c r="I86" i="20"/>
  <c r="I82" i="20"/>
  <c r="G82" i="20" s="1"/>
  <c r="I81" i="20"/>
  <c r="G81" i="20" s="1"/>
  <c r="H81" i="20"/>
  <c r="J81" i="20"/>
  <c r="D57" i="4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X19" i="9"/>
  <c r="K19" i="9"/>
  <c r="J19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4" i="20"/>
  <c r="F84" i="20" s="1"/>
  <c r="E89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E85" i="20"/>
  <c r="D90" i="21" s="1"/>
  <c r="C9" i="17" s="1"/>
  <c r="F78" i="20"/>
  <c r="E82" i="21" s="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2" i="20"/>
  <c r="E87" i="21" s="1"/>
  <c r="F12" i="20"/>
  <c r="E14" i="21" s="1"/>
  <c r="E13" i="2" s="1"/>
  <c r="F16" i="20"/>
  <c r="E18" i="21" s="1"/>
  <c r="E20" i="2" s="1"/>
  <c r="F18" i="20"/>
  <c r="E20" i="21" s="1"/>
  <c r="E12" i="2" s="1"/>
  <c r="E8" i="7"/>
  <c r="E5" i="20"/>
  <c r="D7" i="21" s="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1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1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2" i="20"/>
  <c r="D87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6" i="20"/>
  <c r="F86" i="20" s="1"/>
  <c r="E91" i="21" s="1"/>
  <c r="E86" i="20"/>
  <c r="D91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3" i="20"/>
  <c r="F83" i="20" s="1"/>
  <c r="E88" i="21" s="1"/>
  <c r="G85" i="20"/>
  <c r="F85" i="20" s="1"/>
  <c r="E90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H43" i="7"/>
  <c r="G44" i="7"/>
  <c r="G45" i="7" s="1"/>
  <c r="H59" i="7"/>
  <c r="H60" i="7" s="1"/>
  <c r="I58" i="7"/>
  <c r="K62" i="7"/>
  <c r="G59" i="7"/>
  <c r="G60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H44" i="7"/>
  <c r="H45" i="7" s="1"/>
  <c r="I43" i="7"/>
  <c r="G61" i="7"/>
  <c r="L62" i="7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I61" i="7" l="1"/>
  <c r="I49" i="7"/>
  <c r="I50" i="7" s="1"/>
  <c r="J48" i="7"/>
  <c r="H50" i="7"/>
  <c r="M13" i="2"/>
  <c r="M16" i="2"/>
  <c r="M17" i="2"/>
  <c r="M18" i="2"/>
  <c r="M15" i="2"/>
  <c r="M14" i="2"/>
  <c r="J59" i="7"/>
  <c r="J60" i="7" s="1"/>
  <c r="K58" i="7"/>
  <c r="L52" i="7"/>
  <c r="M62" i="7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J49" i="7"/>
  <c r="J50" i="7" s="1"/>
  <c r="K48" i="7"/>
  <c r="K43" i="7"/>
  <c r="J44" i="7"/>
  <c r="J45" i="7" s="1"/>
  <c r="M52" i="7"/>
  <c r="L58" i="7"/>
  <c r="K59" i="7"/>
  <c r="K60" i="7" s="1"/>
  <c r="K49" i="7" l="1"/>
  <c r="K50" i="7" s="1"/>
  <c r="L48" i="7"/>
  <c r="K61" i="7"/>
  <c r="M58" i="7"/>
  <c r="L59" i="7"/>
  <c r="L60" i="7" s="1"/>
  <c r="K44" i="7"/>
  <c r="K45" i="7" s="1"/>
  <c r="L43" i="7"/>
  <c r="L61" i="7" l="1"/>
  <c r="L49" i="7"/>
  <c r="L50" i="7" s="1"/>
  <c r="M48" i="7"/>
  <c r="M59" i="7"/>
  <c r="M60" i="7" s="1"/>
  <c r="M43" i="7"/>
  <c r="M44" i="7" s="1"/>
  <c r="M45" i="7" s="1"/>
  <c r="L44" i="7"/>
  <c r="L45" i="7" s="1"/>
  <c r="M49" i="7" l="1"/>
  <c r="M50" i="7" s="1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B0F85010-F9B2-47CB-9375-04326ED8B0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4" authorId="0" shapeId="0" xr:uid="{52EEC1BB-A777-480F-8EA4-1E3AD2AFBED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" authorId="0" shapeId="0" xr:uid="{B8EF7B5F-2F8F-47CA-ADBA-F9EDC376D86D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4" authorId="0" shapeId="0" xr:uid="{9B6DA35A-DE29-4C4B-A21C-820644749B9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tc={A395ADEB-EAA4-47F1-BF06-F5E93216F45B}</author>
  </authors>
  <commentList>
    <comment ref="G54" authorId="0" shapeId="0" xr:uid="{A395ADEB-EAA4-47F1-BF06-F5E93216F45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Share of wood bio resources in CONCAWE report (medium scenario)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<sst xmlns="http://schemas.openxmlformats.org/spreadsheetml/2006/main" count="1489" uniqueCount="665">
  <si>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</si>
  <si>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</si>
  <si>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</si>
  <si>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</si>
  <si>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</si>
  <si>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</si>
  <si>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</si>
  <si>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</si>
  <si>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</si>
  <si>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</si>
  <si>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</si>
  <si>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</si>
  <si>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</si>
  <si>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</si>
  <si>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</si>
  <si>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</si>
  <si>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</si>
  <si>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</si>
  <si>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</si>
  <si>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</si>
  <si>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</si>
  <si>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</si>
  <si>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</si>
  <si>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</si>
  <si>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</si>
  <si>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</si>
  <si>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</si>
  <si>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</si>
  <si>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</si>
  <si>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</si>
  <si>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</si>
  <si>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</si>
  <si>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</si>
  <si>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</si>
  <si>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</si>
  <si>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</si>
  <si>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</si>
  <si>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</si>
  <si>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</si>
  <si>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</si>
  <si>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</si>
  <si>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</si>
  <si>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</si>
  <si>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</si>
  <si>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</si>
  <si>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</si>
  <si>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</si>
  <si>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</si>
  <si>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</si>
  <si>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</si>
  <si>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</si>
  <si>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</si>
  <si>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</si>
  <si>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</si>
  <si>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</si>
  <si>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</si>
  <si>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</si>
  <si>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</si>
  <si>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</si>
  <si>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</si>
  <si>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</si>
  <si>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</si>
  <si>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</si>
  <si>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</si>
  <si>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</si>
  <si>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</si>
  <si>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</si>
  <si>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</si>
  <si>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</si>
  <si>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</si>
  <si>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</si>
  <si>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</si>
  <si>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</si>
  <si>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</si>
  <si>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</si>
  <si>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</si>
  <si>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</si>
  <si>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</si>
  <si>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</si>
  <si>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</si>
  <si>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</si>
  <si>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</si>
  <si>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</si>
  <si>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</si>
  <si>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</si>
  <si>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</si>
  <si>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</si>
  <si>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</si>
  <si>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</si>
  <si>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</si>
  <si>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</si>
  <si>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</si>
  <si>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</si>
  <si>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</si>
  <si>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</si>
  <si>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</si>
  <si>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</si>
  <si>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</si>
  <si>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</si>
  <si>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</si>
  <si>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</si>
  <si>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</si>
  <si>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</si>
  <si>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</si>
  <si>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</si>
  <si>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</si>
  <si>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</si>
  <si>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</si>
  <si>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</si>
  <si>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</si>
  <si>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</si>
  <si>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</si>
  <si>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</si>
  <si>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</si>
  <si>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</si>
  <si>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</si>
  <si>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</si>
  <si>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</si>
  <si>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</si>
  <si>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</si>
  <si>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</si>
  <si>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</si>
  <si>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</si>
  <si>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</si>
  <si>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</si>
  <si>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</si>
  <si>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</si>
  <si>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</si>
  <si>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</si>
  <si>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</si>
  <si>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</si>
  <si>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</si>
  <si>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</si>
  <si>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</si>
  <si>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</si>
  <si>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</si>
  <si>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</si>
  <si>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</si>
  <si>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</si>
  <si>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</si>
  <si>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</si>
  <si>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</si>
  <si>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</si>
  <si>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</si>
  <si>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</si>
  <si>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</si>
  <si>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</si>
  <si>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</si>
  <si>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</si>
  <si>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</si>
  <si>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</si>
  <si>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</si>
  <si>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</si>
  <si>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</si>
  <si>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</si>
  <si>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</si>
  <si>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</si>
  <si>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</si>
  <si>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</si>
  <si>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</si>
  <si>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</si>
  <si>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</si>
  <si>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</si>
  <si>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</si>
  <si>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</si>
  <si>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</si>
  <si>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</si>
  <si>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</si>
  <si>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</si>
  <si>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</si>
  <si>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</si>
  <si>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</si>
  <si>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</si>
  <si>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</si>
  <si>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</si>
  <si>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</si>
  <si>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</si>
  <si>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</si>
  <si>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</si>
  <si>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</si>
  <si>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</si>
  <si>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</si>
  <si>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</si>
  <si>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</si>
  <si>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</si>
  <si>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</si>
  <si>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</si>
  <si>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</si>
  <si>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</si>
  <si>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</si>
  <si>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</si>
  <si>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</si>
  <si>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</si>
  <si>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</si>
  <si>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</si>
  <si>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</si>
  <si>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</si>
  <si>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</si>
  <si>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</si>
  <si>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</si>
  <si>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</si>
  <si>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</si>
  <si>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</si>
  <si>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</si>
  <si>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</si>
  <si>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</si>
  <si>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</si>
  <si>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</si>
  <si>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</si>
  <si>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</si>
  <si>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</si>
  <si>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</si>
  <si>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</si>
  <si>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</si>
  <si>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</si>
  <si>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</si>
  <si>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</si>
  <si>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</si>
  <si>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</si>
  <si>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</si>
  <si>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</si>
  <si>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</si>
  <si>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</si>
  <si>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</si>
  <si>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</si>
  <si>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</si>
  <si>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</si>
  <si>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</si>
  <si>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</si>
  <si>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</si>
  <si>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</si>
  <si>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</si>
  <si>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</si>
  <si>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</si>
  <si>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</si>
  <si>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</si>
  <si>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</si>
  <si>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</si>
  <si>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</si>
  <si>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</si>
  <si>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</si>
  <si>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</si>
  <si>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</si>
  <si>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</si>
  <si>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</si>
  <si>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</si>
  <si>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</si>
  <si>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</si>
  <si>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</si>
  <si>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</si>
  <si>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</si>
  <si>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</si>
  <si>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</si>
  <si>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</si>
  <si>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</si>
  <si>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</si>
  <si>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</si>
  <si>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</si>
  <si>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</si>
  <si>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</si>
  <si>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</si>
  <si>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</si>
  <si>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</si>
  <si>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</si>
  <si>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</si>
  <si>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</si>
  <si>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</si>
  <si>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</si>
  <si>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</si>
  <si>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</si>
  <si>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</si>
  <si>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</si>
  <si>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</si>
  <si>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</si>
  <si>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</si>
  <si>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</si>
  <si>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</si>
  <si>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</si>
  <si>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</si>
  <si>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</si>
  <si>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</si>
  <si>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</si>
  <si>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</si>
  <si>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</si>
  <si>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</si>
  <si>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</si>
  <si>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</si>
  <si>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</si>
  <si>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</si>
  <si>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</si>
  <si>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</si>
  <si>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</si>
  <si>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</si>
  <si>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</si>
  <si>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</si>
  <si>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</si>
  <si>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</si>
  <si>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</si>
  <si>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</si>
  <si>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</si>
  <si>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</si>
  <si>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</si>
  <si>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</si>
  <si>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</si>
  <si>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</si>
  <si>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</si>
  <si>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</si>
  <si>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</si>
  <si>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</si>
  <si>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</si>
  <si>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</si>
  <si>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</si>
  <si>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</si>
  <si>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</si>
  <si>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</si>
  <si>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</si>
  <si>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</si>
  <si>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</si>
  <si>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</si>
  <si>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</si>
  <si>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</si>
  <si>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</si>
  <si>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</si>
  <si>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</si>
  <si>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</si>
  <si>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</si>
  <si>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</si>
  <si>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</si>
  <si>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</si>
  <si>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</si>
  <si>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</si>
  <si>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</si>
  <si>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</si>
  <si>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</si>
  <si>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</si>
  <si>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</si>
  <si>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</si>
  <si>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</si>
  <si>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</si>
  <si>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</si>
  <si>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</si>
  <si>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</si>
  <si>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</si>
  <si>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</si>
  <si>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</si>
  <si>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</si>
  <si>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</si>
  <si>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</si>
  <si>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</si>
  <si>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</si>
  <si>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</si>
  <si>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</si>
  <si>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</si>
  <si>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</si>
  <si>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</si>
  <si>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</si>
  <si>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</si>
  <si>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</si>
  <si>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</si>
  <si>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</si>
  <si>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</si>
  <si>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</si>
  <si>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</si>
  <si>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</si>
  <si>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</si>
  <si>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</si>
  <si>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</si>
  <si>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</si>
  <si>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</si>
  <si>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</si>
  <si>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</si>
  <si>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</si>
  <si>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</si>
  <si>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</si>
  <si>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</si>
  <si>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</si>
  <si>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</si>
  <si>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</si>
  <si>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</si>
  <si>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</si>
  <si>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</si>
  <si>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</si>
  <si>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</si>
  <si>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</si>
  <si>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</si>
  <si>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</si>
  <si>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</si>
  <si>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</si>
  <si>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</si>
  <si>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</si>
  <si>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</si>
  <si>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</si>
  <si>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</si>
  <si>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</si>
  <si>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</si>
  <si>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</si>
  <si>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</si>
  <si>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</si>
  <si>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</si>
  <si>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</si>
  <si>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</si>
  <si>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</si>
  <si>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</si>
  <si>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</si>
  <si>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</si>
  <si>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</si>
  <si>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</si>
  <si>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</si>
  <si>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</si>
  <si>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</si>
  <si>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</si>
  <si>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</si>
  <si>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</si>
  <si>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</si>
  <si>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</si>
  <si>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</si>
  <si>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</si>
  <si>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</si>
  <si>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</si>
  <si>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</si>
  <si>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</si>
  <si>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</si>
  <si>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</si>
  <si>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</si>
  <si>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</si>
  <si>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</si>
  <si>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</si>
  <si>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</si>
  <si>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</si>
  <si>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</si>
  <si>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</si>
  <si>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</si>
  <si>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</si>
  <si>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</si>
  <si>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</si>
  <si>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</si>
  <si>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</si>
  <si>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</si>
  <si>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</si>
  <si>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</si>
  <si>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</si>
  <si>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</si>
  <si>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</si>
  <si>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</si>
  <si>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</si>
  <si>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</si>
  <si>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</si>
  <si>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</si>
  <si>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</si>
  <si>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</si>
  <si>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</si>
  <si>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</si>
  <si>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</si>
  <si>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</si>
  <si>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</si>
  <si>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</si>
  <si>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</si>
  <si>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</si>
  <si>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</si>
  <si>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</si>
  <si>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</si>
  <si>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</si>
  <si>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</si>
  <si>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</si>
  <si>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</si>
  <si>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</si>
  <si>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</si>
  <si>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</si>
  <si>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</si>
  <si>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</si>
  <si>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</si>
  <si>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</si>
  <si>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</si>
  <si>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</si>
  <si>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</si>
  <si>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</si>
  <si>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</si>
  <si>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</si>
  <si>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</si>
  <si>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</si>
  <si>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</si>
  <si>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</si>
  <si>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</si>
  <si>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</si>
  <si>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</si>
  <si>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</si>
  <si>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</si>
  <si>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</si>
  <si>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</si>
  <si>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</si>
  <si>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</si>
  <si>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</si>
  <si>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</si>
  <si>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</si>
  <si>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</si>
  <si>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</si>
  <si>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</si>
  <si>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</si>
  <si>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</si>
  <si>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</si>
  <si>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</si>
  <si>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</si>
  <si>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</si>
  <si>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</si>
  <si>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</si>
  <si>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</si>
  <si>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</si>
  <si>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</si>
  <si>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</si>
  <si>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</si>
  <si>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</si>
  <si>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</si>
  <si>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</si>
  <si>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</si>
  <si>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</si>
  <si>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</si>
  <si>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</si>
  <si>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</si>
  <si>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</si>
  <si>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</si>
  <si>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</si>
  <si>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</si>
  <si>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</si>
  <si>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</si>
  <si>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</si>
  <si>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</si>
  <si>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</si>
  <si>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</si>
  <si>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</si>
  <si>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</si>
  <si>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</si>
  <si>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</si>
  <si>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</si>
  <si>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</si>
  <si>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</si>
  <si>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</si>
  <si>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</si>
  <si>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</si>
  <si>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</si>
  <si>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</si>
  <si>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</si>
  <si>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</si>
  <si>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</si>
  <si>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</si>
  <si>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</si>
  <si>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</si>
  <si>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</si>
  <si>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</si>
  <si>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</si>
  <si>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</si>
  <si>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</si>
  <si>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</si>
  <si>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</si>
  <si>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</si>
  <si>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</si>
  <si>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</si>
  <si>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</si>
  <si>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</si>
  <si>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</si>
  <si>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</si>
  <si>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</si>
  <si>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</si>
  <si>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</si>
  <si>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</si>
  <si>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</si>
  <si>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</si>
  <si>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</si>
  <si>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</si>
  <si>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</si>
  <si>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</si>
  <si>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</si>
  <si>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</si>
  <si>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</si>
  <si>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</si>
  <si>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</si>
  <si>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</si>
  <si>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</si>
  <si>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</si>
  <si>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</si>
  <si>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</si>
  <si>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</si>
  <si>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</si>
  <si>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</si>
  <si>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</si>
  <si>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</si>
  <si>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</si>
  <si>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</si>
  <si>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</si>
  <si>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</si>
  <si>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</si>
  <si>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</si>
  <si>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</si>
  <si>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</si>
  <si>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</si>
  <si>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</si>
  <si>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</si>
  <si>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</si>
  <si>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</si>
  <si>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</si>
  <si>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</si>
  <si>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</si>
  <si>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</si>
  <si>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</si>
  <si>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</si>
  <si>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</si>
  <si>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</si>
  <si>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</si>
  <si>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</si>
  <si>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</si>
  <si>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</si>
  <si>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</si>
  <si>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</si>
  <si>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</si>
  <si>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</si>
  <si>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</si>
  <si>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</si>
  <si>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</si>
  <si>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</si>
  <si>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</si>
  <si>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</si>
  <si>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</si>
  <si>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</si>
  <si>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</si>
  <si>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</si>
  <si>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</si>
  <si>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</si>
  <si>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</si>
  <si>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</si>
  <si>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</si>
  <si>
    <t>Pja</t>
  </si>
  <si>
    <t>MINCO2-CAL</t>
  </si>
  <si>
    <t>COST~2018</t>
  </si>
  <si>
    <t>AGRCO2N</t>
  </si>
  <si>
    <t>INDCO2N</t>
  </si>
  <si>
    <t>INDCO2P</t>
  </si>
  <si>
    <t>PWRCO2N</t>
  </si>
  <si>
    <t>RSDCO2</t>
  </si>
  <si>
    <t>SRVCO2N</t>
  </si>
  <si>
    <t>TRACO2N</t>
  </si>
  <si>
    <t>Import of Wood Pellets  - Step 1</t>
  </si>
  <si>
    <t>Import of Wood Pellets  - Step 2</t>
  </si>
  <si>
    <t>Import of Wood Pellets  - Step 3</t>
  </si>
  <si>
    <t>Import of Wood Pellets  - Step 4</t>
  </si>
  <si>
    <t>Cost (€/MWh)</t>
  </si>
  <si>
    <t>Cost (€/GJ)</t>
  </si>
  <si>
    <t>Potential quantities of wood pellets available for import to Ireland (PJ)</t>
  </si>
  <si>
    <t>Totoal (PJ)</t>
  </si>
  <si>
    <t>From SEAI Heat Study</t>
  </si>
  <si>
    <t>Reference</t>
  </si>
  <si>
    <t>SEAI, 2022. Sustainable bioenergy for heat, National Heat study, Spatial Assessment of Resources and Evaluation of Costs and GHG Emissions</t>
  </si>
  <si>
    <t>SEAI Heat Study</t>
  </si>
  <si>
    <t>Domestic CO2 calibration</t>
  </si>
  <si>
    <t>~COMAGG_R1C2</t>
  </si>
  <si>
    <t>TOTCO2</t>
  </si>
  <si>
    <t>TOTCO2INT</t>
  </si>
  <si>
    <t>TRACO2INT</t>
  </si>
  <si>
    <t>\I: Emissions commodities aggregator</t>
  </si>
  <si>
    <t>Total CO2 Emmissions</t>
  </si>
  <si>
    <t>LO</t>
  </si>
  <si>
    <t>Total CO2 Emmissions including international</t>
  </si>
  <si>
    <t>Vahid Aryanpur (UCC,vahid.aryanpur@ucc.ie)</t>
  </si>
  <si>
    <t>Bakytzhan Suleimenov (UCC, bsuleimenov@ucc.ie)</t>
  </si>
  <si>
    <t>SUPCO2N</t>
  </si>
  <si>
    <t>BIOMUN</t>
  </si>
  <si>
    <t>ACT_BND~2023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</si>
</sst>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name val="Arial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  <xf numFmtId="0" fontId="53" fillId="0" borderId="0"/>
    <xf numFmtId="0" fontId="62" fillId="0" borderId="0"/>
    <xf numFmtId="0" fontId="63" fillId="0" borderId="0"/>
    <xf numFmtId="9" fontId="53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4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5" fillId="0" borderId="0" xfId="0" applyFont="1"/>
    <xf numFmtId="167" fontId="5" fillId="0" borderId="0" xfId="0" applyNumberFormat="1" applyFont="1" applyAlignment="1">
      <alignment horizontal="center" vertical="center"/>
    </xf>
    <xf numFmtId="164" fontId="64" fillId="0" borderId="16" xfId="0" applyNumberFormat="1" applyFont="1" applyBorder="1" applyAlignment="1">
      <alignment horizontal="left" vertical="center"/>
    </xf>
    <xf numFmtId="1" fontId="64" fillId="0" borderId="16" xfId="0" applyNumberFormat="1" applyFont="1" applyBorder="1" applyAlignment="1">
      <alignment horizontal="center" vertical="center"/>
    </xf>
    <xf numFmtId="0" fontId="64" fillId="0" borderId="5" xfId="0" applyFont="1" applyBorder="1" applyAlignment="1">
      <alignment vertical="center"/>
    </xf>
    <xf numFmtId="164" fontId="64" fillId="7" borderId="16" xfId="0" applyNumberFormat="1" applyFont="1" applyFill="1" applyBorder="1" applyAlignment="1">
      <alignment horizontal="center" vertical="center"/>
    </xf>
    <xf numFmtId="164" fontId="64" fillId="0" borderId="0" xfId="0" applyNumberFormat="1" applyFont="1" applyAlignment="1">
      <alignment horizontal="center" vertical="center"/>
    </xf>
    <xf numFmtId="165" fontId="64" fillId="0" borderId="16" xfId="0" applyNumberFormat="1" applyFont="1" applyBorder="1" applyAlignment="1">
      <alignment vertical="center"/>
    </xf>
    <xf numFmtId="164" fontId="64" fillId="0" borderId="5" xfId="0" applyNumberFormat="1" applyFont="1" applyBorder="1" applyAlignment="1">
      <alignment horizontal="center" vertical="center"/>
    </xf>
    <xf numFmtId="0" fontId="64" fillId="0" borderId="0" xfId="0" applyFont="1" applyAlignment="1">
      <alignment vertical="center"/>
    </xf>
    <xf numFmtId="165" fontId="64" fillId="0" borderId="0" xfId="0" applyNumberFormat="1" applyFont="1" applyAlignment="1">
      <alignment vertical="center"/>
    </xf>
    <xf numFmtId="164" fontId="64" fillId="7" borderId="0" xfId="0" applyNumberFormat="1" applyFont="1" applyFill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164" fontId="64" fillId="0" borderId="0" xfId="0" applyNumberFormat="1" applyFont="1" applyAlignment="1">
      <alignment horizontal="left" vertical="center"/>
    </xf>
    <xf numFmtId="165" fontId="64" fillId="0" borderId="5" xfId="0" applyNumberFormat="1" applyFont="1" applyBorder="1" applyAlignment="1">
      <alignment vertical="center"/>
    </xf>
    <xf numFmtId="164" fontId="64" fillId="7" borderId="5" xfId="0" applyNumberFormat="1" applyFont="1" applyFill="1" applyBorder="1" applyAlignment="1">
      <alignment horizontal="center" vertical="center"/>
    </xf>
    <xf numFmtId="1" fontId="64" fillId="0" borderId="5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6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164" fontId="23" fillId="0" borderId="5" xfId="0" applyNumberFormat="1" applyFont="1" applyBorder="1" applyAlignment="1">
      <alignment horizontal="center" vertical="center"/>
    </xf>
    <xf numFmtId="164" fontId="64" fillId="11" borderId="0" xfId="0" applyNumberFormat="1" applyFont="1" applyFill="1" applyAlignment="1">
      <alignment horizontal="center" vertical="center"/>
    </xf>
    <xf numFmtId="164" fontId="64" fillId="11" borderId="5" xfId="0" applyNumberFormat="1" applyFont="1" applyFill="1" applyBorder="1" applyAlignment="1">
      <alignment horizontal="center" vertical="center"/>
    </xf>
    <xf numFmtId="164" fontId="64" fillId="29" borderId="0" xfId="0" applyNumberFormat="1" applyFont="1" applyFill="1" applyAlignment="1">
      <alignment horizontal="center" vertical="center"/>
    </xf>
    <xf numFmtId="0" fontId="47" fillId="20" borderId="0" xfId="0" applyFont="1" applyFill="1" applyAlignment="1">
      <alignment horizontal="left"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0">
    <cellStyle name="Accent1" xfId="1" builtinId="29"/>
    <cellStyle name="Calculation" xfId="4" builtinId="22"/>
    <cellStyle name="Comma 2" xfId="15" xr:uid="{8EAB90B5-DA25-4C48-A66A-D14A2BCBB95E}"/>
    <cellStyle name="Comma 2 2" xfId="16" xr:uid="{C3D1F38D-4B80-4E61-B983-0467EBCD118F}"/>
    <cellStyle name="Comma 2 2 2" xfId="19" xr:uid="{CB3C5580-3555-450A-87C5-BE87F31B8FA2}"/>
    <cellStyle name="Comma 2 3" xfId="18" xr:uid="{909C6C48-0409-438D-A962-F9567CBAA46B}"/>
    <cellStyle name="Comma 3" xfId="17" xr:uid="{22B30534-93D4-457E-AC12-0447548E19A1}"/>
    <cellStyle name="Good" xfId="3" builtinId="26"/>
    <cellStyle name="Hyperlink" xfId="5" builtinId="8"/>
    <cellStyle name="Normal" xfId="0" builtinId="0"/>
    <cellStyle name="Normal 10" xfId="8" xr:uid="{4C671E58-F0B1-48D4-BD8A-E4C5F735094E}"/>
    <cellStyle name="Normal 2" xfId="6" xr:uid="{3D1F24A5-7B62-4933-90AC-B7DE3913179A}"/>
    <cellStyle name="Normal 3" xfId="10" xr:uid="{3A5DCF80-BC8D-49C1-B4F6-BDDD1028664B}"/>
    <cellStyle name="Normal 5" xfId="12" xr:uid="{74CEF3ED-0D60-47C8-B1B4-1A49024E2AD9}"/>
    <cellStyle name="Normal 5 2 2" xfId="13" xr:uid="{3ACC3B69-92B6-474A-BC03-8602E10CB9DB}"/>
    <cellStyle name="Normal_2000balx" xfId="7" xr:uid="{EFD0CB67-65B2-4C54-B075-572C00869A7E}"/>
    <cellStyle name="Normale_Scen_UC_IND-StrucConst" xfId="9" xr:uid="{F7F83E46-EBD5-4CAB-9F34-C6097ED8BD9F}"/>
    <cellStyle name="Percent" xfId="2" builtinId="5"/>
    <cellStyle name="Percent 2" xfId="11" xr:uid="{A71DCDAC-074E-4012-92BF-C1020F72F4B1}"/>
    <cellStyle name="Percent 3" xfId="14" xr:uid="{FB47DF39-E1AE-4A7C-976B-577886D4D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11150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315686</xdr:colOff>
      <xdr:row>41</xdr:row>
      <xdr:rowOff>7675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7675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106100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272141</xdr:colOff>
      <xdr:row>73</xdr:row>
      <xdr:rowOff>108855</xdr:rowOff>
    </xdr:from>
    <xdr:to>
      <xdr:col>10</xdr:col>
      <xdr:colOff>27213</xdr:colOff>
      <xdr:row>98</xdr:row>
      <xdr:rowOff>149871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55" y="14804569"/>
          <a:ext cx="4397829" cy="4667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  <person displayName="Bakytzhan Suleimenov" id="{8DC344A8-B605-4425-B9AE-CA9E273BB438}" userId="S::BSuleimenov@ucc.ie::f6970575-8acf-461c-bc66-0e999b6a9f6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4" dT="2024-08-19T12:19:07.80" personId="{8DC344A8-B605-4425-B9AE-CA9E273BB438}" id="{A395ADEB-EAA4-47F1-BF06-F5E93216F45B}">
    <text>Share of wood bio resources in CONCAWE report (medium scenario)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B27" sqref="B27:D2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28515625" customWidth="1"/>
    <col min="15" max="15" width="13.28515625" customWidth="1"/>
  </cols>
  <sheetData>
    <row r="1" spans="1:26">
      <c r="A1" s="276"/>
      <c r="B1" s="276"/>
      <c r="C1" s="276"/>
      <c r="D1" s="276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</row>
    <row r="2" spans="1:26">
      <c r="A2" s="276"/>
      <c r="B2" s="276"/>
      <c r="C2" s="276"/>
      <c r="D2" s="276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</row>
    <row r="3" spans="1:26">
      <c r="A3" s="276"/>
      <c r="B3" s="276"/>
      <c r="C3" s="276"/>
      <c r="D3" s="276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</row>
    <row r="4" spans="1:26">
      <c r="A4" s="276"/>
      <c r="B4" s="276"/>
      <c r="C4" s="276"/>
      <c r="D4" s="276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</row>
    <row r="5" spans="1:26">
      <c r="A5" s="276"/>
      <c r="B5" s="276"/>
      <c r="C5" s="276"/>
      <c r="D5" s="276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</row>
    <row r="6" spans="1:26">
      <c r="A6" s="276"/>
      <c r="B6" s="276"/>
      <c r="C6" s="276"/>
      <c r="D6" s="276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</row>
    <row r="7" spans="1:26">
      <c r="A7" s="276"/>
      <c r="B7" s="276"/>
      <c r="C7" s="276"/>
      <c r="D7" s="276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</row>
    <row r="8" spans="1:26">
      <c r="A8" s="276"/>
      <c r="B8" s="276"/>
      <c r="C8" s="276"/>
      <c r="D8" s="276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</row>
    <row r="9" spans="1:26">
      <c r="A9" s="276"/>
      <c r="B9" s="276"/>
      <c r="C9" s="276"/>
      <c r="D9" s="276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</row>
    <row r="10" spans="1:26">
      <c r="A10" s="276"/>
      <c r="B10" s="276"/>
      <c r="C10" s="276"/>
      <c r="D10" s="276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</row>
    <row r="11" spans="1:26">
      <c r="A11" s="276"/>
      <c r="B11" s="276"/>
      <c r="C11" s="276"/>
      <c r="D11" s="276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</row>
    <row r="12" spans="1:26">
      <c r="A12" s="276"/>
      <c r="B12" s="276"/>
      <c r="C12" s="276"/>
      <c r="D12" s="276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</row>
    <row r="13" spans="1:26">
      <c r="A13" s="276"/>
      <c r="B13" s="276"/>
      <c r="C13" s="276"/>
      <c r="D13" s="276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</row>
    <row r="14" spans="1:26">
      <c r="A14" s="276"/>
      <c r="B14" s="276"/>
      <c r="C14" s="276"/>
      <c r="D14" s="276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</row>
    <row r="15" spans="1:26">
      <c r="A15" s="276"/>
      <c r="B15" s="276"/>
      <c r="C15" s="276"/>
      <c r="D15" s="276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</row>
    <row r="16" spans="1:26" ht="102.75" customHeight="1">
      <c r="A16" s="468" t="s">
        <v>579</v>
      </c>
      <c r="B16" s="468"/>
      <c r="C16" s="468"/>
      <c r="D16" s="468"/>
      <c r="E16" s="278"/>
      <c r="F16" s="278"/>
      <c r="G16" s="279"/>
      <c r="H16" s="279"/>
      <c r="I16" s="279"/>
      <c r="J16" s="279"/>
      <c r="K16" s="279"/>
      <c r="L16" s="279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</row>
    <row r="17" spans="1:26" ht="17.25" customHeight="1">
      <c r="A17" s="280"/>
      <c r="B17" s="280"/>
      <c r="C17" s="280"/>
      <c r="D17" s="280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</row>
    <row r="18" spans="1:26" ht="17.25" customHeight="1">
      <c r="A18" s="280"/>
      <c r="B18" s="280"/>
      <c r="C18" s="280"/>
      <c r="D18" s="280"/>
      <c r="E18" s="281"/>
      <c r="F18" s="281"/>
      <c r="G18" s="282"/>
      <c r="H18" s="282"/>
      <c r="I18" s="282"/>
      <c r="J18" s="282"/>
      <c r="K18" s="282"/>
      <c r="L18" s="282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</row>
    <row r="19" spans="1:26" ht="17.25" customHeight="1">
      <c r="A19" s="283" t="s">
        <v>580</v>
      </c>
      <c r="B19" s="467" t="s">
        <v>595</v>
      </c>
      <c r="C19" s="467"/>
      <c r="D19" s="467"/>
      <c r="E19" s="284"/>
      <c r="F19" s="284"/>
      <c r="G19" s="285"/>
      <c r="H19" s="285"/>
      <c r="I19" s="285"/>
      <c r="J19" s="285"/>
      <c r="K19" s="285"/>
      <c r="L19" s="285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</row>
    <row r="20" spans="1:26" ht="17.25" customHeight="1">
      <c r="A20" s="283" t="s">
        <v>581</v>
      </c>
      <c r="B20" s="467" t="s">
        <v>594</v>
      </c>
      <c r="C20" s="467"/>
      <c r="D20" s="467"/>
      <c r="E20" s="284"/>
      <c r="F20" s="284"/>
      <c r="G20" s="285"/>
      <c r="H20" s="285"/>
      <c r="I20" s="285"/>
      <c r="J20" s="285"/>
      <c r="K20" s="285"/>
      <c r="L20" s="285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</row>
    <row r="21" spans="1:26" ht="17.25" customHeight="1">
      <c r="A21" s="283" t="s">
        <v>582</v>
      </c>
      <c r="B21" s="286" t="s">
        <v>596</v>
      </c>
      <c r="C21" s="286"/>
      <c r="D21" s="286"/>
      <c r="E21" s="284"/>
      <c r="F21" s="284"/>
      <c r="G21" s="285"/>
      <c r="H21" s="285"/>
      <c r="I21" s="285"/>
      <c r="J21" s="285"/>
      <c r="K21" s="285"/>
      <c r="L21" s="285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</row>
    <row r="22" spans="1:26" ht="17.25" customHeight="1">
      <c r="A22" s="283"/>
      <c r="B22" s="286"/>
      <c r="C22" s="286"/>
      <c r="D22" s="286"/>
      <c r="E22" s="284"/>
      <c r="F22" s="284"/>
      <c r="G22" s="285"/>
      <c r="H22" s="285"/>
      <c r="I22" s="285"/>
      <c r="J22" s="285"/>
      <c r="K22" s="285"/>
      <c r="L22" s="285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</row>
    <row r="23" spans="1:26" ht="17.25" customHeight="1">
      <c r="A23" s="283" t="s">
        <v>583</v>
      </c>
      <c r="B23" s="467" t="s">
        <v>592</v>
      </c>
      <c r="C23" s="467"/>
      <c r="D23" s="467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</row>
    <row r="24" spans="1:26" ht="17.25" customHeight="1">
      <c r="A24" s="283"/>
      <c r="B24" s="286" t="s">
        <v>593</v>
      </c>
      <c r="C24" s="286"/>
      <c r="D24" s="286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</row>
    <row r="25" spans="1:26" ht="17.25" customHeight="1">
      <c r="A25" s="283"/>
      <c r="B25" s="286" t="s">
        <v>591</v>
      </c>
      <c r="C25" s="286"/>
      <c r="D25" s="286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</row>
    <row r="26" spans="1:26" ht="17.25" customHeight="1">
      <c r="A26" s="283" t="s">
        <v>584</v>
      </c>
      <c r="B26" s="467" t="s">
        <v>660</v>
      </c>
      <c r="C26" s="467"/>
      <c r="D26" s="467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</row>
    <row r="27" spans="1:26" ht="17.25" customHeight="1">
      <c r="A27" s="283"/>
      <c r="B27" s="467" t="s">
        <v>661</v>
      </c>
      <c r="C27" s="467"/>
      <c r="D27" s="467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</row>
    <row r="28" spans="1:26" ht="17.25" customHeight="1">
      <c r="A28" s="283"/>
      <c r="B28" s="286"/>
      <c r="C28" s="286"/>
      <c r="D28" s="286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</row>
    <row r="29" spans="1:26" ht="17.25" customHeight="1">
      <c r="A29" s="283" t="s">
        <v>585</v>
      </c>
      <c r="B29" s="287">
        <v>1</v>
      </c>
      <c r="C29" s="286"/>
      <c r="D29" s="286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</row>
    <row r="30" spans="1:26" ht="17.25" customHeight="1">
      <c r="A30" s="283" t="s">
        <v>586</v>
      </c>
      <c r="B30" s="469" t="s">
        <v>587</v>
      </c>
      <c r="C30" s="467"/>
      <c r="D30" s="467"/>
      <c r="E30" s="288"/>
      <c r="F30" s="288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</row>
    <row r="31" spans="1:26" ht="17.25" customHeight="1">
      <c r="A31" s="283" t="s">
        <v>588</v>
      </c>
      <c r="B31" s="467" t="s">
        <v>589</v>
      </c>
      <c r="C31" s="467"/>
      <c r="D31" s="467"/>
      <c r="E31" s="288"/>
      <c r="F31" s="288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</row>
    <row r="32" spans="1:26" ht="17.25" customHeight="1">
      <c r="A32" s="289"/>
      <c r="B32" s="290" t="s">
        <v>590</v>
      </c>
      <c r="C32" s="289"/>
      <c r="D32" s="289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</row>
    <row r="33" spans="1:26">
      <c r="A33" s="276"/>
      <c r="B33" s="276"/>
      <c r="C33" s="276"/>
      <c r="D33" s="276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</row>
    <row r="34" spans="1:26">
      <c r="A34" s="276"/>
      <c r="B34" s="276"/>
      <c r="C34" s="276"/>
      <c r="D34" s="276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</row>
    <row r="35" spans="1:26">
      <c r="A35" s="276"/>
      <c r="B35" s="276"/>
      <c r="C35" s="276"/>
      <c r="D35" s="276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</row>
    <row r="36" spans="1:26">
      <c r="A36" s="276"/>
      <c r="B36" s="276"/>
      <c r="C36" s="276"/>
      <c r="D36" s="276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</row>
    <row r="37" spans="1:26">
      <c r="A37" s="276"/>
      <c r="B37" s="276"/>
      <c r="C37" s="276"/>
      <c r="D37" s="276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</row>
    <row r="38" spans="1:26">
      <c r="A38" s="276"/>
      <c r="B38" s="276"/>
      <c r="C38" s="276"/>
      <c r="D38" s="276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</row>
    <row r="39" spans="1:26">
      <c r="A39" s="276"/>
      <c r="B39" s="276"/>
      <c r="C39" s="276"/>
      <c r="D39" s="276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</row>
    <row r="40" spans="1:26">
      <c r="A40" s="276"/>
      <c r="B40" s="276"/>
      <c r="C40" s="276"/>
      <c r="D40" s="276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</row>
    <row r="41" spans="1:26">
      <c r="A41" s="276"/>
      <c r="B41" s="276"/>
      <c r="C41" s="276"/>
      <c r="D41" s="276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</row>
    <row r="42" spans="1:26">
      <c r="A42" s="276"/>
      <c r="B42" s="276"/>
      <c r="C42" s="276"/>
      <c r="D42" s="276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</row>
    <row r="43" spans="1:26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</row>
    <row r="44" spans="1:26">
      <c r="A44" s="277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</row>
    <row r="45" spans="1:26">
      <c r="A45" s="277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</row>
    <row r="46" spans="1:26">
      <c r="A46" s="277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</row>
    <row r="47" spans="1:26">
      <c r="A47" s="277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</row>
    <row r="48" spans="1:26">
      <c r="A48" s="277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</row>
    <row r="49" spans="1:26">
      <c r="A49" s="277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</row>
    <row r="50" spans="1:26">
      <c r="A50" s="277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</row>
    <row r="51" spans="1:26">
      <c r="A51" s="277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277"/>
      <c r="V51" s="277"/>
      <c r="W51" s="277"/>
      <c r="X51" s="277"/>
      <c r="Y51" s="277"/>
      <c r="Z51" s="277"/>
    </row>
    <row r="52" spans="1:26">
      <c r="A52" s="277"/>
      <c r="B52" s="277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</row>
    <row r="53" spans="1:26">
      <c r="A53" s="277"/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</row>
    <row r="54" spans="1:26">
      <c r="A54" s="277"/>
      <c r="B54" s="277"/>
      <c r="C54" s="277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</row>
    <row r="55" spans="1:26">
      <c r="A55" s="277"/>
      <c r="B55" s="277"/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</row>
    <row r="56" spans="1:26">
      <c r="A56" s="277"/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</row>
    <row r="57" spans="1:26">
      <c r="A57" s="277"/>
      <c r="B57" s="277"/>
      <c r="C57" s="277"/>
      <c r="D57" s="277"/>
      <c r="E57" s="277"/>
      <c r="F57" s="277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</row>
    <row r="58" spans="1:26">
      <c r="A58" s="277"/>
      <c r="B58" s="277"/>
      <c r="C58" s="277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7"/>
    </row>
    <row r="59" spans="1:26">
      <c r="A59" s="277"/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</row>
    <row r="60" spans="1:26">
      <c r="A60" s="277"/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</row>
    <row r="61" spans="1:26">
      <c r="A61" s="277"/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</row>
    <row r="62" spans="1:26">
      <c r="A62" s="277"/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</row>
    <row r="63" spans="1:26">
      <c r="A63" s="277"/>
      <c r="B63" s="277"/>
      <c r="C63" s="277"/>
      <c r="D63" s="277"/>
      <c r="E63" s="277"/>
      <c r="F63" s="277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</row>
    <row r="64" spans="1:26">
      <c r="A64" s="277"/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</row>
    <row r="65" spans="1:26">
      <c r="A65" s="277"/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</row>
    <row r="66" spans="1:26">
      <c r="A66" s="277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</row>
    <row r="67" spans="1:26">
      <c r="A67" s="277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</row>
    <row r="68" spans="1:26">
      <c r="A68" s="277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</row>
    <row r="69" spans="1:26">
      <c r="A69" s="277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</row>
    <row r="70" spans="1:26">
      <c r="A70" s="277"/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>
      <c r="A71" s="277"/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</row>
    <row r="72" spans="1:26">
      <c r="A72" s="277"/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</row>
    <row r="73" spans="1:26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</row>
    <row r="74" spans="1:26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</row>
    <row r="75" spans="1:26">
      <c r="A75" s="277"/>
      <c r="B75" s="277"/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</row>
    <row r="76" spans="1:26">
      <c r="A76" s="277"/>
      <c r="B76" s="277"/>
      <c r="C76" s="277"/>
      <c r="D76" s="277"/>
      <c r="E76" s="277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</row>
    <row r="77" spans="1:26">
      <c r="A77" s="277"/>
      <c r="B77" s="277"/>
      <c r="C77" s="277"/>
      <c r="D77" s="277"/>
      <c r="E77" s="277"/>
      <c r="F77" s="277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</row>
    <row r="78" spans="1:26">
      <c r="A78" s="277"/>
      <c r="B78" s="277"/>
      <c r="C78" s="277"/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</row>
    <row r="79" spans="1:26">
      <c r="A79" s="277"/>
      <c r="B79" s="277"/>
      <c r="C79" s="277"/>
      <c r="D79" s="277"/>
      <c r="E79" s="277"/>
      <c r="F79" s="277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</row>
    <row r="80" spans="1:26">
      <c r="A80" s="277"/>
      <c r="B80" s="277"/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</row>
    <row r="81" spans="1:26">
      <c r="A81" s="277"/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</row>
    <row r="82" spans="1:26">
      <c r="A82" s="277"/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</row>
    <row r="83" spans="1:26">
      <c r="A83" s="277"/>
      <c r="B83" s="277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</row>
    <row r="84" spans="1:26">
      <c r="A84" s="277"/>
      <c r="B84" s="277"/>
      <c r="C84" s="277"/>
      <c r="D84" s="277"/>
      <c r="E84" s="277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</row>
    <row r="85" spans="1:26">
      <c r="A85" s="277"/>
      <c r="B85" s="27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</row>
    <row r="86" spans="1:26">
      <c r="A86" s="277"/>
      <c r="B86" s="277"/>
      <c r="C86" s="277"/>
      <c r="D86" s="277"/>
      <c r="E86" s="277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</row>
    <row r="87" spans="1:26">
      <c r="A87" s="277"/>
      <c r="B87" s="277"/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</row>
    <row r="88" spans="1:26">
      <c r="A88" s="277"/>
      <c r="B88" s="27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</row>
    <row r="89" spans="1:26">
      <c r="A89" s="277"/>
      <c r="B89" s="277"/>
      <c r="C89" s="277"/>
      <c r="D89" s="277"/>
      <c r="E89" s="277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</row>
    <row r="90" spans="1:26">
      <c r="A90" s="277"/>
      <c r="B90" s="277"/>
      <c r="C90" s="277"/>
      <c r="D90" s="277"/>
      <c r="E90" s="277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</row>
    <row r="91" spans="1:26">
      <c r="A91" s="277"/>
      <c r="B91" s="27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</row>
    <row r="92" spans="1:26">
      <c r="A92" s="277"/>
      <c r="B92" s="277"/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</row>
    <row r="93" spans="1:26">
      <c r="A93" s="277"/>
      <c r="B93" s="277"/>
      <c r="C93" s="277"/>
      <c r="D93" s="277"/>
      <c r="E93" s="277"/>
      <c r="F93" s="277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</row>
    <row r="94" spans="1:26">
      <c r="A94" s="277"/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</row>
    <row r="95" spans="1:26">
      <c r="A95" s="277"/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</row>
    <row r="96" spans="1:26">
      <c r="A96" s="277"/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</row>
    <row r="97" spans="1:26">
      <c r="A97" s="277"/>
      <c r="B97" s="277"/>
      <c r="C97" s="277"/>
      <c r="D97" s="277"/>
      <c r="E97" s="277"/>
      <c r="F97" s="277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</row>
    <row r="98" spans="1:26">
      <c r="A98" s="277"/>
      <c r="B98" s="277"/>
      <c r="C98" s="277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</row>
    <row r="99" spans="1:26">
      <c r="A99" s="277"/>
      <c r="B99" s="277"/>
      <c r="C99" s="277"/>
      <c r="D99" s="277"/>
      <c r="E99" s="277"/>
      <c r="F99" s="277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285156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285156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227" t="str" cm="1">
        <f t="array" ref="C3">INDEX(C5:C7,$A$4)</f>
        <v>IE</v>
      </c>
      <c r="D3" s="227" t="str" cm="1">
        <f t="array" ref="D3">INDEX(D5:D7,$A$4)</f>
        <v>National</v>
      </c>
      <c r="E3" s="227" t="str" cm="1">
        <f t="array" ref="E3">INDEX(E5:E7,$A$4)</f>
        <v>IE-CW</v>
      </c>
      <c r="F3" s="227" t="str" cm="1">
        <f t="array" ref="F3">INDEX(F5:F7,$A$4)</f>
        <v>IE-D</v>
      </c>
      <c r="G3" s="227" t="str" cm="1">
        <f t="array" ref="G3">INDEX(G5:G7,$A$4)</f>
        <v>IE-KE</v>
      </c>
      <c r="H3" s="227" t="str" cm="1">
        <f t="array" ref="H3">INDEX(H5:H7,$A$4)</f>
        <v>IE-KK</v>
      </c>
      <c r="I3" s="227" t="str" cm="1">
        <f t="array" ref="I3">INDEX(I5:I7,$A$4)</f>
        <v>IE-LS</v>
      </c>
      <c r="J3" s="227" t="str" cm="1">
        <f t="array" ref="J3">INDEX(J5:J7,$A$4)</f>
        <v>IE-LD</v>
      </c>
      <c r="K3" s="227" t="str" cm="1">
        <f t="array" ref="K3">INDEX(K5:K7,$A$4)</f>
        <v>IE-LH</v>
      </c>
      <c r="L3" s="227" t="str" cm="1">
        <f t="array" ref="L3">INDEX(L5:L7,$A$4)</f>
        <v>IE-MH</v>
      </c>
      <c r="M3" s="227" t="str" cm="1">
        <f t="array" ref="M3">INDEX(M5:M7,$A$4)</f>
        <v>IE-OY</v>
      </c>
      <c r="N3" s="227" t="str" cm="1">
        <f t="array" ref="N3">INDEX(N5:N7,$A$4)</f>
        <v>IE-WH</v>
      </c>
      <c r="O3" s="227" t="str" cm="1">
        <f t="array" ref="O3">INDEX(O5:O7,$A$4)</f>
        <v>IE-WX</v>
      </c>
      <c r="P3" s="227" t="str" cm="1">
        <f t="array" ref="P3">INDEX(P5:P7,$A$4)</f>
        <v>IE-WW</v>
      </c>
      <c r="Q3" s="227" t="str" cm="1">
        <f t="array" ref="Q3">INDEX(Q5:Q7,$A$4)</f>
        <v>IE-CE</v>
      </c>
      <c r="R3" s="227" t="str" cm="1">
        <f t="array" ref="R3">INDEX(R5:R7,$A$4)</f>
        <v>IE-CO</v>
      </c>
      <c r="S3" s="227" t="str" cm="1">
        <f t="array" ref="S3">INDEX(S5:S7,$A$4)</f>
        <v>IE-KY</v>
      </c>
      <c r="T3" s="227" t="str" cm="1">
        <f t="array" ref="T3">INDEX(T5:T7,$A$4)</f>
        <v>IE-LK</v>
      </c>
      <c r="U3" s="227" t="str" cm="1">
        <f t="array" ref="U3">INDEX(U5:U7,$A$4)</f>
        <v>IE-TA</v>
      </c>
      <c r="V3" s="227" t="str" cm="1">
        <f t="array" ref="V3">INDEX(V5:V7,$A$4)</f>
        <v>IE-WD</v>
      </c>
      <c r="W3" s="227" t="str" cm="1">
        <f t="array" ref="W3">INDEX(W5:W7,$A$4)</f>
        <v>IE-G</v>
      </c>
      <c r="X3" s="227" t="str" cm="1">
        <f t="array" ref="X3">INDEX(X5:X7,$A$4)</f>
        <v>IE-LM</v>
      </c>
      <c r="Y3" s="227" t="str" cm="1">
        <f t="array" ref="Y3">INDEX(Y5:Y7,$A$4)</f>
        <v>IE-MO</v>
      </c>
      <c r="Z3" s="227" t="str" cm="1">
        <f t="array" ref="Z3">INDEX(Z5:Z7,$A$4)</f>
        <v>IE-RN</v>
      </c>
      <c r="AA3" s="227" t="str" cm="1">
        <f t="array" ref="AA3">INDEX(AA5:AA7,$A$4)</f>
        <v>IE-SO</v>
      </c>
      <c r="AB3" s="227" t="str" cm="1">
        <f t="array" ref="AB3">INDEX(AB5:AB7,$A$4)</f>
        <v>IE-CN</v>
      </c>
      <c r="AC3" s="227" t="str" cm="1">
        <f t="array" ref="AC3">INDEX(AC5:AC7,$A$4)</f>
        <v>IE-DL</v>
      </c>
      <c r="AD3" s="227" t="str" cm="1">
        <f t="array" ref="AD3">INDEX(AD5:AD7,$A$4)</f>
        <v>IE-MN</v>
      </c>
    </row>
    <row r="4" spans="1:30">
      <c r="A4">
        <v>1</v>
      </c>
    </row>
    <row r="5" spans="1:30">
      <c r="A5" t="s">
        <v>454</v>
      </c>
      <c r="C5" s="228" t="s">
        <v>455</v>
      </c>
      <c r="D5" s="228" t="s">
        <v>456</v>
      </c>
      <c r="E5" s="227" t="str">
        <f>A11</f>
        <v>IE-CW</v>
      </c>
      <c r="F5" s="227" t="str">
        <f>A16</f>
        <v>IE-D</v>
      </c>
      <c r="G5" s="227" t="str">
        <f>A19</f>
        <v>IE-KE</v>
      </c>
      <c r="H5" s="227" t="str">
        <f>A20</f>
        <v>IE-KK</v>
      </c>
      <c r="I5" s="227" t="str">
        <f>A21</f>
        <v>IE-LS</v>
      </c>
      <c r="J5" s="227" t="str">
        <f>A24</f>
        <v>IE-LD</v>
      </c>
      <c r="K5" s="227" t="str">
        <f>A25</f>
        <v>IE-LH</v>
      </c>
      <c r="L5" s="227" t="str">
        <f>A27</f>
        <v>IE-MH</v>
      </c>
      <c r="M5" s="227" t="str">
        <f>A29</f>
        <v>IE-OY</v>
      </c>
      <c r="N5" s="227" t="str">
        <f>A34</f>
        <v>IE-WH</v>
      </c>
      <c r="O5" s="227" t="str">
        <f>A35</f>
        <v>IE-WX</v>
      </c>
      <c r="P5" s="227" t="str">
        <f>A36</f>
        <v>IE-WW</v>
      </c>
      <c r="Q5" s="227" t="str">
        <f>A13</f>
        <v>IE-CE</v>
      </c>
      <c r="R5" s="227" t="str">
        <f>A14</f>
        <v>IE-CO</v>
      </c>
      <c r="S5" s="227" t="str">
        <f>A18</f>
        <v>IE-KY</v>
      </c>
      <c r="T5" s="227" t="str">
        <f>A23</f>
        <v>IE-LK</v>
      </c>
      <c r="U5" s="227" t="str">
        <f>A32</f>
        <v>IE-TA</v>
      </c>
      <c r="V5" s="227" t="str">
        <f>A33</f>
        <v>IE-WD</v>
      </c>
      <c r="W5" s="227" t="str">
        <f>A17</f>
        <v>IE-G</v>
      </c>
      <c r="X5" s="227" t="str">
        <f>A22</f>
        <v>IE-LM</v>
      </c>
      <c r="Y5" s="227" t="str">
        <f>A26</f>
        <v>IE-MO</v>
      </c>
      <c r="Z5" s="227" t="str">
        <f>A30</f>
        <v>IE-RN</v>
      </c>
      <c r="AA5" s="227" t="str">
        <f>A31</f>
        <v>IE-SO</v>
      </c>
      <c r="AB5" s="227" t="str">
        <f>A12</f>
        <v>IE-CN</v>
      </c>
      <c r="AC5" s="227" t="str">
        <f>A15</f>
        <v>IE-DL</v>
      </c>
      <c r="AD5" s="227" t="str">
        <f>A28</f>
        <v>IE-MN</v>
      </c>
    </row>
    <row r="6" spans="1:30">
      <c r="A6" t="s">
        <v>457</v>
      </c>
      <c r="C6" s="227" t="str">
        <f>C5</f>
        <v>IE</v>
      </c>
      <c r="D6" s="227" t="str">
        <f>"*"&amp;D5</f>
        <v>*National</v>
      </c>
      <c r="E6" s="227" t="str">
        <f>"*"&amp;E5</f>
        <v>*IE-CW</v>
      </c>
      <c r="F6" s="227" t="str">
        <f t="shared" ref="F6:AD6" si="0">"*"&amp;F5</f>
        <v>*IE-D</v>
      </c>
      <c r="G6" s="227" t="str">
        <f t="shared" si="0"/>
        <v>*IE-KE</v>
      </c>
      <c r="H6" s="227" t="str">
        <f t="shared" si="0"/>
        <v>*IE-KK</v>
      </c>
      <c r="I6" s="227" t="str">
        <f t="shared" si="0"/>
        <v>*IE-LS</v>
      </c>
      <c r="J6" s="227" t="str">
        <f t="shared" si="0"/>
        <v>*IE-LD</v>
      </c>
      <c r="K6" s="227" t="str">
        <f t="shared" si="0"/>
        <v>*IE-LH</v>
      </c>
      <c r="L6" s="227" t="str">
        <f t="shared" si="0"/>
        <v>*IE-MH</v>
      </c>
      <c r="M6" s="227" t="str">
        <f t="shared" si="0"/>
        <v>*IE-OY</v>
      </c>
      <c r="N6" s="227" t="str">
        <f t="shared" si="0"/>
        <v>*IE-WH</v>
      </c>
      <c r="O6" s="227" t="str">
        <f t="shared" si="0"/>
        <v>*IE-WX</v>
      </c>
      <c r="P6" s="227" t="str">
        <f t="shared" si="0"/>
        <v>*IE-WW</v>
      </c>
      <c r="Q6" s="227" t="str">
        <f t="shared" si="0"/>
        <v>*IE-CE</v>
      </c>
      <c r="R6" s="227" t="str">
        <f t="shared" si="0"/>
        <v>*IE-CO</v>
      </c>
      <c r="S6" s="227" t="str">
        <f t="shared" si="0"/>
        <v>*IE-KY</v>
      </c>
      <c r="T6" s="227" t="str">
        <f t="shared" si="0"/>
        <v>*IE-LK</v>
      </c>
      <c r="U6" s="227" t="str">
        <f t="shared" si="0"/>
        <v>*IE-TA</v>
      </c>
      <c r="V6" s="227" t="str">
        <f t="shared" si="0"/>
        <v>*IE-WD</v>
      </c>
      <c r="W6" s="227" t="str">
        <f t="shared" si="0"/>
        <v>*IE-G</v>
      </c>
      <c r="X6" s="227" t="str">
        <f t="shared" si="0"/>
        <v>*IE-LM</v>
      </c>
      <c r="Y6" s="227" t="str">
        <f t="shared" si="0"/>
        <v>*IE-MO</v>
      </c>
      <c r="Z6" s="227" t="str">
        <f t="shared" si="0"/>
        <v>*IE-RN</v>
      </c>
      <c r="AA6" s="227" t="str">
        <f t="shared" si="0"/>
        <v>*IE-SO</v>
      </c>
      <c r="AB6" s="227" t="str">
        <f t="shared" si="0"/>
        <v>*IE-CN</v>
      </c>
      <c r="AC6" s="227" t="str">
        <f t="shared" si="0"/>
        <v>*IE-DL</v>
      </c>
      <c r="AD6" s="227" t="str">
        <f t="shared" si="0"/>
        <v>*IE-MN</v>
      </c>
    </row>
    <row r="7" spans="1:30">
      <c r="A7" t="s">
        <v>458</v>
      </c>
      <c r="C7" s="227" t="str">
        <f>"*"&amp;C5</f>
        <v>*IE</v>
      </c>
      <c r="D7" s="227" t="str">
        <f>D5</f>
        <v>National</v>
      </c>
      <c r="E7" s="227" t="str">
        <f t="shared" ref="E7:AD7" si="1">E5</f>
        <v>IE-CW</v>
      </c>
      <c r="F7" s="227" t="str">
        <f t="shared" si="1"/>
        <v>IE-D</v>
      </c>
      <c r="G7" s="227" t="str">
        <f t="shared" si="1"/>
        <v>IE-KE</v>
      </c>
      <c r="H7" s="227" t="str">
        <f t="shared" si="1"/>
        <v>IE-KK</v>
      </c>
      <c r="I7" s="227" t="str">
        <f t="shared" si="1"/>
        <v>IE-LS</v>
      </c>
      <c r="J7" s="227" t="str">
        <f t="shared" si="1"/>
        <v>IE-LD</v>
      </c>
      <c r="K7" s="227" t="str">
        <f t="shared" si="1"/>
        <v>IE-LH</v>
      </c>
      <c r="L7" s="227" t="str">
        <f t="shared" si="1"/>
        <v>IE-MH</v>
      </c>
      <c r="M7" s="227" t="str">
        <f t="shared" si="1"/>
        <v>IE-OY</v>
      </c>
      <c r="N7" s="227" t="str">
        <f t="shared" si="1"/>
        <v>IE-WH</v>
      </c>
      <c r="O7" s="227" t="str">
        <f t="shared" si="1"/>
        <v>IE-WX</v>
      </c>
      <c r="P7" s="227" t="str">
        <f t="shared" si="1"/>
        <v>IE-WW</v>
      </c>
      <c r="Q7" s="227" t="str">
        <f t="shared" si="1"/>
        <v>IE-CE</v>
      </c>
      <c r="R7" s="227" t="str">
        <f t="shared" si="1"/>
        <v>IE-CO</v>
      </c>
      <c r="S7" s="227" t="str">
        <f t="shared" si="1"/>
        <v>IE-KY</v>
      </c>
      <c r="T7" s="227" t="str">
        <f t="shared" si="1"/>
        <v>IE-LK</v>
      </c>
      <c r="U7" s="227" t="str">
        <f t="shared" si="1"/>
        <v>IE-TA</v>
      </c>
      <c r="V7" s="227" t="str">
        <f t="shared" si="1"/>
        <v>IE-WD</v>
      </c>
      <c r="W7" s="227" t="str">
        <f t="shared" si="1"/>
        <v>IE-G</v>
      </c>
      <c r="X7" s="227" t="str">
        <f t="shared" si="1"/>
        <v>IE-LM</v>
      </c>
      <c r="Y7" s="227" t="str">
        <f t="shared" si="1"/>
        <v>IE-MO</v>
      </c>
      <c r="Z7" s="227" t="str">
        <f t="shared" si="1"/>
        <v>IE-RN</v>
      </c>
      <c r="AA7" s="227" t="str">
        <f t="shared" si="1"/>
        <v>IE-SO</v>
      </c>
      <c r="AB7" s="227" t="str">
        <f t="shared" si="1"/>
        <v>IE-CN</v>
      </c>
      <c r="AC7" s="227" t="str">
        <f t="shared" si="1"/>
        <v>IE-DL</v>
      </c>
      <c r="AD7" s="227" t="str">
        <f t="shared" si="1"/>
        <v>IE-MN</v>
      </c>
    </row>
    <row r="10" spans="1:30" ht="15.75" thickBot="1">
      <c r="A10" s="229" t="s">
        <v>279</v>
      </c>
      <c r="B10" s="229" t="s">
        <v>459</v>
      </c>
    </row>
    <row r="11" spans="1:30">
      <c r="A11" s="230" t="s">
        <v>460</v>
      </c>
      <c r="B11" s="230" t="s">
        <v>461</v>
      </c>
    </row>
    <row r="12" spans="1:30">
      <c r="A12" s="31" t="s">
        <v>462</v>
      </c>
      <c r="B12" s="31" t="s">
        <v>463</v>
      </c>
    </row>
    <row r="13" spans="1:30">
      <c r="A13" s="31" t="s">
        <v>464</v>
      </c>
      <c r="B13" s="31" t="s">
        <v>465</v>
      </c>
    </row>
    <row r="14" spans="1:30">
      <c r="A14" s="31" t="s">
        <v>466</v>
      </c>
      <c r="B14" s="31" t="s">
        <v>467</v>
      </c>
    </row>
    <row r="15" spans="1:30">
      <c r="A15" s="31" t="s">
        <v>468</v>
      </c>
      <c r="B15" s="31" t="s">
        <v>469</v>
      </c>
    </row>
    <row r="16" spans="1:30">
      <c r="A16" s="31" t="s">
        <v>470</v>
      </c>
      <c r="B16" s="31" t="s">
        <v>471</v>
      </c>
    </row>
    <row r="17" spans="1:2">
      <c r="A17" s="31" t="s">
        <v>472</v>
      </c>
      <c r="B17" s="31" t="s">
        <v>473</v>
      </c>
    </row>
    <row r="18" spans="1:2">
      <c r="A18" s="31" t="s">
        <v>474</v>
      </c>
      <c r="B18" s="31" t="s">
        <v>475</v>
      </c>
    </row>
    <row r="19" spans="1:2">
      <c r="A19" s="31" t="s">
        <v>476</v>
      </c>
      <c r="B19" s="31" t="s">
        <v>477</v>
      </c>
    </row>
    <row r="20" spans="1:2">
      <c r="A20" s="31" t="s">
        <v>478</v>
      </c>
      <c r="B20" s="31" t="s">
        <v>479</v>
      </c>
    </row>
    <row r="21" spans="1:2">
      <c r="A21" s="31" t="s">
        <v>480</v>
      </c>
      <c r="B21" s="31" t="s">
        <v>481</v>
      </c>
    </row>
    <row r="22" spans="1:2">
      <c r="A22" s="31" t="s">
        <v>482</v>
      </c>
      <c r="B22" s="31" t="s">
        <v>483</v>
      </c>
    </row>
    <row r="23" spans="1:2">
      <c r="A23" s="31" t="s">
        <v>484</v>
      </c>
      <c r="B23" s="31" t="s">
        <v>485</v>
      </c>
    </row>
    <row r="24" spans="1:2">
      <c r="A24" s="31" t="s">
        <v>486</v>
      </c>
      <c r="B24" s="31" t="s">
        <v>487</v>
      </c>
    </row>
    <row r="25" spans="1:2">
      <c r="A25" s="31" t="s">
        <v>488</v>
      </c>
      <c r="B25" s="31" t="s">
        <v>489</v>
      </c>
    </row>
    <row r="26" spans="1:2">
      <c r="A26" s="31" t="s">
        <v>490</v>
      </c>
      <c r="B26" s="31" t="s">
        <v>491</v>
      </c>
    </row>
    <row r="27" spans="1:2">
      <c r="A27" s="31" t="s">
        <v>492</v>
      </c>
      <c r="B27" s="31" t="s">
        <v>493</v>
      </c>
    </row>
    <row r="28" spans="1:2">
      <c r="A28" s="31" t="s">
        <v>494</v>
      </c>
      <c r="B28" s="31" t="s">
        <v>495</v>
      </c>
    </row>
    <row r="29" spans="1:2">
      <c r="A29" s="31" t="s">
        <v>496</v>
      </c>
      <c r="B29" s="31" t="s">
        <v>497</v>
      </c>
    </row>
    <row r="30" spans="1:2">
      <c r="A30" s="31" t="s">
        <v>498</v>
      </c>
      <c r="B30" s="31" t="s">
        <v>499</v>
      </c>
    </row>
    <row r="31" spans="1:2">
      <c r="A31" s="31" t="s">
        <v>500</v>
      </c>
      <c r="B31" s="31" t="s">
        <v>501</v>
      </c>
    </row>
    <row r="32" spans="1:2">
      <c r="A32" s="31" t="s">
        <v>502</v>
      </c>
      <c r="B32" s="31" t="s">
        <v>503</v>
      </c>
    </row>
    <row r="33" spans="1:2">
      <c r="A33" s="31" t="s">
        <v>504</v>
      </c>
      <c r="B33" s="31" t="s">
        <v>505</v>
      </c>
    </row>
    <row r="34" spans="1:2">
      <c r="A34" s="31" t="s">
        <v>506</v>
      </c>
      <c r="B34" s="31" t="s">
        <v>507</v>
      </c>
    </row>
    <row r="35" spans="1:2">
      <c r="A35" s="31" t="s">
        <v>508</v>
      </c>
      <c r="B35" s="31" t="s">
        <v>509</v>
      </c>
    </row>
    <row r="36" spans="1:2">
      <c r="A36" s="31" t="s">
        <v>510</v>
      </c>
      <c r="B36" s="31" t="s">
        <v>511</v>
      </c>
    </row>
    <row r="37" spans="1:2">
      <c r="A37" s="231" t="s">
        <v>512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140625" defaultRowHeight="12.75"/>
  <cols>
    <col min="1" max="1" width="38.140625" style="133" customWidth="1"/>
    <col min="2" max="2" width="13" style="131" bestFit="1" customWidth="1"/>
    <col min="3" max="4" width="7.5703125" style="134" bestFit="1" customWidth="1"/>
    <col min="5" max="5" width="9.140625" style="134"/>
    <col min="6" max="6" width="6.140625" style="135" customWidth="1"/>
    <col min="7" max="7" width="5.85546875" style="135" bestFit="1" customWidth="1"/>
    <col min="8" max="8" width="7.28515625" style="134" bestFit="1" customWidth="1"/>
    <col min="9" max="9" width="6.140625" style="135" bestFit="1" customWidth="1"/>
    <col min="10" max="10" width="6" style="135" bestFit="1" customWidth="1"/>
    <col min="11" max="11" width="6.85546875" style="135" bestFit="1" customWidth="1"/>
    <col min="12" max="12" width="8.7109375" style="132" bestFit="1" customWidth="1"/>
    <col min="13" max="13" width="8.140625" style="131" bestFit="1" customWidth="1"/>
    <col min="14" max="14" width="8.140625" style="131" customWidth="1"/>
    <col min="15" max="15" width="5.28515625" style="131" customWidth="1"/>
    <col min="16" max="16" width="7.28515625" style="131" customWidth="1"/>
    <col min="17" max="17" width="7.28515625" style="131" bestFit="1" customWidth="1"/>
    <col min="18" max="18" width="8.140625" style="131" bestFit="1" customWidth="1"/>
    <col min="19" max="20" width="7.28515625" style="131" bestFit="1" customWidth="1"/>
    <col min="21" max="21" width="8.28515625" style="131" bestFit="1" customWidth="1"/>
    <col min="22" max="22" width="6.85546875" style="131" bestFit="1" customWidth="1"/>
    <col min="23" max="25" width="5.28515625" style="131" customWidth="1"/>
    <col min="26" max="26" width="5.28515625" style="135" customWidth="1"/>
    <col min="27" max="27" width="8.140625" style="132" bestFit="1" customWidth="1"/>
    <col min="28" max="28" width="6.7109375" style="132" bestFit="1" customWidth="1"/>
    <col min="29" max="30" width="5.5703125" style="131" customWidth="1"/>
    <col min="31" max="31" width="8.7109375" style="131" bestFit="1" customWidth="1"/>
    <col min="32" max="32" width="8.7109375" style="131" customWidth="1"/>
    <col min="33" max="33" width="5.5703125" style="131" customWidth="1"/>
    <col min="34" max="34" width="5.85546875" style="131" bestFit="1" customWidth="1"/>
    <col min="35" max="36" width="7" style="131" customWidth="1"/>
    <col min="37" max="40" width="5.5703125" style="131" customWidth="1"/>
    <col min="41" max="41" width="8.7109375" style="132" bestFit="1" customWidth="1"/>
    <col min="42" max="42" width="4.28515625" style="132" bestFit="1" customWidth="1"/>
    <col min="43" max="43" width="9.28515625" style="131" bestFit="1" customWidth="1"/>
    <col min="44" max="16384" width="9.140625" style="131"/>
  </cols>
  <sheetData>
    <row r="1" spans="1:43" ht="111.75" thickBot="1">
      <c r="A1" s="212" t="s">
        <v>428</v>
      </c>
      <c r="B1" s="211" t="s">
        <v>429</v>
      </c>
      <c r="C1" s="213" t="s">
        <v>160</v>
      </c>
      <c r="D1" s="214" t="s">
        <v>161</v>
      </c>
      <c r="E1" s="209" t="s">
        <v>162</v>
      </c>
      <c r="F1" s="208" t="s">
        <v>163</v>
      </c>
      <c r="G1" s="208" t="s">
        <v>164</v>
      </c>
      <c r="H1" s="210" t="s">
        <v>165</v>
      </c>
      <c r="I1" s="214" t="s">
        <v>166</v>
      </c>
      <c r="J1" s="209" t="s">
        <v>167</v>
      </c>
      <c r="K1" s="209" t="s">
        <v>168</v>
      </c>
      <c r="L1" s="210" t="s">
        <v>169</v>
      </c>
      <c r="M1" s="214" t="s">
        <v>170</v>
      </c>
      <c r="N1" s="220" t="s">
        <v>443</v>
      </c>
      <c r="O1" s="209" t="s">
        <v>171</v>
      </c>
      <c r="P1" s="209" t="s">
        <v>172</v>
      </c>
      <c r="Q1" s="209" t="s">
        <v>173</v>
      </c>
      <c r="R1" s="209" t="s">
        <v>174</v>
      </c>
      <c r="S1" s="209" t="s">
        <v>175</v>
      </c>
      <c r="T1" s="209" t="s">
        <v>176</v>
      </c>
      <c r="U1" s="209" t="s">
        <v>177</v>
      </c>
      <c r="V1" s="209" t="s">
        <v>178</v>
      </c>
      <c r="W1" s="208" t="s">
        <v>179</v>
      </c>
      <c r="X1" s="208" t="s">
        <v>180</v>
      </c>
      <c r="Y1" s="208" t="s">
        <v>181</v>
      </c>
      <c r="Z1" s="209" t="s">
        <v>182</v>
      </c>
      <c r="AA1" s="210" t="s">
        <v>183</v>
      </c>
      <c r="AB1" s="215" t="s">
        <v>184</v>
      </c>
      <c r="AC1" s="216" t="s">
        <v>185</v>
      </c>
      <c r="AD1" s="209" t="s">
        <v>186</v>
      </c>
      <c r="AE1" s="221" t="s">
        <v>444</v>
      </c>
      <c r="AF1" s="218" t="s">
        <v>445</v>
      </c>
      <c r="AG1" s="209" t="s">
        <v>187</v>
      </c>
      <c r="AH1" s="209" t="s">
        <v>188</v>
      </c>
      <c r="AI1" s="221" t="s">
        <v>446</v>
      </c>
      <c r="AJ1" s="218" t="s">
        <v>447</v>
      </c>
      <c r="AK1" s="221" t="s">
        <v>448</v>
      </c>
      <c r="AL1" s="218" t="s">
        <v>449</v>
      </c>
      <c r="AM1" s="219" t="s">
        <v>450</v>
      </c>
      <c r="AN1" s="210" t="s">
        <v>189</v>
      </c>
      <c r="AO1" s="210" t="s">
        <v>190</v>
      </c>
      <c r="AP1" s="215" t="s">
        <v>191</v>
      </c>
      <c r="AQ1" s="217" t="s">
        <v>192</v>
      </c>
    </row>
    <row r="2" spans="1:43">
      <c r="A2" s="291" t="s">
        <v>193</v>
      </c>
      <c r="B2" s="292"/>
      <c r="C2" s="293">
        <f>SUM(D2:G2)</f>
        <v>0</v>
      </c>
      <c r="D2" s="294">
        <v>0</v>
      </c>
      <c r="E2" s="295"/>
      <c r="F2" s="296"/>
      <c r="G2" s="296"/>
      <c r="H2" s="297">
        <f>SUM(I2:K2)</f>
        <v>815.92434898628403</v>
      </c>
      <c r="I2" s="298">
        <v>688.22034898628408</v>
      </c>
      <c r="J2" s="299">
        <v>127.70399999999999</v>
      </c>
      <c r="K2" s="300"/>
      <c r="L2" s="297">
        <f>SUM(M2:Z2)</f>
        <v>0</v>
      </c>
      <c r="M2" s="298"/>
      <c r="N2" s="301"/>
      <c r="O2" s="302"/>
      <c r="P2" s="302"/>
      <c r="Q2" s="302"/>
      <c r="R2" s="302"/>
      <c r="S2" s="302"/>
      <c r="T2" s="302"/>
      <c r="U2" s="302"/>
      <c r="V2" s="302"/>
      <c r="W2" s="296"/>
      <c r="X2" s="296"/>
      <c r="Y2" s="296"/>
      <c r="Z2" s="300"/>
      <c r="AA2" s="297">
        <v>2751.9191872187112</v>
      </c>
      <c r="AB2" s="303">
        <f>SUM(AC2:AM2)</f>
        <v>1334.658297317769</v>
      </c>
      <c r="AC2" s="304">
        <v>59.691708987970003</v>
      </c>
      <c r="AD2" s="300">
        <v>743.01992281532614</v>
      </c>
      <c r="AE2" s="300">
        <v>248.90859762015592</v>
      </c>
      <c r="AF2" s="300">
        <v>139.99992739520798</v>
      </c>
      <c r="AG2" s="300">
        <v>33.531818868055431</v>
      </c>
      <c r="AH2" s="300">
        <v>16.813132576534866</v>
      </c>
      <c r="AI2" s="300">
        <v>31.064467987392003</v>
      </c>
      <c r="AJ2" s="300">
        <v>2.6691993220799999</v>
      </c>
      <c r="AK2" s="298">
        <v>1.8899880806415161</v>
      </c>
      <c r="AL2" s="298">
        <v>13.54608560366562</v>
      </c>
      <c r="AM2" s="296">
        <v>43.523448060739646</v>
      </c>
      <c r="AN2" s="305">
        <v>145.43710297949829</v>
      </c>
      <c r="AO2" s="305"/>
      <c r="AP2" s="303"/>
      <c r="AQ2" s="306">
        <f>C2+H2+L2+AA2+AB2+AN2+AO2+AP2</f>
        <v>5047.9389365022625</v>
      </c>
    </row>
    <row r="3" spans="1:43">
      <c r="A3" s="307" t="s">
        <v>194</v>
      </c>
      <c r="B3" s="308"/>
      <c r="C3" s="309">
        <f>SUM(D3:G3)</f>
        <v>903.49466255082825</v>
      </c>
      <c r="D3" s="310">
        <v>829.57460107090037</v>
      </c>
      <c r="E3" s="311">
        <v>61.722867734674637</v>
      </c>
      <c r="F3" s="312"/>
      <c r="G3" s="312">
        <v>12.197193745253209</v>
      </c>
      <c r="H3" s="313">
        <f>SUM(I3:K3)</f>
        <v>0</v>
      </c>
      <c r="I3" s="314"/>
      <c r="J3" s="315"/>
      <c r="K3" s="316"/>
      <c r="L3" s="313">
        <f>SUM(M3:Z3)</f>
        <v>9138.5577999094057</v>
      </c>
      <c r="M3" s="314">
        <v>3053.4742963851995</v>
      </c>
      <c r="N3" s="314">
        <v>16.633377499200002</v>
      </c>
      <c r="O3" s="316">
        <v>0</v>
      </c>
      <c r="P3" s="316">
        <v>564.2364083333332</v>
      </c>
      <c r="Q3" s="316">
        <v>369.14638715136005</v>
      </c>
      <c r="R3" s="316">
        <v>1542.2444022448799</v>
      </c>
      <c r="S3" s="316">
        <v>82.827948630790956</v>
      </c>
      <c r="T3" s="316">
        <v>157.5463640726893</v>
      </c>
      <c r="U3" s="316">
        <v>2932.6955801163149</v>
      </c>
      <c r="V3" s="316">
        <v>166.37647928144222</v>
      </c>
      <c r="W3" s="312">
        <v>7.5616539426795564</v>
      </c>
      <c r="X3" s="312">
        <v>200.83222211696253</v>
      </c>
      <c r="Y3" s="312">
        <v>1.2281470084248403</v>
      </c>
      <c r="Z3" s="316">
        <v>43.754533126130625</v>
      </c>
      <c r="AA3" s="313">
        <v>1728.338063506957</v>
      </c>
      <c r="AB3" s="317">
        <f>SUM(AC3:AM3)</f>
        <v>151.93355907200862</v>
      </c>
      <c r="AC3" s="318"/>
      <c r="AD3" s="316"/>
      <c r="AE3" s="316">
        <v>24.282116302936618</v>
      </c>
      <c r="AF3" s="316"/>
      <c r="AG3" s="316"/>
      <c r="AH3" s="316"/>
      <c r="AI3" s="316">
        <v>104.81441230492801</v>
      </c>
      <c r="AJ3" s="316">
        <v>22.837030464144</v>
      </c>
      <c r="AK3" s="314"/>
      <c r="AL3" s="314"/>
      <c r="AM3" s="312"/>
      <c r="AN3" s="319"/>
      <c r="AO3" s="319">
        <v>139.45061680000001</v>
      </c>
      <c r="AP3" s="317"/>
      <c r="AQ3" s="320">
        <f t="shared" ref="AQ3:AQ20" si="0">C3+H3+L3+AA3+AB3+AN3+AO3+AP3</f>
        <v>12061.7747018392</v>
      </c>
    </row>
    <row r="4" spans="1:43">
      <c r="A4" s="307" t="s">
        <v>195</v>
      </c>
      <c r="B4" s="308"/>
      <c r="C4" s="309">
        <f>SUM(D4:G4)</f>
        <v>15.186580890896002</v>
      </c>
      <c r="D4" s="310">
        <v>0</v>
      </c>
      <c r="E4" s="321">
        <v>14.097722162000002</v>
      </c>
      <c r="F4" s="312"/>
      <c r="G4" s="312">
        <v>1.0888587288959999</v>
      </c>
      <c r="H4" s="313">
        <f>SUM(I4:K4)</f>
        <v>7.0330680000000001</v>
      </c>
      <c r="I4" s="314"/>
      <c r="J4" s="315"/>
      <c r="K4" s="316">
        <v>7.0330680000000001</v>
      </c>
      <c r="L4" s="313">
        <f>SUM(M4:Z4)</f>
        <v>1717.0624747879344</v>
      </c>
      <c r="M4" s="314">
        <v>0</v>
      </c>
      <c r="N4" s="314">
        <v>0</v>
      </c>
      <c r="O4" s="316"/>
      <c r="P4" s="316">
        <v>364.52221864444448</v>
      </c>
      <c r="Q4" s="316">
        <v>21.672508399360005</v>
      </c>
      <c r="R4" s="316">
        <v>156.29379915984001</v>
      </c>
      <c r="S4" s="316">
        <v>986.60611760112999</v>
      </c>
      <c r="T4" s="316">
        <v>35.289733288720633</v>
      </c>
      <c r="U4" s="316">
        <v>102.14625414775992</v>
      </c>
      <c r="V4" s="316">
        <v>2.9088437938490893E-3</v>
      </c>
      <c r="W4" s="312">
        <v>36.297317128453038</v>
      </c>
      <c r="X4" s="312">
        <v>5.4694689952000006</v>
      </c>
      <c r="Y4" s="312">
        <v>1.8500297569930473E-2</v>
      </c>
      <c r="Z4" s="316">
        <v>8.7436482816626366</v>
      </c>
      <c r="AA4" s="313">
        <v>0</v>
      </c>
      <c r="AB4" s="317">
        <f>SUM(AC4:AM4)</f>
        <v>9.4476585178560004</v>
      </c>
      <c r="AC4" s="318"/>
      <c r="AD4" s="316"/>
      <c r="AE4" s="316">
        <v>0.41264639999999991</v>
      </c>
      <c r="AF4" s="316"/>
      <c r="AG4" s="316"/>
      <c r="AH4" s="316"/>
      <c r="AI4" s="316">
        <v>9.0350121178560006</v>
      </c>
      <c r="AJ4" s="316">
        <v>0</v>
      </c>
      <c r="AK4" s="314"/>
      <c r="AL4" s="314"/>
      <c r="AM4" s="312"/>
      <c r="AN4" s="319"/>
      <c r="AO4" s="319">
        <v>141.83539077999998</v>
      </c>
      <c r="AP4" s="317"/>
      <c r="AQ4" s="320">
        <f t="shared" si="0"/>
        <v>1890.5651729766864</v>
      </c>
    </row>
    <row r="5" spans="1:43">
      <c r="A5" s="307" t="s">
        <v>196</v>
      </c>
      <c r="B5" s="308"/>
      <c r="C5" s="309">
        <f>SUM(D5:G5)</f>
        <v>0</v>
      </c>
      <c r="D5" s="310"/>
      <c r="E5" s="321"/>
      <c r="F5" s="312"/>
      <c r="G5" s="312"/>
      <c r="H5" s="313">
        <f>SUM(I5:K5)</f>
        <v>0</v>
      </c>
      <c r="I5" s="314"/>
      <c r="J5" s="315"/>
      <c r="K5" s="316"/>
      <c r="L5" s="313">
        <f>SUM(M5:Z5)</f>
        <v>172.71258946798309</v>
      </c>
      <c r="M5" s="314"/>
      <c r="N5" s="314"/>
      <c r="O5" s="316"/>
      <c r="P5" s="316"/>
      <c r="Q5" s="316"/>
      <c r="R5" s="316"/>
      <c r="S5" s="316">
        <v>15.730078096892656</v>
      </c>
      <c r="T5" s="316"/>
      <c r="U5" s="316">
        <v>156.98251137109042</v>
      </c>
      <c r="V5" s="316"/>
      <c r="W5" s="312"/>
      <c r="X5" s="312"/>
      <c r="Y5" s="312"/>
      <c r="Z5" s="316"/>
      <c r="AA5" s="313"/>
      <c r="AB5" s="317">
        <f>SUM(AC5:AM5)</f>
        <v>0</v>
      </c>
      <c r="AC5" s="318"/>
      <c r="AD5" s="316"/>
      <c r="AE5" s="316"/>
      <c r="AF5" s="316"/>
      <c r="AG5" s="316"/>
      <c r="AH5" s="316"/>
      <c r="AI5" s="316"/>
      <c r="AJ5" s="316"/>
      <c r="AK5" s="314"/>
      <c r="AL5" s="314"/>
      <c r="AM5" s="312"/>
      <c r="AN5" s="319"/>
      <c r="AO5" s="319"/>
      <c r="AP5" s="317"/>
      <c r="AQ5" s="320">
        <f t="shared" si="0"/>
        <v>172.71258946798309</v>
      </c>
    </row>
    <row r="6" spans="1:43" ht="13.5" thickBot="1">
      <c r="A6" s="322" t="s">
        <v>197</v>
      </c>
      <c r="B6" s="323"/>
      <c r="C6" s="309">
        <f>SUM(D6:G6)</f>
        <v>-101.25634942971131</v>
      </c>
      <c r="D6" s="324">
        <v>-101.869888772661</v>
      </c>
      <c r="E6" s="312">
        <v>-0.8079766727235479</v>
      </c>
      <c r="F6" s="325"/>
      <c r="G6" s="325">
        <v>1.4215160156732278</v>
      </c>
      <c r="H6" s="326">
        <f>SUM(I6:K6)</f>
        <v>-122.93905189963694</v>
      </c>
      <c r="I6" s="327">
        <v>-136.53826589963694</v>
      </c>
      <c r="J6" s="328">
        <v>0</v>
      </c>
      <c r="K6" s="327">
        <v>13.599214000000003</v>
      </c>
      <c r="L6" s="326">
        <f>SUM(M6:Z6)</f>
        <v>151.33981188504902</v>
      </c>
      <c r="M6" s="314">
        <v>38.730964773999993</v>
      </c>
      <c r="N6" s="314">
        <v>-8.8751519999999999</v>
      </c>
      <c r="O6" s="316"/>
      <c r="P6" s="316">
        <v>-9.6980083333333713</v>
      </c>
      <c r="Q6" s="316">
        <v>12.883201938880001</v>
      </c>
      <c r="R6" s="316">
        <v>82.12024884504001</v>
      </c>
      <c r="S6" s="316">
        <v>23.637599999999999</v>
      </c>
      <c r="T6" s="316">
        <v>1.4659197380156652</v>
      </c>
      <c r="U6" s="316">
        <v>8.3874136006762399</v>
      </c>
      <c r="V6" s="316">
        <v>3.2040911090633046</v>
      </c>
      <c r="W6" s="325">
        <v>-0.51646778729281662</v>
      </c>
      <c r="X6" s="325">
        <v>0</v>
      </c>
      <c r="Y6" s="325">
        <v>0</v>
      </c>
      <c r="Z6" s="327">
        <v>0</v>
      </c>
      <c r="AA6" s="326">
        <v>0</v>
      </c>
      <c r="AB6" s="329">
        <f>SUM(AC6:AM6)</f>
        <v>4.4601014379600006</v>
      </c>
      <c r="AC6" s="330"/>
      <c r="AD6" s="331"/>
      <c r="AE6" s="331">
        <v>0.26707427819999968</v>
      </c>
      <c r="AF6" s="331"/>
      <c r="AG6" s="331"/>
      <c r="AH6" s="331"/>
      <c r="AI6" s="331">
        <v>1.7828522013120007</v>
      </c>
      <c r="AJ6" s="331">
        <v>2.4101749584479997</v>
      </c>
      <c r="AK6" s="327"/>
      <c r="AL6" s="327"/>
      <c r="AM6" s="325"/>
      <c r="AN6" s="332"/>
      <c r="AO6" s="332"/>
      <c r="AP6" s="329"/>
      <c r="AQ6" s="333">
        <f t="shared" si="0"/>
        <v>-68.395488006339221</v>
      </c>
    </row>
    <row r="7" spans="1:43">
      <c r="A7" s="334" t="s">
        <v>198</v>
      </c>
      <c r="B7" s="335"/>
      <c r="C7" s="336">
        <f t="shared" ref="C7:AP7" si="1">C2+C3-C4-C5+C6</f>
        <v>787.05173223022086</v>
      </c>
      <c r="D7" s="337">
        <f t="shared" si="1"/>
        <v>727.70471229823943</v>
      </c>
      <c r="E7" s="338">
        <f t="shared" si="1"/>
        <v>46.817168899951085</v>
      </c>
      <c r="F7" s="338">
        <f t="shared" si="1"/>
        <v>0</v>
      </c>
      <c r="G7" s="338">
        <f t="shared" si="1"/>
        <v>12.529851032030438</v>
      </c>
      <c r="H7" s="339">
        <f t="shared" si="1"/>
        <v>685.95222908664709</v>
      </c>
      <c r="I7" s="337">
        <f t="shared" si="1"/>
        <v>551.68208308664714</v>
      </c>
      <c r="J7" s="340">
        <f t="shared" si="1"/>
        <v>127.70399999999999</v>
      </c>
      <c r="K7" s="338">
        <f t="shared" si="1"/>
        <v>6.5661460000000034</v>
      </c>
      <c r="L7" s="339">
        <f t="shared" si="1"/>
        <v>7400.1225475385372</v>
      </c>
      <c r="M7" s="337">
        <f t="shared" si="1"/>
        <v>3092.2052611591994</v>
      </c>
      <c r="N7" s="337">
        <f t="shared" si="1"/>
        <v>7.7582254992000017</v>
      </c>
      <c r="O7" s="338">
        <f t="shared" si="1"/>
        <v>0</v>
      </c>
      <c r="P7" s="338">
        <f t="shared" si="1"/>
        <v>190.01618135555535</v>
      </c>
      <c r="Q7" s="338">
        <f t="shared" si="1"/>
        <v>360.35708069088003</v>
      </c>
      <c r="R7" s="338">
        <f t="shared" si="1"/>
        <v>1468.0708519300797</v>
      </c>
      <c r="S7" s="338">
        <f t="shared" si="1"/>
        <v>-895.87064706723163</v>
      </c>
      <c r="T7" s="338">
        <f t="shared" si="1"/>
        <v>123.72255052198433</v>
      </c>
      <c r="U7" s="338">
        <f t="shared" si="1"/>
        <v>2681.9542281981408</v>
      </c>
      <c r="V7" s="338">
        <f t="shared" si="1"/>
        <v>169.57766154671168</v>
      </c>
      <c r="W7" s="338">
        <f t="shared" si="1"/>
        <v>-29.252130973066301</v>
      </c>
      <c r="X7" s="338">
        <f t="shared" si="1"/>
        <v>195.36275312176252</v>
      </c>
      <c r="Y7" s="338">
        <f t="shared" si="1"/>
        <v>1.2096467108549098</v>
      </c>
      <c r="Z7" s="338">
        <f t="shared" si="1"/>
        <v>35.010884844467988</v>
      </c>
      <c r="AA7" s="339">
        <f t="shared" si="1"/>
        <v>4480.2572507256682</v>
      </c>
      <c r="AB7" s="339">
        <f t="shared" si="1"/>
        <v>1481.6042993098815</v>
      </c>
      <c r="AC7" s="337">
        <f t="shared" si="1"/>
        <v>59.691708987970003</v>
      </c>
      <c r="AD7" s="338">
        <f t="shared" si="1"/>
        <v>743.01992281532614</v>
      </c>
      <c r="AE7" s="338">
        <f t="shared" si="1"/>
        <v>273.04514180129252</v>
      </c>
      <c r="AF7" s="338">
        <f t="shared" si="1"/>
        <v>139.99992739520798</v>
      </c>
      <c r="AG7" s="338">
        <f t="shared" si="1"/>
        <v>33.531818868055431</v>
      </c>
      <c r="AH7" s="338">
        <f t="shared" si="1"/>
        <v>16.813132576534866</v>
      </c>
      <c r="AI7" s="338">
        <f t="shared" si="1"/>
        <v>128.62672037577602</v>
      </c>
      <c r="AJ7" s="338">
        <f t="shared" si="1"/>
        <v>27.916404744672001</v>
      </c>
      <c r="AK7" s="341">
        <f t="shared" si="1"/>
        <v>1.8899880806415161</v>
      </c>
      <c r="AL7" s="341">
        <f t="shared" si="1"/>
        <v>13.54608560366562</v>
      </c>
      <c r="AM7" s="337">
        <f t="shared" si="1"/>
        <v>43.523448060739646</v>
      </c>
      <c r="AN7" s="339">
        <f t="shared" si="1"/>
        <v>145.43710297949829</v>
      </c>
      <c r="AO7" s="339">
        <f t="shared" si="1"/>
        <v>-2.3847739799999772</v>
      </c>
      <c r="AP7" s="342">
        <f t="shared" si="1"/>
        <v>0</v>
      </c>
      <c r="AQ7" s="343">
        <f t="shared" si="0"/>
        <v>14978.040387890453</v>
      </c>
    </row>
    <row r="8" spans="1:43" ht="13.5" thickBot="1">
      <c r="A8" s="344" t="s">
        <v>199</v>
      </c>
      <c r="B8" s="345"/>
      <c r="C8" s="346">
        <f t="shared" ref="C8:AP8" si="2">C7-C27</f>
        <v>787.05173223022086</v>
      </c>
      <c r="D8" s="347">
        <f t="shared" si="2"/>
        <v>727.70471229823943</v>
      </c>
      <c r="E8" s="348">
        <f t="shared" si="2"/>
        <v>46.817168899951085</v>
      </c>
      <c r="F8" s="349">
        <f t="shared" si="2"/>
        <v>0</v>
      </c>
      <c r="G8" s="349">
        <f t="shared" si="2"/>
        <v>12.529851032030438</v>
      </c>
      <c r="H8" s="350">
        <f t="shared" si="2"/>
        <v>685.95222908664709</v>
      </c>
      <c r="I8" s="347">
        <f t="shared" si="2"/>
        <v>551.68208308664714</v>
      </c>
      <c r="J8" s="351">
        <f t="shared" si="2"/>
        <v>127.70399999999999</v>
      </c>
      <c r="K8" s="348">
        <f t="shared" si="2"/>
        <v>6.5661460000000034</v>
      </c>
      <c r="L8" s="350">
        <f t="shared" si="2"/>
        <v>7400.1225475385372</v>
      </c>
      <c r="M8" s="347">
        <f t="shared" si="2"/>
        <v>3092.2052611591994</v>
      </c>
      <c r="N8" s="347">
        <f t="shared" si="2"/>
        <v>7.7582254992000017</v>
      </c>
      <c r="O8" s="348">
        <f t="shared" si="2"/>
        <v>0</v>
      </c>
      <c r="P8" s="348">
        <f t="shared" si="2"/>
        <v>190.01618135555535</v>
      </c>
      <c r="Q8" s="348">
        <f t="shared" si="2"/>
        <v>360.35708069088003</v>
      </c>
      <c r="R8" s="348">
        <f t="shared" si="2"/>
        <v>1468.0708519300797</v>
      </c>
      <c r="S8" s="348">
        <f t="shared" si="2"/>
        <v>-895.87064706723163</v>
      </c>
      <c r="T8" s="348">
        <f t="shared" si="2"/>
        <v>123.72255052198433</v>
      </c>
      <c r="U8" s="348">
        <f t="shared" si="2"/>
        <v>2681.9542281981408</v>
      </c>
      <c r="V8" s="348">
        <f t="shared" si="2"/>
        <v>169.57766154671168</v>
      </c>
      <c r="W8" s="349">
        <f t="shared" si="2"/>
        <v>-29.252130973066301</v>
      </c>
      <c r="X8" s="349">
        <f t="shared" si="2"/>
        <v>195.36275312176252</v>
      </c>
      <c r="Y8" s="349">
        <f t="shared" si="2"/>
        <v>1.2096467108549098</v>
      </c>
      <c r="Z8" s="348">
        <f t="shared" si="2"/>
        <v>35.010884844467988</v>
      </c>
      <c r="AA8" s="350">
        <f t="shared" si="2"/>
        <v>4480.2572507256682</v>
      </c>
      <c r="AB8" s="352">
        <f t="shared" si="2"/>
        <v>1481.6042993098815</v>
      </c>
      <c r="AC8" s="347">
        <f t="shared" si="2"/>
        <v>59.691708987970003</v>
      </c>
      <c r="AD8" s="348">
        <f t="shared" si="2"/>
        <v>743.01992281532614</v>
      </c>
      <c r="AE8" s="348">
        <f t="shared" si="2"/>
        <v>273.04514180129252</v>
      </c>
      <c r="AF8" s="348">
        <f t="shared" si="2"/>
        <v>139.99992739520798</v>
      </c>
      <c r="AG8" s="348">
        <f t="shared" si="2"/>
        <v>33.531818868055431</v>
      </c>
      <c r="AH8" s="348">
        <f t="shared" si="2"/>
        <v>16.813132576534866</v>
      </c>
      <c r="AI8" s="348">
        <f t="shared" si="2"/>
        <v>128.62672037577602</v>
      </c>
      <c r="AJ8" s="348">
        <f t="shared" si="2"/>
        <v>27.916404744672001</v>
      </c>
      <c r="AK8" s="353">
        <f t="shared" si="2"/>
        <v>1.8899880806415161</v>
      </c>
      <c r="AL8" s="353">
        <f t="shared" si="2"/>
        <v>13.54608560366562</v>
      </c>
      <c r="AM8" s="347">
        <f t="shared" si="2"/>
        <v>43.523448060739646</v>
      </c>
      <c r="AN8" s="350">
        <f t="shared" si="2"/>
        <v>145.43710297949829</v>
      </c>
      <c r="AO8" s="350">
        <f t="shared" si="2"/>
        <v>-2.3847739799999772</v>
      </c>
      <c r="AP8" s="347">
        <f t="shared" si="2"/>
        <v>0</v>
      </c>
      <c r="AQ8" s="354">
        <f t="shared" si="0"/>
        <v>14978.040387890453</v>
      </c>
    </row>
    <row r="9" spans="1:43">
      <c r="A9" s="334" t="s">
        <v>200</v>
      </c>
      <c r="B9" s="335"/>
      <c r="C9" s="336">
        <f t="shared" ref="C9:AP9" si="3">SUM(C10:C14)</f>
        <v>489.13419536754503</v>
      </c>
      <c r="D9" s="341">
        <f t="shared" si="3"/>
        <v>489.13419536754503</v>
      </c>
      <c r="E9" s="338">
        <f t="shared" si="3"/>
        <v>0</v>
      </c>
      <c r="F9" s="355">
        <f t="shared" si="3"/>
        <v>0</v>
      </c>
      <c r="G9" s="355">
        <f t="shared" si="3"/>
        <v>0</v>
      </c>
      <c r="H9" s="339">
        <f t="shared" si="3"/>
        <v>541.02658367795425</v>
      </c>
      <c r="I9" s="341">
        <f t="shared" si="3"/>
        <v>541.02658367795425</v>
      </c>
      <c r="J9" s="340">
        <f t="shared" si="3"/>
        <v>0</v>
      </c>
      <c r="K9" s="338">
        <f t="shared" si="3"/>
        <v>0</v>
      </c>
      <c r="L9" s="339">
        <f t="shared" si="3"/>
        <v>3165.7216476484605</v>
      </c>
      <c r="M9" s="338">
        <f t="shared" si="3"/>
        <v>3092.2052611591994</v>
      </c>
      <c r="N9" s="338">
        <f t="shared" ref="N9" si="4">SUM(N10:N14)</f>
        <v>38.786602361842682</v>
      </c>
      <c r="O9" s="338">
        <f t="shared" si="3"/>
        <v>0</v>
      </c>
      <c r="P9" s="338">
        <f t="shared" si="3"/>
        <v>0</v>
      </c>
      <c r="Q9" s="338">
        <f t="shared" si="3"/>
        <v>0</v>
      </c>
      <c r="R9" s="338">
        <f t="shared" si="3"/>
        <v>0</v>
      </c>
      <c r="S9" s="338">
        <f t="shared" si="3"/>
        <v>25.868327226603597</v>
      </c>
      <c r="T9" s="338">
        <f t="shared" si="3"/>
        <v>0.63499472294399995</v>
      </c>
      <c r="U9" s="338">
        <f t="shared" si="3"/>
        <v>8.2264621778709284</v>
      </c>
      <c r="V9" s="338">
        <f t="shared" si="3"/>
        <v>0</v>
      </c>
      <c r="W9" s="355">
        <f t="shared" si="3"/>
        <v>0</v>
      </c>
      <c r="X9" s="355">
        <f t="shared" si="3"/>
        <v>0</v>
      </c>
      <c r="Y9" s="355">
        <f t="shared" si="3"/>
        <v>0</v>
      </c>
      <c r="Z9" s="338">
        <f t="shared" si="3"/>
        <v>0</v>
      </c>
      <c r="AA9" s="339">
        <f t="shared" si="3"/>
        <v>2501.2994242635782</v>
      </c>
      <c r="AB9" s="337">
        <f t="shared" si="3"/>
        <v>215.90352917717644</v>
      </c>
      <c r="AC9" s="356">
        <f t="shared" si="3"/>
        <v>0</v>
      </c>
      <c r="AD9" s="338">
        <f t="shared" si="3"/>
        <v>0</v>
      </c>
      <c r="AE9" s="338">
        <f t="shared" si="3"/>
        <v>76.028615684916531</v>
      </c>
      <c r="AF9" s="338">
        <f t="shared" ref="AF9" si="5">SUM(AF10:AF14)</f>
        <v>99.30702317107577</v>
      </c>
      <c r="AG9" s="338">
        <f t="shared" si="3"/>
        <v>33.531818868055431</v>
      </c>
      <c r="AH9" s="338">
        <f t="shared" si="3"/>
        <v>7.0360714531287174</v>
      </c>
      <c r="AI9" s="338">
        <f t="shared" si="3"/>
        <v>0</v>
      </c>
      <c r="AJ9" s="338">
        <f t="shared" ref="AJ9" si="6">SUM(AJ10:AJ14)</f>
        <v>0</v>
      </c>
      <c r="AK9" s="341">
        <f t="shared" si="3"/>
        <v>0</v>
      </c>
      <c r="AL9" s="341">
        <f t="shared" ref="AL9" si="7">SUM(AL10:AL14)</f>
        <v>0</v>
      </c>
      <c r="AM9" s="355">
        <f t="shared" si="3"/>
        <v>0</v>
      </c>
      <c r="AN9" s="339">
        <f t="shared" si="3"/>
        <v>90.714163374524205</v>
      </c>
      <c r="AO9" s="339">
        <f t="shared" si="3"/>
        <v>54.38453208</v>
      </c>
      <c r="AP9" s="337">
        <f t="shared" si="3"/>
        <v>0</v>
      </c>
      <c r="AQ9" s="357">
        <f t="shared" si="0"/>
        <v>7058.184075589239</v>
      </c>
    </row>
    <row r="10" spans="1:43">
      <c r="A10" s="358" t="s">
        <v>606</v>
      </c>
      <c r="B10" s="359"/>
      <c r="C10" s="360">
        <f>SUM(D10:G10)</f>
        <v>489.13419536754503</v>
      </c>
      <c r="D10" s="361">
        <v>489.13419536754503</v>
      </c>
      <c r="E10" s="362"/>
      <c r="F10" s="363"/>
      <c r="G10" s="363"/>
      <c r="H10" s="364">
        <f>SUM(I10:K10)</f>
        <v>467.10845991760607</v>
      </c>
      <c r="I10" s="361">
        <v>467.10845991760607</v>
      </c>
      <c r="J10" s="365">
        <v>0</v>
      </c>
      <c r="K10" s="362"/>
      <c r="L10" s="364">
        <f>SUM(M10:Z10)</f>
        <v>34.094789404474525</v>
      </c>
      <c r="M10" s="362"/>
      <c r="N10" s="362"/>
      <c r="O10" s="362"/>
      <c r="P10" s="362"/>
      <c r="Q10" s="362"/>
      <c r="R10" s="362"/>
      <c r="S10" s="362">
        <v>25.868327226603597</v>
      </c>
      <c r="T10" s="362"/>
      <c r="U10" s="362">
        <v>8.2264621778709284</v>
      </c>
      <c r="V10" s="362"/>
      <c r="W10" s="363"/>
      <c r="X10" s="363"/>
      <c r="Y10" s="363"/>
      <c r="Z10" s="362"/>
      <c r="AA10" s="364">
        <v>2187.6033883210698</v>
      </c>
      <c r="AB10" s="366">
        <f>SUM(AC10:AM10)</f>
        <v>205.30590173319058</v>
      </c>
      <c r="AC10" s="367"/>
      <c r="AD10" s="362"/>
      <c r="AE10" s="362">
        <v>72.467059694059387</v>
      </c>
      <c r="AF10" s="362">
        <v>99.30702317107577</v>
      </c>
      <c r="AG10" s="362">
        <v>33.531818868055431</v>
      </c>
      <c r="AH10" s="362"/>
      <c r="AI10" s="362"/>
      <c r="AJ10" s="362"/>
      <c r="AK10" s="361"/>
      <c r="AL10" s="361"/>
      <c r="AM10" s="363"/>
      <c r="AN10" s="368">
        <v>90.714163374524205</v>
      </c>
      <c r="AO10" s="364"/>
      <c r="AP10" s="366"/>
      <c r="AQ10" s="369">
        <f t="shared" si="0"/>
        <v>3473.9608981184101</v>
      </c>
    </row>
    <row r="11" spans="1:43">
      <c r="A11" s="307" t="s">
        <v>607</v>
      </c>
      <c r="B11" s="308"/>
      <c r="C11" s="309">
        <f>SUM(D11:G11)</f>
        <v>0</v>
      </c>
      <c r="D11" s="314">
        <v>0</v>
      </c>
      <c r="E11" s="316"/>
      <c r="F11" s="312"/>
      <c r="G11" s="312"/>
      <c r="H11" s="313">
        <f>SUM(I11:K11)</f>
        <v>5.8425469182429177</v>
      </c>
      <c r="I11" s="314">
        <v>5.8425469182429177</v>
      </c>
      <c r="J11" s="315"/>
      <c r="K11" s="316"/>
      <c r="L11" s="313">
        <f>SUM(M11:Z11)</f>
        <v>0.63499472294399995</v>
      </c>
      <c r="M11" s="316"/>
      <c r="N11" s="370"/>
      <c r="O11" s="370">
        <v>0</v>
      </c>
      <c r="P11" s="316"/>
      <c r="Q11" s="316"/>
      <c r="R11" s="316"/>
      <c r="S11" s="316">
        <v>0</v>
      </c>
      <c r="T11" s="316">
        <v>0.63499472294399995</v>
      </c>
      <c r="U11" s="316">
        <v>0</v>
      </c>
      <c r="V11" s="316"/>
      <c r="W11" s="312"/>
      <c r="X11" s="312"/>
      <c r="Y11" s="312"/>
      <c r="Z11" s="316"/>
      <c r="AA11" s="313">
        <v>272.96145103491432</v>
      </c>
      <c r="AB11" s="317">
        <f>SUM(AC11:AM11)</f>
        <v>10.597627443985861</v>
      </c>
      <c r="AC11" s="318"/>
      <c r="AD11" s="316"/>
      <c r="AE11" s="316">
        <v>3.5615559908571428</v>
      </c>
      <c r="AF11" s="316"/>
      <c r="AG11" s="316"/>
      <c r="AH11" s="316">
        <v>7.0360714531287174</v>
      </c>
      <c r="AI11" s="316"/>
      <c r="AJ11" s="316"/>
      <c r="AK11" s="314"/>
      <c r="AL11" s="314"/>
      <c r="AM11" s="312"/>
      <c r="AN11" s="319"/>
      <c r="AO11" s="319"/>
      <c r="AP11" s="317"/>
      <c r="AQ11" s="320">
        <f t="shared" si="0"/>
        <v>290.03662012008709</v>
      </c>
    </row>
    <row r="12" spans="1:43">
      <c r="A12" s="307" t="s">
        <v>608</v>
      </c>
      <c r="B12" s="308"/>
      <c r="C12" s="309"/>
      <c r="D12" s="314"/>
      <c r="E12" s="316"/>
      <c r="F12" s="312"/>
      <c r="G12" s="312"/>
      <c r="H12" s="313"/>
      <c r="I12" s="314"/>
      <c r="J12" s="315"/>
      <c r="K12" s="316"/>
      <c r="L12" s="313"/>
      <c r="M12" s="316"/>
      <c r="N12" s="370"/>
      <c r="O12" s="370"/>
      <c r="P12" s="316"/>
      <c r="Q12" s="316"/>
      <c r="R12" s="316"/>
      <c r="S12" s="316"/>
      <c r="T12" s="316"/>
      <c r="U12" s="316"/>
      <c r="V12" s="316"/>
      <c r="W12" s="312"/>
      <c r="X12" s="312"/>
      <c r="Y12" s="312"/>
      <c r="Z12" s="316"/>
      <c r="AA12" s="313"/>
      <c r="AB12" s="317"/>
      <c r="AC12" s="318"/>
      <c r="AD12" s="316"/>
      <c r="AE12" s="316"/>
      <c r="AF12" s="316"/>
      <c r="AG12" s="316"/>
      <c r="AH12" s="316"/>
      <c r="AI12" s="316"/>
      <c r="AJ12" s="316"/>
      <c r="AK12" s="314"/>
      <c r="AL12" s="314"/>
      <c r="AM12" s="312"/>
      <c r="AN12" s="319"/>
      <c r="AO12" s="319">
        <v>42.942060079999997</v>
      </c>
      <c r="AP12" s="317"/>
      <c r="AQ12" s="320">
        <f t="shared" si="0"/>
        <v>42.942060079999997</v>
      </c>
    </row>
    <row r="13" spans="1:43">
      <c r="A13" s="307" t="s">
        <v>609</v>
      </c>
      <c r="B13" s="308"/>
      <c r="C13" s="309">
        <f>SUM(D13:G13)</f>
        <v>0</v>
      </c>
      <c r="D13" s="314"/>
      <c r="E13" s="312"/>
      <c r="F13" s="312"/>
      <c r="G13" s="312"/>
      <c r="H13" s="313">
        <f>SUM(I13:K13)</f>
        <v>68.075576842105264</v>
      </c>
      <c r="I13" s="314">
        <v>68.075576842105264</v>
      </c>
      <c r="J13" s="315"/>
      <c r="K13" s="316"/>
      <c r="L13" s="313">
        <f>SUM(M13:Z13)</f>
        <v>0</v>
      </c>
      <c r="M13" s="316"/>
      <c r="N13" s="316"/>
      <c r="O13" s="316"/>
      <c r="P13" s="316"/>
      <c r="Q13" s="316"/>
      <c r="R13" s="316"/>
      <c r="S13" s="316"/>
      <c r="T13" s="316"/>
      <c r="U13" s="316"/>
      <c r="V13" s="316"/>
      <c r="W13" s="312"/>
      <c r="X13" s="312"/>
      <c r="Y13" s="312"/>
      <c r="Z13" s="316"/>
      <c r="AA13" s="313"/>
      <c r="AB13" s="317">
        <f>SUM(AC13:AM13)</f>
        <v>0</v>
      </c>
      <c r="AC13" s="318"/>
      <c r="AD13" s="316"/>
      <c r="AE13" s="316"/>
      <c r="AF13" s="316"/>
      <c r="AG13" s="316"/>
      <c r="AH13" s="316"/>
      <c r="AI13" s="316"/>
      <c r="AJ13" s="316"/>
      <c r="AK13" s="314"/>
      <c r="AL13" s="314"/>
      <c r="AM13" s="312"/>
      <c r="AN13" s="319"/>
      <c r="AO13" s="319"/>
      <c r="AP13" s="317"/>
      <c r="AQ13" s="320">
        <f t="shared" si="0"/>
        <v>68.075576842105264</v>
      </c>
    </row>
    <row r="14" spans="1:43">
      <c r="A14" s="371" t="s">
        <v>610</v>
      </c>
      <c r="B14" s="372"/>
      <c r="C14" s="373">
        <f>SUM(D14:G14)</f>
        <v>0</v>
      </c>
      <c r="D14" s="374"/>
      <c r="E14" s="375"/>
      <c r="F14" s="376"/>
      <c r="G14" s="376"/>
      <c r="H14" s="377">
        <f>SUM(I14:K14)</f>
        <v>0</v>
      </c>
      <c r="I14" s="374"/>
      <c r="J14" s="378"/>
      <c r="K14" s="375"/>
      <c r="L14" s="377">
        <f>SUM(M14:Z14)</f>
        <v>3130.991863521042</v>
      </c>
      <c r="M14" s="375">
        <v>3092.2052611591994</v>
      </c>
      <c r="N14" s="375">
        <v>38.786602361842682</v>
      </c>
      <c r="O14" s="375"/>
      <c r="P14" s="375"/>
      <c r="Q14" s="375"/>
      <c r="R14" s="375"/>
      <c r="S14" s="375"/>
      <c r="T14" s="375"/>
      <c r="U14" s="375"/>
      <c r="V14" s="375"/>
      <c r="W14" s="376"/>
      <c r="X14" s="376"/>
      <c r="Y14" s="376"/>
      <c r="Z14" s="375"/>
      <c r="AA14" s="377">
        <v>40.734584907594211</v>
      </c>
      <c r="AB14" s="379">
        <f>SUM(AC14:AM14)</f>
        <v>0</v>
      </c>
      <c r="AC14" s="380"/>
      <c r="AD14" s="375"/>
      <c r="AE14" s="375"/>
      <c r="AF14" s="375"/>
      <c r="AG14" s="375"/>
      <c r="AH14" s="375"/>
      <c r="AI14" s="375"/>
      <c r="AJ14" s="375"/>
      <c r="AK14" s="374"/>
      <c r="AL14" s="374"/>
      <c r="AM14" s="376"/>
      <c r="AN14" s="381"/>
      <c r="AO14" s="381">
        <v>11.442471999999999</v>
      </c>
      <c r="AP14" s="379"/>
      <c r="AQ14" s="382">
        <f t="shared" si="0"/>
        <v>3183.1689204286363</v>
      </c>
    </row>
    <row r="15" spans="1:43">
      <c r="A15" s="383" t="s">
        <v>201</v>
      </c>
      <c r="B15" s="384"/>
      <c r="C15" s="385">
        <f t="shared" ref="C15:AP15" si="8">SUM(C16:C20)</f>
        <v>0</v>
      </c>
      <c r="D15" s="386">
        <f t="shared" si="8"/>
        <v>0</v>
      </c>
      <c r="E15" s="387">
        <f t="shared" si="8"/>
        <v>0</v>
      </c>
      <c r="F15" s="388">
        <f t="shared" si="8"/>
        <v>0</v>
      </c>
      <c r="G15" s="388">
        <f t="shared" si="8"/>
        <v>0</v>
      </c>
      <c r="H15" s="389">
        <f t="shared" si="8"/>
        <v>64.671797999999995</v>
      </c>
      <c r="I15" s="386">
        <f t="shared" si="8"/>
        <v>0</v>
      </c>
      <c r="J15" s="390">
        <f t="shared" si="8"/>
        <v>0</v>
      </c>
      <c r="K15" s="387">
        <f t="shared" si="8"/>
        <v>64.671797999999995</v>
      </c>
      <c r="L15" s="389">
        <f t="shared" si="8"/>
        <v>3166.7858692089685</v>
      </c>
      <c r="M15" s="387">
        <f t="shared" si="8"/>
        <v>0</v>
      </c>
      <c r="N15" s="387">
        <f t="shared" si="8"/>
        <v>0</v>
      </c>
      <c r="O15" s="387">
        <f t="shared" si="8"/>
        <v>90.017983923640699</v>
      </c>
      <c r="P15" s="387">
        <f t="shared" si="8"/>
        <v>640.53679657777786</v>
      </c>
      <c r="Q15" s="387">
        <f t="shared" si="8"/>
        <v>226.77459106847999</v>
      </c>
      <c r="R15" s="387">
        <f t="shared" si="8"/>
        <v>0</v>
      </c>
      <c r="S15" s="387">
        <f t="shared" si="8"/>
        <v>960.95017928079096</v>
      </c>
      <c r="T15" s="387">
        <f t="shared" si="8"/>
        <v>64.797462901984332</v>
      </c>
      <c r="U15" s="387">
        <f t="shared" si="8"/>
        <v>1146.9502117491124</v>
      </c>
      <c r="V15" s="387">
        <f t="shared" si="8"/>
        <v>0</v>
      </c>
      <c r="W15" s="388">
        <f t="shared" si="8"/>
        <v>36.758643707182323</v>
      </c>
      <c r="X15" s="388">
        <f t="shared" si="8"/>
        <v>0</v>
      </c>
      <c r="Y15" s="388">
        <f t="shared" si="8"/>
        <v>0</v>
      </c>
      <c r="Z15" s="387">
        <f t="shared" si="8"/>
        <v>0</v>
      </c>
      <c r="AA15" s="389">
        <f t="shared" si="8"/>
        <v>0</v>
      </c>
      <c r="AB15" s="391">
        <f t="shared" si="8"/>
        <v>0</v>
      </c>
      <c r="AC15" s="392">
        <f t="shared" si="8"/>
        <v>0</v>
      </c>
      <c r="AD15" s="387">
        <f t="shared" si="8"/>
        <v>0</v>
      </c>
      <c r="AE15" s="387">
        <f t="shared" si="8"/>
        <v>0</v>
      </c>
      <c r="AF15" s="387">
        <f t="shared" si="8"/>
        <v>0</v>
      </c>
      <c r="AG15" s="393">
        <f t="shared" si="8"/>
        <v>0</v>
      </c>
      <c r="AH15" s="393">
        <f t="shared" si="8"/>
        <v>0</v>
      </c>
      <c r="AI15" s="393">
        <f t="shared" si="8"/>
        <v>0</v>
      </c>
      <c r="AJ15" s="393">
        <f t="shared" si="8"/>
        <v>0</v>
      </c>
      <c r="AK15" s="386">
        <f t="shared" si="8"/>
        <v>0</v>
      </c>
      <c r="AL15" s="386">
        <f t="shared" si="8"/>
        <v>0</v>
      </c>
      <c r="AM15" s="388">
        <f t="shared" si="8"/>
        <v>0</v>
      </c>
      <c r="AN15" s="389">
        <f t="shared" si="8"/>
        <v>0</v>
      </c>
      <c r="AO15" s="389">
        <f t="shared" si="8"/>
        <v>1873.361490524092</v>
      </c>
      <c r="AP15" s="391">
        <f t="shared" si="8"/>
        <v>0</v>
      </c>
      <c r="AQ15" s="394">
        <f t="shared" si="0"/>
        <v>5104.8191577330599</v>
      </c>
    </row>
    <row r="16" spans="1:43">
      <c r="A16" s="358" t="s">
        <v>611</v>
      </c>
      <c r="B16" s="359"/>
      <c r="C16" s="360">
        <f>SUM(D16:G16)</f>
        <v>0</v>
      </c>
      <c r="D16" s="361"/>
      <c r="E16" s="362"/>
      <c r="F16" s="363"/>
      <c r="G16" s="363"/>
      <c r="H16" s="364">
        <f>SUM(I16:K16)</f>
        <v>0</v>
      </c>
      <c r="I16" s="361"/>
      <c r="J16" s="362"/>
      <c r="K16" s="362"/>
      <c r="L16" s="364">
        <f>SUM(M16:Z16)</f>
        <v>0</v>
      </c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3"/>
      <c r="X16" s="363"/>
      <c r="Y16" s="363"/>
      <c r="Z16" s="362"/>
      <c r="AA16" s="364"/>
      <c r="AB16" s="366">
        <f>SUM(AC16:AL16)</f>
        <v>0</v>
      </c>
      <c r="AC16" s="367"/>
      <c r="AD16" s="362"/>
      <c r="AE16" s="362"/>
      <c r="AF16" s="362"/>
      <c r="AG16" s="370"/>
      <c r="AH16" s="370"/>
      <c r="AI16" s="370"/>
      <c r="AJ16" s="370"/>
      <c r="AK16" s="361"/>
      <c r="AL16" s="361"/>
      <c r="AM16" s="363"/>
      <c r="AN16" s="368"/>
      <c r="AO16" s="368">
        <v>1667.7865923774164</v>
      </c>
      <c r="AP16" s="366"/>
      <c r="AQ16" s="395">
        <f>C16+H16+L16+AA16+AO16+AP16</f>
        <v>1667.7865923774164</v>
      </c>
    </row>
    <row r="17" spans="1:43">
      <c r="A17" s="307" t="s">
        <v>612</v>
      </c>
      <c r="B17" s="308"/>
      <c r="C17" s="309">
        <f>SUM(D17:G17)</f>
        <v>0</v>
      </c>
      <c r="D17" s="314"/>
      <c r="E17" s="316"/>
      <c r="F17" s="312"/>
      <c r="G17" s="312"/>
      <c r="H17" s="313">
        <f>SUM(I17:K17)</f>
        <v>0</v>
      </c>
      <c r="I17" s="314"/>
      <c r="J17" s="316"/>
      <c r="K17" s="316"/>
      <c r="L17" s="313">
        <f>SUM(M17:Z17)</f>
        <v>0</v>
      </c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2"/>
      <c r="X17" s="312"/>
      <c r="Y17" s="312"/>
      <c r="Z17" s="316"/>
      <c r="AA17" s="313"/>
      <c r="AB17" s="317">
        <f>SUM(AC17:AL17)</f>
        <v>0</v>
      </c>
      <c r="AC17" s="318"/>
      <c r="AD17" s="316"/>
      <c r="AE17" s="316"/>
      <c r="AF17" s="316"/>
      <c r="AG17" s="316"/>
      <c r="AH17" s="316"/>
      <c r="AI17" s="316"/>
      <c r="AJ17" s="316"/>
      <c r="AK17" s="314"/>
      <c r="AL17" s="314"/>
      <c r="AM17" s="312"/>
      <c r="AN17" s="319"/>
      <c r="AO17" s="396">
        <v>185.14395873624346</v>
      </c>
      <c r="AP17" s="317"/>
      <c r="AQ17" s="320">
        <f>C17+H17+L17+AA17+AO17+AP17</f>
        <v>185.14395873624346</v>
      </c>
    </row>
    <row r="18" spans="1:43">
      <c r="A18" s="307" t="s">
        <v>613</v>
      </c>
      <c r="B18" s="308"/>
      <c r="C18" s="309"/>
      <c r="D18" s="314"/>
      <c r="E18" s="316"/>
      <c r="F18" s="312"/>
      <c r="G18" s="312"/>
      <c r="H18" s="313"/>
      <c r="I18" s="314"/>
      <c r="J18" s="316"/>
      <c r="K18" s="316"/>
      <c r="L18" s="313"/>
      <c r="M18" s="316"/>
      <c r="N18" s="316"/>
      <c r="O18" s="316"/>
      <c r="P18" s="316"/>
      <c r="Q18" s="316"/>
      <c r="R18" s="316"/>
      <c r="S18" s="316"/>
      <c r="T18" s="316"/>
      <c r="U18" s="316"/>
      <c r="V18" s="316"/>
      <c r="W18" s="312"/>
      <c r="X18" s="312"/>
      <c r="Y18" s="312"/>
      <c r="Z18" s="316"/>
      <c r="AA18" s="313"/>
      <c r="AB18" s="317"/>
      <c r="AC18" s="318"/>
      <c r="AD18" s="316"/>
      <c r="AE18" s="316"/>
      <c r="AF18" s="316"/>
      <c r="AG18" s="316"/>
      <c r="AH18" s="316"/>
      <c r="AI18" s="316"/>
      <c r="AJ18" s="316"/>
      <c r="AK18" s="314"/>
      <c r="AL18" s="314"/>
      <c r="AM18" s="312"/>
      <c r="AN18" s="319"/>
      <c r="AO18" s="319">
        <v>20.430939410432</v>
      </c>
      <c r="AP18" s="317"/>
      <c r="AQ18" s="320">
        <f t="shared" si="0"/>
        <v>20.430939410432</v>
      </c>
    </row>
    <row r="19" spans="1:43">
      <c r="A19" s="307" t="s">
        <v>614</v>
      </c>
      <c r="B19" s="308"/>
      <c r="C19" s="309"/>
      <c r="D19" s="131"/>
      <c r="E19" s="316"/>
      <c r="F19" s="312"/>
      <c r="G19" s="312"/>
      <c r="H19" s="313">
        <f>SUM(I19:K19)</f>
        <v>64.671797999999995</v>
      </c>
      <c r="I19" s="314"/>
      <c r="J19" s="316"/>
      <c r="K19" s="316">
        <v>64.671797999999995</v>
      </c>
      <c r="L19" s="313">
        <f>SUM(M19:Z19)</f>
        <v>0</v>
      </c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2"/>
      <c r="X19" s="312"/>
      <c r="Y19" s="312"/>
      <c r="Z19" s="316"/>
      <c r="AA19" s="313"/>
      <c r="AB19" s="317">
        <f>SUM(AC19:AL19)</f>
        <v>0</v>
      </c>
      <c r="AC19" s="318"/>
      <c r="AD19" s="316"/>
      <c r="AE19" s="316"/>
      <c r="AF19" s="316"/>
      <c r="AG19" s="316"/>
      <c r="AH19" s="316"/>
      <c r="AI19" s="316"/>
      <c r="AJ19" s="316"/>
      <c r="AK19" s="314"/>
      <c r="AL19" s="314"/>
      <c r="AM19" s="312"/>
      <c r="AN19" s="319"/>
      <c r="AO19" s="319"/>
      <c r="AP19" s="317"/>
      <c r="AQ19" s="320">
        <f t="shared" si="0"/>
        <v>64.671797999999995</v>
      </c>
    </row>
    <row r="20" spans="1:43">
      <c r="A20" s="371" t="s">
        <v>615</v>
      </c>
      <c r="B20" s="372"/>
      <c r="C20" s="373"/>
      <c r="D20" s="374"/>
      <c r="E20" s="375"/>
      <c r="F20" s="376"/>
      <c r="G20" s="376"/>
      <c r="H20" s="377">
        <f>SUM(I20:K20)</f>
        <v>0</v>
      </c>
      <c r="I20" s="374"/>
      <c r="J20" s="375"/>
      <c r="K20" s="375"/>
      <c r="L20" s="377">
        <f>SUM(M20:Z20)</f>
        <v>3166.7858692089685</v>
      </c>
      <c r="M20" s="375"/>
      <c r="N20" s="375"/>
      <c r="O20" s="375">
        <v>90.017983923640699</v>
      </c>
      <c r="P20" s="375">
        <v>640.53679657777786</v>
      </c>
      <c r="Q20" s="375">
        <v>226.77459106847999</v>
      </c>
      <c r="R20" s="375">
        <v>0</v>
      </c>
      <c r="S20" s="375">
        <v>960.95017928079096</v>
      </c>
      <c r="T20" s="375">
        <v>64.797462901984332</v>
      </c>
      <c r="U20" s="375">
        <v>1146.9502117491124</v>
      </c>
      <c r="V20" s="375"/>
      <c r="W20" s="376">
        <v>36.758643707182323</v>
      </c>
      <c r="X20" s="376"/>
      <c r="Y20" s="376"/>
      <c r="Z20" s="375"/>
      <c r="AA20" s="377"/>
      <c r="AB20" s="379">
        <f>SUM(AC20:AL20)</f>
        <v>0</v>
      </c>
      <c r="AC20" s="380"/>
      <c r="AD20" s="375"/>
      <c r="AE20" s="375"/>
      <c r="AF20" s="375"/>
      <c r="AG20" s="375"/>
      <c r="AH20" s="375"/>
      <c r="AI20" s="375"/>
      <c r="AJ20" s="375"/>
      <c r="AK20" s="374"/>
      <c r="AL20" s="374"/>
      <c r="AM20" s="376"/>
      <c r="AN20" s="381"/>
      <c r="AO20" s="381"/>
      <c r="AP20" s="379"/>
      <c r="AQ20" s="382">
        <f t="shared" si="0"/>
        <v>3166.7858692089685</v>
      </c>
    </row>
    <row r="21" spans="1:43">
      <c r="A21" s="397" t="s">
        <v>202</v>
      </c>
      <c r="B21" s="398"/>
      <c r="C21" s="399">
        <f>SUM(C22:C24)</f>
        <v>22.240061570656763</v>
      </c>
      <c r="D21" s="400">
        <f>SUM(D22:D24)</f>
        <v>-17.141361188350004</v>
      </c>
      <c r="E21" s="401">
        <f>SUM(E22:E24)</f>
        <v>39.381422759006767</v>
      </c>
      <c r="F21" s="402">
        <f>SUM(F22:F24)</f>
        <v>0</v>
      </c>
      <c r="G21" s="402">
        <f>SUM(G22:G24)</f>
        <v>0</v>
      </c>
      <c r="H21" s="403">
        <f>SUM(I21:K21)</f>
        <v>0</v>
      </c>
      <c r="I21" s="400">
        <f>SUM(I22:I24)</f>
        <v>0</v>
      </c>
      <c r="J21" s="401">
        <f>SUM(J22:J24)</f>
        <v>0</v>
      </c>
      <c r="K21" s="401">
        <f>SUM(K22:K24)</f>
        <v>0</v>
      </c>
      <c r="L21" s="403">
        <f>SUM(M21:Z21)</f>
        <v>-24.684016341344112</v>
      </c>
      <c r="M21" s="401">
        <f t="shared" ref="M21:AQ21" si="9">SUM(M22:M24)</f>
        <v>0</v>
      </c>
      <c r="N21" s="401">
        <f t="shared" si="9"/>
        <v>30.880435114089789</v>
      </c>
      <c r="O21" s="401">
        <f t="shared" si="9"/>
        <v>0</v>
      </c>
      <c r="P21" s="401">
        <f t="shared" si="9"/>
        <v>-31.331710700000009</v>
      </c>
      <c r="Q21" s="401">
        <f t="shared" si="9"/>
        <v>361.91080481920005</v>
      </c>
      <c r="R21" s="401">
        <f t="shared" si="9"/>
        <v>-361.12225342559998</v>
      </c>
      <c r="S21" s="401">
        <f t="shared" si="9"/>
        <v>-0.17168420677966101</v>
      </c>
      <c r="T21" s="401">
        <f t="shared" si="9"/>
        <v>0</v>
      </c>
      <c r="U21" s="401">
        <f t="shared" si="9"/>
        <v>-2.6095463715975598</v>
      </c>
      <c r="V21" s="401">
        <f t="shared" si="9"/>
        <v>-22.240061570656767</v>
      </c>
      <c r="W21" s="402">
        <f t="shared" si="9"/>
        <v>0</v>
      </c>
      <c r="X21" s="402">
        <f t="shared" si="9"/>
        <v>0</v>
      </c>
      <c r="Y21" s="402">
        <f t="shared" si="9"/>
        <v>0</v>
      </c>
      <c r="Z21" s="401">
        <f t="shared" si="9"/>
        <v>0</v>
      </c>
      <c r="AA21" s="403">
        <f t="shared" si="9"/>
        <v>0</v>
      </c>
      <c r="AB21" s="404">
        <f t="shared" si="9"/>
        <v>-804.60161988393759</v>
      </c>
      <c r="AC21" s="405">
        <f t="shared" si="9"/>
        <v>-59.691708987970003</v>
      </c>
      <c r="AD21" s="401">
        <f t="shared" si="9"/>
        <v>-743.01992281532614</v>
      </c>
      <c r="AE21" s="401">
        <f t="shared" si="9"/>
        <v>0</v>
      </c>
      <c r="AF21" s="401">
        <f t="shared" si="9"/>
        <v>0</v>
      </c>
      <c r="AG21" s="406">
        <f t="shared" si="9"/>
        <v>0</v>
      </c>
      <c r="AH21" s="406">
        <f t="shared" si="9"/>
        <v>0</v>
      </c>
      <c r="AI21" s="406">
        <f t="shared" si="9"/>
        <v>0</v>
      </c>
      <c r="AJ21" s="406">
        <f t="shared" si="9"/>
        <v>0</v>
      </c>
      <c r="AK21" s="400">
        <f t="shared" si="9"/>
        <v>-1.8899880806415161</v>
      </c>
      <c r="AL21" s="406">
        <f t="shared" si="9"/>
        <v>0</v>
      </c>
      <c r="AM21" s="402">
        <f t="shared" si="9"/>
        <v>0</v>
      </c>
      <c r="AN21" s="407">
        <f t="shared" si="9"/>
        <v>0</v>
      </c>
      <c r="AO21" s="403">
        <f t="shared" si="9"/>
        <v>804.60161988393759</v>
      </c>
      <c r="AP21" s="404">
        <f t="shared" si="9"/>
        <v>0</v>
      </c>
      <c r="AQ21" s="408">
        <f t="shared" si="9"/>
        <v>-2.4439547706873483</v>
      </c>
    </row>
    <row r="22" spans="1:43">
      <c r="A22" s="358" t="s">
        <v>616</v>
      </c>
      <c r="B22" s="359"/>
      <c r="C22" s="409"/>
      <c r="D22" s="410"/>
      <c r="E22" s="411"/>
      <c r="F22" s="363"/>
      <c r="G22" s="363"/>
      <c r="H22" s="364"/>
      <c r="I22" s="412"/>
      <c r="J22" s="362"/>
      <c r="K22" s="362"/>
      <c r="L22" s="364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3"/>
      <c r="X22" s="363"/>
      <c r="Y22" s="363"/>
      <c r="Z22" s="362"/>
      <c r="AA22" s="364"/>
      <c r="AB22" s="366">
        <f>SUM(AC22:AM22)</f>
        <v>-804.60161988393759</v>
      </c>
      <c r="AC22" s="367">
        <f>-AC2</f>
        <v>-59.691708987970003</v>
      </c>
      <c r="AD22" s="362">
        <f>-AD2</f>
        <v>-743.01992281532614</v>
      </c>
      <c r="AE22" s="362"/>
      <c r="AF22" s="362"/>
      <c r="AG22" s="370"/>
      <c r="AH22" s="370"/>
      <c r="AI22" s="370"/>
      <c r="AJ22" s="370"/>
      <c r="AK22" s="361">
        <v>-1.8899880806415161</v>
      </c>
      <c r="AL22" s="370"/>
      <c r="AM22" s="363"/>
      <c r="AN22" s="368"/>
      <c r="AO22" s="364">
        <f>-(C22+H22+L22+AA22+AB22)</f>
        <v>804.60161988393759</v>
      </c>
      <c r="AP22" s="366"/>
      <c r="AQ22" s="395">
        <f>C22+H22+L22+AA22+AB22+AN22+AO22+AP22</f>
        <v>0</v>
      </c>
    </row>
    <row r="23" spans="1:43">
      <c r="A23" s="413" t="s">
        <v>617</v>
      </c>
      <c r="B23" s="384"/>
      <c r="C23" s="414"/>
      <c r="D23" s="415"/>
      <c r="E23" s="387"/>
      <c r="F23" s="416"/>
      <c r="G23" s="416"/>
      <c r="H23" s="389"/>
      <c r="I23" s="417"/>
      <c r="J23" s="418"/>
      <c r="K23" s="418"/>
      <c r="L23" s="389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6"/>
      <c r="X23" s="416"/>
      <c r="Y23" s="416"/>
      <c r="Z23" s="418"/>
      <c r="AA23" s="389"/>
      <c r="AB23" s="391"/>
      <c r="AC23" s="419"/>
      <c r="AD23" s="418"/>
      <c r="AE23" s="418"/>
      <c r="AF23" s="418"/>
      <c r="AG23" s="418"/>
      <c r="AH23" s="418"/>
      <c r="AI23" s="418"/>
      <c r="AJ23" s="418"/>
      <c r="AK23" s="420"/>
      <c r="AL23" s="420"/>
      <c r="AM23" s="416"/>
      <c r="AN23" s="421"/>
      <c r="AO23" s="389"/>
      <c r="AP23" s="391"/>
      <c r="AQ23" s="422">
        <f>C23+H23+L23+AA23+AB23+AN23+AO23+AP23</f>
        <v>0</v>
      </c>
    </row>
    <row r="24" spans="1:43" ht="13.5" thickBot="1">
      <c r="A24" s="322" t="s">
        <v>618</v>
      </c>
      <c r="B24" s="323"/>
      <c r="C24" s="423">
        <f>SUM(D24:G24)</f>
        <v>22.240061570656763</v>
      </c>
      <c r="D24" s="424">
        <v>-17.141361188350004</v>
      </c>
      <c r="E24" s="331">
        <f>-D24-V24</f>
        <v>39.381422759006767</v>
      </c>
      <c r="F24" s="325"/>
      <c r="G24" s="325"/>
      <c r="H24" s="326"/>
      <c r="I24" s="425"/>
      <c r="J24" s="331"/>
      <c r="K24" s="331"/>
      <c r="L24" s="326">
        <f>SUM(N24:Z24)</f>
        <v>-24.684016341344112</v>
      </c>
      <c r="M24" s="331"/>
      <c r="N24" s="331">
        <v>30.880435114089789</v>
      </c>
      <c r="O24" s="331"/>
      <c r="P24" s="331">
        <v>-31.331710700000009</v>
      </c>
      <c r="Q24" s="331">
        <v>361.91080481920005</v>
      </c>
      <c r="R24" s="331">
        <v>-361.12225342559998</v>
      </c>
      <c r="S24" s="331">
        <v>-0.17168420677966101</v>
      </c>
      <c r="T24" s="331"/>
      <c r="U24" s="331">
        <v>-2.6095463715975598</v>
      </c>
      <c r="V24" s="325">
        <v>-22.240061570656767</v>
      </c>
      <c r="W24" s="325">
        <v>0</v>
      </c>
      <c r="X24" s="325"/>
      <c r="Y24" s="325"/>
      <c r="Z24" s="331"/>
      <c r="AA24" s="326"/>
      <c r="AB24" s="326">
        <f>SUM(AC24:AM24)</f>
        <v>0</v>
      </c>
      <c r="AC24" s="330"/>
      <c r="AD24" s="331"/>
      <c r="AE24" s="331"/>
      <c r="AF24" s="331"/>
      <c r="AG24" s="331"/>
      <c r="AH24" s="331"/>
      <c r="AI24" s="331"/>
      <c r="AJ24" s="331"/>
      <c r="AK24" s="327"/>
      <c r="AL24" s="327"/>
      <c r="AM24" s="325"/>
      <c r="AN24" s="332"/>
      <c r="AO24" s="326"/>
      <c r="AP24" s="329"/>
      <c r="AQ24" s="333">
        <f>C24+H24+L24+AA24+AB24+AN24+AO24+AP24</f>
        <v>-2.4439547706873483</v>
      </c>
    </row>
    <row r="25" spans="1:43" ht="13.5" thickBot="1">
      <c r="A25" s="383" t="s">
        <v>205</v>
      </c>
      <c r="B25" s="384"/>
      <c r="C25" s="385">
        <f>SUM(D25:G25)</f>
        <v>0</v>
      </c>
      <c r="D25" s="386"/>
      <c r="E25" s="387"/>
      <c r="F25" s="416"/>
      <c r="G25" s="416"/>
      <c r="H25" s="389">
        <f>SUM(I25:K25)</f>
        <v>10.28324833984202</v>
      </c>
      <c r="I25" s="416">
        <v>10.28324833984202</v>
      </c>
      <c r="J25" s="426"/>
      <c r="K25" s="418"/>
      <c r="L25" s="389">
        <f>SUM(O25:Z25)</f>
        <v>98.284657617035819</v>
      </c>
      <c r="M25" s="418"/>
      <c r="N25" s="418"/>
      <c r="O25" s="418">
        <v>95.274692021714102</v>
      </c>
      <c r="P25" s="418"/>
      <c r="Q25" s="418"/>
      <c r="R25" s="418"/>
      <c r="S25" s="418">
        <v>0</v>
      </c>
      <c r="T25" s="418">
        <v>4.1693256233877908E-3</v>
      </c>
      <c r="U25" s="418">
        <v>3.0057962696983291</v>
      </c>
      <c r="V25" s="418"/>
      <c r="W25" s="416"/>
      <c r="X25" s="416"/>
      <c r="Y25" s="416"/>
      <c r="Z25" s="418"/>
      <c r="AA25" s="389">
        <v>57.528599543766255</v>
      </c>
      <c r="AB25" s="391">
        <f>SUM(AC25:AI25)</f>
        <v>0</v>
      </c>
      <c r="AC25" s="392"/>
      <c r="AD25" s="418"/>
      <c r="AE25" s="418"/>
      <c r="AF25" s="418"/>
      <c r="AG25" s="418"/>
      <c r="AH25" s="418"/>
      <c r="AI25" s="418"/>
      <c r="AJ25" s="418"/>
      <c r="AK25" s="420"/>
      <c r="AL25" s="420"/>
      <c r="AM25" s="416"/>
      <c r="AN25" s="421"/>
      <c r="AO25" s="389">
        <v>259.46681438260055</v>
      </c>
      <c r="AP25" s="391"/>
      <c r="AQ25" s="422">
        <f>C25+H25+L25+AA25+AB25+AN25+AO25+AP25</f>
        <v>425.56331988324462</v>
      </c>
    </row>
    <row r="26" spans="1:43" ht="13.5" thickBot="1">
      <c r="A26" s="427" t="s">
        <v>206</v>
      </c>
      <c r="B26" s="428"/>
      <c r="C26" s="429">
        <f t="shared" ref="C26:AP26" si="10">C7-C9+C15+C21-C25</f>
        <v>320.15759843333262</v>
      </c>
      <c r="D26" s="430">
        <f t="shared" si="10"/>
        <v>221.42915574234439</v>
      </c>
      <c r="E26" s="431">
        <f t="shared" si="10"/>
        <v>86.198591658957852</v>
      </c>
      <c r="F26" s="431">
        <f t="shared" si="10"/>
        <v>0</v>
      </c>
      <c r="G26" s="431">
        <f t="shared" si="10"/>
        <v>12.529851032030438</v>
      </c>
      <c r="H26" s="432">
        <f t="shared" si="10"/>
        <v>199.31419506885081</v>
      </c>
      <c r="I26" s="430">
        <f t="shared" si="10"/>
        <v>0.37225106885087023</v>
      </c>
      <c r="J26" s="433">
        <f t="shared" si="10"/>
        <v>127.70399999999999</v>
      </c>
      <c r="K26" s="431">
        <f t="shared" si="10"/>
        <v>71.237943999999999</v>
      </c>
      <c r="L26" s="432">
        <f t="shared" si="10"/>
        <v>7278.2180951406654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799.22126723333315</v>
      </c>
      <c r="Q26" s="431">
        <f t="shared" si="10"/>
        <v>949.04247657856001</v>
      </c>
      <c r="R26" s="431">
        <f t="shared" si="10"/>
        <v>1106.9485985044798</v>
      </c>
      <c r="S26" s="431">
        <f t="shared" si="10"/>
        <v>39.03952078017609</v>
      </c>
      <c r="T26" s="431">
        <f t="shared" si="10"/>
        <v>187.88084937540125</v>
      </c>
      <c r="U26" s="431">
        <f t="shared" si="10"/>
        <v>3815.0626351280866</v>
      </c>
      <c r="V26" s="431">
        <f t="shared" si="10"/>
        <v>147.33759997605492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4">
        <f t="shared" si="10"/>
        <v>461.09915024876761</v>
      </c>
      <c r="AC26" s="356">
        <f t="shared" si="10"/>
        <v>0</v>
      </c>
      <c r="AD26" s="338">
        <f t="shared" si="10"/>
        <v>0</v>
      </c>
      <c r="AE26" s="338">
        <f t="shared" si="10"/>
        <v>197.01652611637599</v>
      </c>
      <c r="AF26" s="338">
        <f t="shared" si="10"/>
        <v>40.692904224132207</v>
      </c>
      <c r="AG26" s="338">
        <f t="shared" si="10"/>
        <v>0</v>
      </c>
      <c r="AH26" s="338">
        <f t="shared" si="10"/>
        <v>9.7770611234061491</v>
      </c>
      <c r="AI26" s="338">
        <f t="shared" si="10"/>
        <v>128.62672037577602</v>
      </c>
      <c r="AJ26" s="338">
        <f t="shared" si="10"/>
        <v>27.916404744672001</v>
      </c>
      <c r="AK26" s="341">
        <f t="shared" si="10"/>
        <v>0</v>
      </c>
      <c r="AL26" s="341">
        <f t="shared" si="10"/>
        <v>13.54608560366562</v>
      </c>
      <c r="AM26" s="435">
        <f t="shared" si="10"/>
        <v>43.523448060739646</v>
      </c>
      <c r="AN26" s="432">
        <f t="shared" si="10"/>
        <v>54.722939604974087</v>
      </c>
      <c r="AO26" s="432">
        <f t="shared" si="10"/>
        <v>2361.7269899654289</v>
      </c>
      <c r="AP26" s="434">
        <f t="shared" si="10"/>
        <v>0</v>
      </c>
      <c r="AQ26" s="436">
        <f>C26+H26+L26+AA26+AB26+AN26+AO26+AP26</f>
        <v>12596.668195380342</v>
      </c>
    </row>
    <row r="39" spans="14:16">
      <c r="P39" s="223"/>
    </row>
    <row r="40" spans="14:16">
      <c r="N40" s="222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6"/>
  <sheetViews>
    <sheetView zoomScale="70" zoomScaleNormal="70" workbookViewId="0">
      <selection activeCell="F37" sqref="F37"/>
    </sheetView>
  </sheetViews>
  <sheetFormatPr defaultRowHeight="15"/>
  <cols>
    <col min="1" max="1" width="1.5703125" customWidth="1"/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28515625" bestFit="1" customWidth="1"/>
    <col min="14" max="14" width="35.7109375" bestFit="1" customWidth="1"/>
    <col min="15" max="15" width="1.5703125" customWidth="1"/>
    <col min="16" max="16" width="9.7109375" bestFit="1" customWidth="1"/>
    <col min="17" max="17" width="20" bestFit="1" customWidth="1"/>
    <col min="18" max="18" width="1.5703125" customWidth="1"/>
    <col min="20" max="20" width="18.140625" bestFit="1" customWidth="1"/>
    <col min="21" max="21" width="1.5703125" customWidth="1"/>
    <col min="22" max="22" width="11.28515625" bestFit="1" customWidth="1"/>
    <col min="23" max="23" width="26.85546875" bestFit="1" customWidth="1"/>
    <col min="24" max="24" width="1.5703125" customWidth="1"/>
    <col min="26" max="26" width="11.140625" bestFit="1" customWidth="1"/>
    <col min="27" max="27" width="1.5703125" customWidth="1"/>
    <col min="29" max="29" width="13.28515625" bestFit="1" customWidth="1"/>
  </cols>
  <sheetData>
    <row r="3" spans="2:29" ht="18.75">
      <c r="B3" s="165" t="s">
        <v>282</v>
      </c>
      <c r="E3" s="165" t="s">
        <v>397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401</v>
      </c>
      <c r="Y3" s="165" t="s">
        <v>384</v>
      </c>
      <c r="AB3" s="165" t="s">
        <v>387</v>
      </c>
    </row>
    <row r="4" spans="2:29" ht="15.7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 t="shared" ref="E5" si="0">I5&amp;H5&amp;J5</f>
        <v>IMPCOABIT</v>
      </c>
      <c r="F5" t="str">
        <f t="shared" ref="F5:F36" si="1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2">VLOOKUP(I5,$S$5:$T$10,2,FALSE)</f>
        <v>Import</v>
      </c>
      <c r="H5" s="167" t="str">
        <f>B38</f>
        <v>COABIT</v>
      </c>
      <c r="I5" s="167" t="str">
        <f t="shared" ref="I5:I36" si="3">$S$6</f>
        <v>IMP</v>
      </c>
      <c r="J5" s="168"/>
      <c r="K5" s="167" t="s">
        <v>13</v>
      </c>
      <c r="M5" s="167" t="s">
        <v>338</v>
      </c>
      <c r="N5" s="167" t="s">
        <v>392</v>
      </c>
      <c r="P5" s="167" t="s">
        <v>335</v>
      </c>
      <c r="Q5" s="167" t="s">
        <v>336</v>
      </c>
      <c r="S5" s="167" t="s">
        <v>9</v>
      </c>
      <c r="T5" s="167" t="s">
        <v>425</v>
      </c>
      <c r="V5" s="167" t="s">
        <v>378</v>
      </c>
      <c r="W5" s="167" t="s">
        <v>402</v>
      </c>
      <c r="Y5" s="167" t="s">
        <v>382</v>
      </c>
      <c r="Z5" s="167" t="s">
        <v>385</v>
      </c>
      <c r="AB5" s="167" t="s">
        <v>388</v>
      </c>
      <c r="AC5" s="167" t="s">
        <v>390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1"/>
        <v xml:space="preserve">Import of Hard Coal / Antracite </v>
      </c>
      <c r="G6" s="167" t="str">
        <f t="shared" si="2"/>
        <v>Import</v>
      </c>
      <c r="H6" s="167" t="str">
        <f>B39</f>
        <v>COAHAR</v>
      </c>
      <c r="I6" s="167" t="str">
        <f t="shared" si="3"/>
        <v>IMP</v>
      </c>
      <c r="J6" s="168"/>
      <c r="K6" s="167" t="s">
        <v>13</v>
      </c>
      <c r="M6" s="167" t="s">
        <v>367</v>
      </c>
      <c r="N6" s="167" t="s">
        <v>393</v>
      </c>
      <c r="P6" s="167" t="s">
        <v>281</v>
      </c>
      <c r="Q6" s="167" t="s">
        <v>203</v>
      </c>
      <c r="S6" s="167" t="s">
        <v>13</v>
      </c>
      <c r="T6" s="167" t="s">
        <v>398</v>
      </c>
      <c r="V6" s="167" t="s">
        <v>623</v>
      </c>
      <c r="W6" s="167" t="s">
        <v>619</v>
      </c>
      <c r="Y6" s="167" t="s">
        <v>383</v>
      </c>
      <c r="Z6" s="167" t="s">
        <v>386</v>
      </c>
      <c r="AB6" s="167" t="s">
        <v>389</v>
      </c>
      <c r="AC6" s="167" t="s">
        <v>391</v>
      </c>
    </row>
    <row r="7" spans="2:29">
      <c r="B7" s="167" t="s">
        <v>286</v>
      </c>
      <c r="C7" s="167" t="s">
        <v>287</v>
      </c>
      <c r="E7" s="167" t="str">
        <f t="shared" ref="E7:E8" si="4">I7&amp;H7&amp;J7</f>
        <v>IMPCOACOK</v>
      </c>
      <c r="F7" t="str">
        <f t="shared" si="1"/>
        <v xml:space="preserve">Import of Coke Coal </v>
      </c>
      <c r="G7" s="167" t="str">
        <f t="shared" si="2"/>
        <v>Import</v>
      </c>
      <c r="H7" s="167" t="str">
        <f>B40</f>
        <v>COACOK</v>
      </c>
      <c r="I7" s="167" t="str">
        <f t="shared" si="3"/>
        <v>IMP</v>
      </c>
      <c r="J7" s="168"/>
      <c r="K7" s="167" t="s">
        <v>13</v>
      </c>
      <c r="M7" s="167" t="s">
        <v>339</v>
      </c>
      <c r="N7" s="167" t="s">
        <v>394</v>
      </c>
      <c r="P7" s="167"/>
      <c r="Q7" s="167"/>
      <c r="S7" s="167" t="s">
        <v>62</v>
      </c>
      <c r="T7" s="167" t="s">
        <v>399</v>
      </c>
      <c r="V7" s="167" t="s">
        <v>403</v>
      </c>
      <c r="W7" s="167"/>
      <c r="Y7" s="167"/>
      <c r="Z7" s="167"/>
      <c r="AB7" s="167"/>
      <c r="AC7" s="167"/>
    </row>
    <row r="8" spans="2:29">
      <c r="B8" s="167" t="s">
        <v>288</v>
      </c>
      <c r="C8" s="167" t="s">
        <v>289</v>
      </c>
      <c r="E8" s="167" t="str">
        <f t="shared" si="4"/>
        <v>IMPCOALIG</v>
      </c>
      <c r="F8" t="str">
        <f t="shared" si="1"/>
        <v xml:space="preserve">Import of Lignite /  Brown Coal </v>
      </c>
      <c r="G8" s="167" t="str">
        <f t="shared" si="2"/>
        <v>Import</v>
      </c>
      <c r="H8" s="167" t="str">
        <f>B41</f>
        <v>COALIG</v>
      </c>
      <c r="I8" s="167" t="str">
        <f t="shared" si="3"/>
        <v>IMP</v>
      </c>
      <c r="J8" s="168"/>
      <c r="K8" s="167" t="s">
        <v>13</v>
      </c>
      <c r="M8" s="167" t="s">
        <v>395</v>
      </c>
      <c r="N8" t="s">
        <v>396</v>
      </c>
      <c r="P8" s="167"/>
      <c r="Q8" s="167"/>
      <c r="S8" s="167" t="s">
        <v>423</v>
      </c>
      <c r="T8" s="167" t="s">
        <v>424</v>
      </c>
      <c r="V8" t="s">
        <v>426</v>
      </c>
      <c r="W8" t="s">
        <v>427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1"/>
        <v xml:space="preserve">Import of Crude Oil </v>
      </c>
      <c r="G9" s="167" t="str">
        <f t="shared" si="2"/>
        <v>Import</v>
      </c>
      <c r="H9" s="167" t="str">
        <f>B43</f>
        <v>OILCRD</v>
      </c>
      <c r="I9" s="167" t="str">
        <f t="shared" si="3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400</v>
      </c>
      <c r="T9" s="167" t="s">
        <v>422</v>
      </c>
      <c r="V9" s="167" t="s">
        <v>407</v>
      </c>
      <c r="W9" s="167" t="s">
        <v>411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1"/>
        <v xml:space="preserve">Import of Kerosene </v>
      </c>
      <c r="G10" s="167" t="str">
        <f t="shared" si="2"/>
        <v>Import</v>
      </c>
      <c r="H10" s="167" t="str">
        <f t="shared" ref="H10:H15" si="5">B45</f>
        <v>OILKER</v>
      </c>
      <c r="I10" s="167" t="str">
        <f t="shared" si="3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408</v>
      </c>
      <c r="W10" s="167" t="s">
        <v>412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1"/>
        <v xml:space="preserve">Import of Heavy Fuel Oil </v>
      </c>
      <c r="G11" s="167" t="str">
        <f t="shared" si="2"/>
        <v>Import</v>
      </c>
      <c r="H11" s="167" t="str">
        <f t="shared" si="5"/>
        <v>OILHFO</v>
      </c>
      <c r="I11" s="167" t="str">
        <f t="shared" si="3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409</v>
      </c>
      <c r="W11" s="167" t="s">
        <v>413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1"/>
        <v xml:space="preserve">Import of Diesel Oil </v>
      </c>
      <c r="G12" s="167" t="str">
        <f t="shared" si="2"/>
        <v>Import</v>
      </c>
      <c r="H12" s="167" t="str">
        <f t="shared" si="5"/>
        <v>OILDST</v>
      </c>
      <c r="I12" s="167" t="str">
        <f t="shared" si="3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410</v>
      </c>
      <c r="W12" s="167" t="s">
        <v>414</v>
      </c>
    </row>
    <row r="13" spans="2:29">
      <c r="B13" s="167" t="s">
        <v>380</v>
      </c>
      <c r="C13" s="167" t="s">
        <v>381</v>
      </c>
      <c r="E13" s="167" t="str">
        <f t="shared" ref="E13:E14" si="6">I13&amp;H13&amp;J13</f>
        <v>IMPOILLPG</v>
      </c>
      <c r="F13" t="str">
        <f t="shared" si="1"/>
        <v xml:space="preserve">Import of Liquified Petroleum Gas </v>
      </c>
      <c r="G13" s="167" t="str">
        <f t="shared" si="2"/>
        <v>Import</v>
      </c>
      <c r="H13" s="167" t="str">
        <f t="shared" si="5"/>
        <v>OILLPG</v>
      </c>
      <c r="I13" s="167" t="str">
        <f t="shared" si="3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6"/>
        <v>IMPOILGSL</v>
      </c>
      <c r="F14" t="str">
        <f t="shared" si="1"/>
        <v xml:space="preserve">Import of Gasoline </v>
      </c>
      <c r="G14" s="167" t="str">
        <f t="shared" si="2"/>
        <v>Import</v>
      </c>
      <c r="H14" s="167" t="str">
        <f t="shared" si="5"/>
        <v>OILGSL</v>
      </c>
      <c r="I14" s="167" t="str">
        <f t="shared" si="3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7">I15&amp;H15&amp;J15</f>
        <v>IMPOILCOK</v>
      </c>
      <c r="F15" t="str">
        <f t="shared" si="1"/>
        <v xml:space="preserve">Import of Petroleum Coke </v>
      </c>
      <c r="G15" s="167" t="str">
        <f t="shared" si="2"/>
        <v>Import</v>
      </c>
      <c r="H15" s="167" t="str">
        <f t="shared" si="5"/>
        <v>OILCOK</v>
      </c>
      <c r="I15" s="167" t="str">
        <f t="shared" si="3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1"/>
        <v>Import of Oil for Non-Energy uses</v>
      </c>
      <c r="G16" s="167" t="str">
        <f t="shared" si="2"/>
        <v>Import</v>
      </c>
      <c r="H16" s="167" t="str">
        <f>B52</f>
        <v>OILNEU</v>
      </c>
      <c r="I16" s="167" t="str">
        <f t="shared" si="3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1"/>
        <v>Import of Natural Gas  - UK</v>
      </c>
      <c r="G17" s="167" t="str">
        <f t="shared" si="2"/>
        <v>Import</v>
      </c>
      <c r="H17" s="167" t="str">
        <f>B53</f>
        <v>GASNAT</v>
      </c>
      <c r="I17" s="167" t="str">
        <f t="shared" si="3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1"/>
        <v xml:space="preserve">Import of Liquified Natural Gas </v>
      </c>
      <c r="G18" s="167" t="str">
        <f t="shared" si="2"/>
        <v>Import</v>
      </c>
      <c r="H18" s="167" t="str">
        <f>B54</f>
        <v>GASLNG</v>
      </c>
      <c r="I18" s="167" t="str">
        <f t="shared" si="3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1"/>
        <v>Import of Uranium</v>
      </c>
      <c r="G19" s="167" t="str">
        <f t="shared" si="2"/>
        <v>Import</v>
      </c>
      <c r="H19" s="167" t="str">
        <f>B55</f>
        <v>NUCURM</v>
      </c>
      <c r="I19" s="167" t="str">
        <f t="shared" si="3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1"/>
        <v>Import of Ethanol 1st generation  - Step 1</v>
      </c>
      <c r="G20" s="167" t="str">
        <f t="shared" si="2"/>
        <v>Import</v>
      </c>
      <c r="H20" s="167" t="str">
        <f>B62</f>
        <v>BIOETH1G</v>
      </c>
      <c r="I20" s="167" t="str">
        <f t="shared" si="3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8">I21&amp;H21&amp;J21</f>
        <v>IMPBIOETH1G_S2</v>
      </c>
      <c r="F21" t="str">
        <f t="shared" si="1"/>
        <v>Import of Ethanol 1st generation  - Step 2</v>
      </c>
      <c r="G21" s="167" t="str">
        <f t="shared" si="2"/>
        <v>Import</v>
      </c>
      <c r="H21" s="167" t="str">
        <f>B62</f>
        <v>BIOETH1G</v>
      </c>
      <c r="I21" s="167" t="str">
        <f t="shared" si="3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8"/>
        <v>IMPBIOETH1G_S3</v>
      </c>
      <c r="F22" t="str">
        <f t="shared" si="1"/>
        <v>Import of Ethanol 1st generation  - Step 3</v>
      </c>
      <c r="G22" s="167" t="str">
        <f t="shared" si="2"/>
        <v>Import</v>
      </c>
      <c r="H22" s="167" t="str">
        <f>B62</f>
        <v>BIOETH1G</v>
      </c>
      <c r="I22" s="167" t="str">
        <f t="shared" si="3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8"/>
        <v>IMPBIOETH1G_S4</v>
      </c>
      <c r="F23" t="str">
        <f t="shared" si="1"/>
        <v>Import of Ethanol 1st generation  - Step 4</v>
      </c>
      <c r="G23" s="167" t="str">
        <f t="shared" si="2"/>
        <v>Import</v>
      </c>
      <c r="H23" s="167" t="str">
        <f>B62</f>
        <v>BIOETH1G</v>
      </c>
      <c r="I23" s="167" t="str">
        <f t="shared" si="3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8"/>
        <v>IMPBIODST1G_S1</v>
      </c>
      <c r="F24" t="str">
        <f t="shared" si="1"/>
        <v>Import of Biodiesel 1st generation  - Step 1</v>
      </c>
      <c r="G24" s="167" t="str">
        <f t="shared" si="2"/>
        <v>Import</v>
      </c>
      <c r="H24" s="167" t="str">
        <f>B64</f>
        <v>BIODST1G</v>
      </c>
      <c r="I24" s="167" t="str">
        <f t="shared" si="3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8"/>
        <v>IMPBIODST1G_S2</v>
      </c>
      <c r="F25" t="str">
        <f t="shared" si="1"/>
        <v>Import of Biodiesel 1st generation  - Step 2</v>
      </c>
      <c r="G25" s="167" t="str">
        <f t="shared" si="2"/>
        <v>Import</v>
      </c>
      <c r="H25" s="167" t="str">
        <f>B64</f>
        <v>BIODST1G</v>
      </c>
      <c r="I25" s="167" t="str">
        <f t="shared" si="3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8"/>
        <v>IMPBIODST1G_S3</v>
      </c>
      <c r="F26" t="str">
        <f t="shared" si="1"/>
        <v>Import of Biodiesel 1st generation  - Step 3</v>
      </c>
      <c r="G26" s="167" t="str">
        <f t="shared" si="2"/>
        <v>Import</v>
      </c>
      <c r="H26" s="167" t="str">
        <f>B64</f>
        <v>BIODST1G</v>
      </c>
      <c r="I26" s="167" t="str">
        <f t="shared" si="3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8"/>
        <v>IMPBIODST1G_S4</v>
      </c>
      <c r="F27" t="str">
        <f t="shared" si="1"/>
        <v>Import of Biodiesel 1st generation  - Step 4</v>
      </c>
      <c r="G27" s="167" t="str">
        <f t="shared" si="2"/>
        <v>Import</v>
      </c>
      <c r="H27" s="167" t="str">
        <f>B64</f>
        <v>BIODST1G</v>
      </c>
      <c r="I27" s="167" t="str">
        <f t="shared" si="3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8"/>
        <v>IMPBIOJKR_S1</v>
      </c>
      <c r="F28" s="202" t="str">
        <f t="shared" si="1"/>
        <v>Import of Bio Jet Kerosene - Step 1</v>
      </c>
      <c r="G28" s="202" t="str">
        <f t="shared" si="2"/>
        <v>Import</v>
      </c>
      <c r="H28" s="202" t="str">
        <f>B68</f>
        <v>BIOJKR</v>
      </c>
      <c r="I28" s="202" t="str">
        <f t="shared" si="3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9">I29&amp;H29&amp;J29</f>
        <v>IMPBIOWPE_S1</v>
      </c>
      <c r="F29" t="str">
        <f t="shared" si="1"/>
        <v>Import of Wood Pellets  - Step 1</v>
      </c>
      <c r="G29" s="167" t="str">
        <f t="shared" si="2"/>
        <v>Import</v>
      </c>
      <c r="H29" s="167" t="str">
        <f>B73</f>
        <v>BIOWPE</v>
      </c>
      <c r="I29" s="167" t="str">
        <f t="shared" si="3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9"/>
        <v>IMPBIOWPE_S2</v>
      </c>
      <c r="F30" t="str">
        <f t="shared" si="1"/>
        <v>Import of Wood Pellets  - Step 2</v>
      </c>
      <c r="G30" s="167" t="str">
        <f t="shared" si="2"/>
        <v>Import</v>
      </c>
      <c r="H30" s="167" t="str">
        <f>B73</f>
        <v>BIOWPE</v>
      </c>
      <c r="I30" s="167" t="str">
        <f t="shared" si="3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9"/>
        <v>IMPBIOWPE_S3</v>
      </c>
      <c r="F31" t="str">
        <f t="shared" si="1"/>
        <v>Import of Wood Pellets  - Step 3</v>
      </c>
      <c r="G31" s="167" t="str">
        <f t="shared" si="2"/>
        <v>Import</v>
      </c>
      <c r="H31" s="167" t="str">
        <f>B73</f>
        <v>BIOWPE</v>
      </c>
      <c r="I31" s="167" t="str">
        <f t="shared" si="3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9"/>
        <v>IMPBIOWPE_S4</v>
      </c>
      <c r="F32" t="str">
        <f t="shared" si="1"/>
        <v>Import of Wood Pellets  - Step 4</v>
      </c>
      <c r="G32" s="167" t="str">
        <f t="shared" si="2"/>
        <v>Import</v>
      </c>
      <c r="H32" s="167" t="str">
        <f>B73</f>
        <v>BIOWPE</v>
      </c>
      <c r="I32" s="167" t="str">
        <f t="shared" si="3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9"/>
        <v>IMPBIOWCH_S1</v>
      </c>
      <c r="F33" t="str">
        <f t="shared" si="1"/>
        <v>Import of Wood Chip  - Step 1</v>
      </c>
      <c r="G33" s="167" t="str">
        <f t="shared" si="2"/>
        <v>Import</v>
      </c>
      <c r="H33" s="167" t="str">
        <f>B74</f>
        <v>BIOWCH</v>
      </c>
      <c r="I33" s="167" t="str">
        <f t="shared" si="3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9"/>
        <v>IMPBIOWCH_S2</v>
      </c>
      <c r="F34" t="str">
        <f t="shared" si="1"/>
        <v>Import of Wood Chip  - Step 2</v>
      </c>
      <c r="G34" s="167" t="str">
        <f t="shared" si="2"/>
        <v>Import</v>
      </c>
      <c r="H34" s="167" t="str">
        <f>B74</f>
        <v>BIOWCH</v>
      </c>
      <c r="I34" s="167" t="str">
        <f t="shared" si="3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9"/>
        <v>IMPBIOWCH_S3</v>
      </c>
      <c r="F35" t="str">
        <f t="shared" si="1"/>
        <v>Import of Wood Chip  - Step 3</v>
      </c>
      <c r="G35" s="167" t="str">
        <f t="shared" si="2"/>
        <v>Import</v>
      </c>
      <c r="H35" s="167" t="str">
        <f>B74</f>
        <v>BIOWCH</v>
      </c>
      <c r="I35" s="167" t="str">
        <f t="shared" si="3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9"/>
        <v>IMPBIOWCH_S4</v>
      </c>
      <c r="F36" t="str">
        <f t="shared" si="1"/>
        <v>Import of Wood Chip  - Step 4</v>
      </c>
      <c r="G36" s="167" t="str">
        <f t="shared" si="2"/>
        <v>Import</v>
      </c>
      <c r="H36" s="167" t="str">
        <f>B74</f>
        <v>BIOWCH</v>
      </c>
      <c r="I36" s="167" t="str">
        <f t="shared" si="3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9"/>
        <v>MINGASNAT_S1</v>
      </c>
      <c r="F37" t="str">
        <f t="shared" ref="F37:F68" si="10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1">VLOOKUP(I37,$S$5:$T$10,2,FALSE)</f>
        <v>Domestic Potential</v>
      </c>
      <c r="H37" s="167" t="str">
        <f>B53</f>
        <v>GASNAT</v>
      </c>
      <c r="I37" s="167" t="str">
        <f t="shared" ref="I37:I78" si="12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9"/>
        <v>MINGASNAT_S2</v>
      </c>
      <c r="F38" t="str">
        <f t="shared" si="10"/>
        <v>Domestic Potential of Natural Gas  - Step 2</v>
      </c>
      <c r="G38" s="167" t="str">
        <f t="shared" si="11"/>
        <v>Domestic Potential</v>
      </c>
      <c r="H38" s="167" t="str">
        <f>B53</f>
        <v>GASNAT</v>
      </c>
      <c r="I38" s="167" t="str">
        <f t="shared" si="12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9"/>
        <v>MINPEAT_S1</v>
      </c>
      <c r="F39" t="str">
        <f t="shared" si="10"/>
        <v>Domestic Potential of Peat  - Step 1</v>
      </c>
      <c r="G39" s="167" t="str">
        <f t="shared" si="11"/>
        <v>Domestic Potential</v>
      </c>
      <c r="H39" s="167" t="str">
        <f>B42</f>
        <v>PEAT</v>
      </c>
      <c r="I39" s="167" t="str">
        <f t="shared" si="12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9"/>
        <v>MINPEAT_S2</v>
      </c>
      <c r="F40" t="str">
        <f t="shared" si="10"/>
        <v>Domestic Potential of Peat  - Step 2</v>
      </c>
      <c r="G40" s="167" t="str">
        <f t="shared" si="11"/>
        <v>Domestic Potential</v>
      </c>
      <c r="H40" s="167" t="str">
        <f>B42</f>
        <v>PEAT</v>
      </c>
      <c r="I40" s="167" t="str">
        <f t="shared" si="12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9"/>
        <v>MINRENHYD</v>
      </c>
      <c r="F41" t="str">
        <f t="shared" si="10"/>
        <v xml:space="preserve">Domestic Potential of Hydro </v>
      </c>
      <c r="G41" s="167" t="str">
        <f t="shared" si="11"/>
        <v>Domestic Potential</v>
      </c>
      <c r="H41" s="167" t="str">
        <f t="shared" ref="H41:H46" si="13">B56</f>
        <v>RENHYD</v>
      </c>
      <c r="I41" s="167" t="str">
        <f t="shared" si="12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4">I42&amp;H42&amp;J42</f>
        <v>MINRENWIN</v>
      </c>
      <c r="F42" t="str">
        <f t="shared" si="10"/>
        <v xml:space="preserve">Domestic Potential of Wind </v>
      </c>
      <c r="G42" s="167" t="str">
        <f t="shared" si="11"/>
        <v>Domestic Potential</v>
      </c>
      <c r="H42" s="167" t="str">
        <f t="shared" si="13"/>
        <v>RENWIN</v>
      </c>
      <c r="I42" s="167" t="str">
        <f t="shared" si="12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4"/>
        <v>MINRENSOL</v>
      </c>
      <c r="F43" t="str">
        <f t="shared" si="10"/>
        <v xml:space="preserve">Domestic Potential of Solar </v>
      </c>
      <c r="G43" s="167" t="str">
        <f t="shared" si="11"/>
        <v>Domestic Potential</v>
      </c>
      <c r="H43" s="167" t="str">
        <f t="shared" si="13"/>
        <v>RENSOL</v>
      </c>
      <c r="I43" s="167" t="str">
        <f t="shared" si="12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4"/>
        <v>MINMSWAS</v>
      </c>
      <c r="F44" t="str">
        <f t="shared" si="10"/>
        <v xml:space="preserve">Domestic Potential of Municipal Solid Waste </v>
      </c>
      <c r="G44" s="167" t="str">
        <f t="shared" si="11"/>
        <v>Domestic Potential</v>
      </c>
      <c r="H44" s="167" t="str">
        <f t="shared" si="13"/>
        <v>MSWAS</v>
      </c>
      <c r="I44" s="167" t="str">
        <f t="shared" si="12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4"/>
        <v>MINRENOCE</v>
      </c>
      <c r="F45" t="str">
        <f t="shared" si="10"/>
        <v xml:space="preserve">Domestic Potential of Ocean </v>
      </c>
      <c r="G45" s="167" t="str">
        <f t="shared" si="11"/>
        <v>Domestic Potential</v>
      </c>
      <c r="H45" s="167" t="str">
        <f t="shared" si="13"/>
        <v>RENOCE</v>
      </c>
      <c r="I45" s="167" t="str">
        <f t="shared" si="12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4"/>
        <v>MINRENAHT</v>
      </c>
      <c r="F46" t="str">
        <f t="shared" si="10"/>
        <v>Domestic Potential of Ambient Heat</v>
      </c>
      <c r="G46" s="167" t="str">
        <f t="shared" si="11"/>
        <v>Domestic Potential</v>
      </c>
      <c r="H46" s="167" t="str">
        <f t="shared" si="13"/>
        <v>RENAHT</v>
      </c>
      <c r="I46" s="167" t="str">
        <f t="shared" si="12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4"/>
        <v>MINBIOWOO1_S1</v>
      </c>
      <c r="F47" t="str">
        <f t="shared" si="10"/>
        <v>Domestic Potential of Sawmill residues - Step 1</v>
      </c>
      <c r="G47" s="167" t="str">
        <f t="shared" si="11"/>
        <v>Domestic Potential</v>
      </c>
      <c r="H47" s="167" t="str">
        <f>$B$70</f>
        <v>BIOWOO1</v>
      </c>
      <c r="I47" s="167" t="str">
        <f t="shared" si="12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5">I48&amp;H48&amp;J48</f>
        <v>MINBIOWOO1_S2</v>
      </c>
      <c r="F48" t="str">
        <f t="shared" si="10"/>
        <v>Domestic Potential of Sawmill residues - Step 2</v>
      </c>
      <c r="G48" s="167" t="str">
        <f t="shared" si="11"/>
        <v>Domestic Potential</v>
      </c>
      <c r="H48" s="167" t="str">
        <f>$B$70</f>
        <v>BIOWOO1</v>
      </c>
      <c r="I48" s="167" t="str">
        <f t="shared" si="12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5"/>
        <v>MINBIOWOO1_S3</v>
      </c>
      <c r="F49" t="str">
        <f t="shared" si="10"/>
        <v>Domestic Potential of Sawmill residues - Step 3</v>
      </c>
      <c r="G49" s="167" t="str">
        <f t="shared" si="11"/>
        <v>Domestic Potential</v>
      </c>
      <c r="H49" s="167" t="str">
        <f>$B$70</f>
        <v>BIOWOO1</v>
      </c>
      <c r="I49" s="167" t="str">
        <f t="shared" si="12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5"/>
        <v>MINBIOWOO2_S1</v>
      </c>
      <c r="F50" t="str">
        <f t="shared" si="10"/>
        <v>Domestic Potential of Post-Consumer Recycled Wood - Step 1</v>
      </c>
      <c r="G50" s="167" t="str">
        <f t="shared" si="11"/>
        <v>Domestic Potential</v>
      </c>
      <c r="H50" s="167" t="str">
        <f>$B$71</f>
        <v>BIOWOO2</v>
      </c>
      <c r="I50" s="167" t="str">
        <f t="shared" si="12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5"/>
        <v>MINBIOWOO2_S2</v>
      </c>
      <c r="F51" t="str">
        <f t="shared" si="10"/>
        <v>Domestic Potential of Post-Consumer Recycled Wood - Step 2</v>
      </c>
      <c r="G51" s="167" t="str">
        <f t="shared" si="11"/>
        <v>Domestic Potential</v>
      </c>
      <c r="H51" s="167" t="str">
        <f>$B$71</f>
        <v>BIOWOO2</v>
      </c>
      <c r="I51" s="167" t="str">
        <f t="shared" si="12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5"/>
        <v>MINBIOWOO2_S3</v>
      </c>
      <c r="F52" t="str">
        <f t="shared" si="10"/>
        <v>Domestic Potential of Post-Consumer Recycled Wood - Step 3</v>
      </c>
      <c r="G52" s="167" t="str">
        <f t="shared" si="11"/>
        <v>Domestic Potential</v>
      </c>
      <c r="H52" s="167" t="str">
        <f>$B$71</f>
        <v>BIOWOO2</v>
      </c>
      <c r="I52" s="167" t="str">
        <f t="shared" si="12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5"/>
        <v>MINBIOWOO3_S1</v>
      </c>
      <c r="F53" t="str">
        <f t="shared" si="10"/>
        <v>Domestic Potential of Straw - Step 1</v>
      </c>
      <c r="G53" s="167" t="str">
        <f t="shared" si="11"/>
        <v>Domestic Potential</v>
      </c>
      <c r="H53" s="167" t="str">
        <f>$B$72</f>
        <v>BIOWOO3</v>
      </c>
      <c r="I53" s="167" t="str">
        <f t="shared" si="12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5"/>
        <v>MINBIOWOO3_S2</v>
      </c>
      <c r="F54" t="str">
        <f t="shared" si="10"/>
        <v>Domestic Potential of Straw - Step 2</v>
      </c>
      <c r="G54" s="167" t="str">
        <f t="shared" si="11"/>
        <v>Domestic Potential</v>
      </c>
      <c r="H54" s="167" t="str">
        <f>$B$72</f>
        <v>BIOWOO3</v>
      </c>
      <c r="I54" s="167" t="str">
        <f t="shared" si="12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5"/>
        <v>MINBIOWOO3_S3</v>
      </c>
      <c r="F55" t="str">
        <f t="shared" si="10"/>
        <v>Domestic Potential of Straw - Step 3</v>
      </c>
      <c r="G55" s="167" t="str">
        <f t="shared" si="11"/>
        <v>Domestic Potential</v>
      </c>
      <c r="H55" s="167" t="str">
        <f>$B$72</f>
        <v>BIOWOO3</v>
      </c>
      <c r="I55" s="167" t="str">
        <f t="shared" si="12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5"/>
        <v>MINBIOMSW1_S1</v>
      </c>
      <c r="F56" t="str">
        <f t="shared" si="10"/>
        <v>Domestic Potential of Biodegradable Municipal Solid Waste potential - Solid  - Step 1</v>
      </c>
      <c r="G56" s="167" t="str">
        <f t="shared" si="11"/>
        <v>Domestic Potential</v>
      </c>
      <c r="H56" s="167" t="str">
        <f>$B$75</f>
        <v>BIOMSW1</v>
      </c>
      <c r="I56" s="167" t="str">
        <f t="shared" si="12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6">I57&amp;H57&amp;J57</f>
        <v>MINBIOMSW1_S2</v>
      </c>
      <c r="F57" t="str">
        <f t="shared" si="10"/>
        <v>Domestic Potential of Biodegradable Municipal Solid Waste potential - Solid  - Step 2</v>
      </c>
      <c r="G57" s="167" t="str">
        <f t="shared" si="11"/>
        <v>Domestic Potential</v>
      </c>
      <c r="H57" s="167" t="str">
        <f>$B$75</f>
        <v>BIOMSW1</v>
      </c>
      <c r="I57" s="167" t="str">
        <f t="shared" si="12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6"/>
        <v>MINBIOMSW1_S3</v>
      </c>
      <c r="F58" t="str">
        <f t="shared" si="10"/>
        <v>Domestic Potential of Biodegradable Municipal Solid Waste potential - Solid  - Step 3</v>
      </c>
      <c r="G58" s="167" t="str">
        <f t="shared" si="11"/>
        <v>Domestic Potential</v>
      </c>
      <c r="H58" s="167" t="str">
        <f>$B$75</f>
        <v>BIOMSW1</v>
      </c>
      <c r="I58" s="167" t="str">
        <f t="shared" si="12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6"/>
        <v>MINBIOMSW2_S1</v>
      </c>
      <c r="F59" t="str">
        <f t="shared" si="10"/>
        <v>Domestic Potential of Biodegradable Municipal Solid Waste  - Step 1</v>
      </c>
      <c r="G59" s="167" t="str">
        <f t="shared" si="11"/>
        <v>Domestic Potential</v>
      </c>
      <c r="H59" s="167" t="str">
        <f>$B$76</f>
        <v>BIOMSW2</v>
      </c>
      <c r="I59" s="167" t="str">
        <f t="shared" si="12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6"/>
        <v>MINBIOMSW2_S2</v>
      </c>
      <c r="F60" t="str">
        <f t="shared" si="10"/>
        <v>Domestic Potential of Biodegradable Municipal Solid Waste  - Step 2</v>
      </c>
      <c r="G60" s="167" t="str">
        <f t="shared" si="11"/>
        <v>Domestic Potential</v>
      </c>
      <c r="H60" s="167" t="str">
        <f>$B$76</f>
        <v>BIOMSW2</v>
      </c>
      <c r="I60" s="167" t="str">
        <f t="shared" si="12"/>
        <v>MIN</v>
      </c>
      <c r="J60" s="167" t="str">
        <f>$V$10</f>
        <v>_S2</v>
      </c>
      <c r="K60" s="167" t="s">
        <v>9</v>
      </c>
    </row>
    <row r="61" spans="2:11">
      <c r="B61" s="181" t="s">
        <v>578</v>
      </c>
      <c r="C61" s="167" t="s">
        <v>442</v>
      </c>
      <c r="E61" s="167" t="str">
        <f t="shared" si="16"/>
        <v>MINBIOMSW2_S3</v>
      </c>
      <c r="F61" t="str">
        <f t="shared" si="10"/>
        <v>Domestic Potential of Biodegradable Municipal Solid Waste  - Step 3</v>
      </c>
      <c r="G61" s="167" t="str">
        <f t="shared" si="11"/>
        <v>Domestic Potential</v>
      </c>
      <c r="H61" s="167" t="str">
        <f>$B$76</f>
        <v>BIOMSW2</v>
      </c>
      <c r="I61" s="167" t="str">
        <f t="shared" si="12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6"/>
        <v>MINBIOTLW_S1</v>
      </c>
      <c r="F62" t="str">
        <f t="shared" si="10"/>
        <v>Domestic Potential of Tallow  - Step 1</v>
      </c>
      <c r="G62" s="167" t="str">
        <f t="shared" si="11"/>
        <v>Domestic Potential</v>
      </c>
      <c r="H62" s="167" t="str">
        <f>$B$77</f>
        <v>BIOTLW</v>
      </c>
      <c r="I62" s="167" t="str">
        <f t="shared" si="12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6"/>
        <v>MINBIOTLW_S2</v>
      </c>
      <c r="F63" t="str">
        <f t="shared" si="10"/>
        <v>Domestic Potential of Tallow  - Step 2</v>
      </c>
      <c r="G63" s="167" t="str">
        <f t="shared" si="11"/>
        <v>Domestic Potential</v>
      </c>
      <c r="H63" s="167" t="str">
        <f>$B$77</f>
        <v>BIOTLW</v>
      </c>
      <c r="I63" s="167" t="str">
        <f t="shared" si="12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6"/>
        <v>MINBIOTLW_S3</v>
      </c>
      <c r="F64" t="str">
        <f t="shared" si="10"/>
        <v>Domestic Potential of Tallow  - Step 3</v>
      </c>
      <c r="G64" s="167" t="str">
        <f t="shared" si="11"/>
        <v>Domestic Potential</v>
      </c>
      <c r="H64" s="167" t="str">
        <f>$B$77</f>
        <v>BIOTLW</v>
      </c>
      <c r="I64" s="167" t="str">
        <f t="shared" si="12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452</v>
      </c>
      <c r="E65" s="167" t="str">
        <f t="shared" si="16"/>
        <v>MINBIORVO_S1</v>
      </c>
      <c r="F65" t="str">
        <f t="shared" si="10"/>
        <v>Domestic Potential of Recovered Vegetable Oil  - Step 1</v>
      </c>
      <c r="G65" s="167" t="str">
        <f t="shared" si="11"/>
        <v>Domestic Potential</v>
      </c>
      <c r="H65" s="167" t="str">
        <f>$B$78</f>
        <v>BIORVO</v>
      </c>
      <c r="I65" s="167" t="str">
        <f t="shared" si="12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6"/>
        <v>MINBIORVO_S2</v>
      </c>
      <c r="F66" t="str">
        <f t="shared" si="10"/>
        <v>Domestic Potential of Recovered Vegetable Oil  - Step 2</v>
      </c>
      <c r="G66" s="167" t="str">
        <f t="shared" si="11"/>
        <v>Domestic Potential</v>
      </c>
      <c r="H66" s="167" t="str">
        <f>$B$78</f>
        <v>BIORVO</v>
      </c>
      <c r="I66" s="167" t="str">
        <f t="shared" si="12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6"/>
        <v>MINBIORVO_S3</v>
      </c>
      <c r="F67" t="str">
        <f t="shared" si="10"/>
        <v>Domestic Potential of Recovered Vegetable Oil  - Step 3</v>
      </c>
      <c r="G67" s="167" t="str">
        <f t="shared" si="11"/>
        <v>Domestic Potential</v>
      </c>
      <c r="H67" s="167" t="str">
        <f>$B$78</f>
        <v>BIORVO</v>
      </c>
      <c r="I67" s="167" t="str">
        <f t="shared" si="12"/>
        <v>MIN</v>
      </c>
      <c r="J67" s="167" t="str">
        <f>$V$11</f>
        <v>_S3</v>
      </c>
      <c r="K67" s="167" t="s">
        <v>9</v>
      </c>
    </row>
    <row r="68" spans="2:11">
      <c r="B68" s="201" t="s">
        <v>441</v>
      </c>
      <c r="C68" s="202" t="s">
        <v>440</v>
      </c>
      <c r="E68" s="167" t="str">
        <f t="shared" ref="E68:E76" si="17">I68&amp;H68&amp;J68</f>
        <v>MINBIOCATW_S1</v>
      </c>
      <c r="F68" t="str">
        <f t="shared" si="10"/>
        <v>Domestic Potential of Cattle Waste  - Step 1</v>
      </c>
      <c r="G68" s="167" t="str">
        <f t="shared" si="11"/>
        <v>Domestic Potential</v>
      </c>
      <c r="H68" s="167" t="str">
        <f>$B$79</f>
        <v>BIOCATW</v>
      </c>
      <c r="I68" s="167" t="str">
        <f t="shared" si="12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418</v>
      </c>
      <c r="E69" s="167" t="str">
        <f t="shared" si="17"/>
        <v>MINBIOCATW_S2</v>
      </c>
      <c r="F69" t="str">
        <f t="shared" ref="F69:F79" si="18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86" si="19">VLOOKUP(I69,$S$5:$T$10,2,FALSE)</f>
        <v>Domestic Potential</v>
      </c>
      <c r="H69" s="167" t="str">
        <f>$B$79</f>
        <v>BIOCATW</v>
      </c>
      <c r="I69" s="167" t="str">
        <f t="shared" si="12"/>
        <v>MIN</v>
      </c>
      <c r="J69" s="167" t="str">
        <f>$V$10</f>
        <v>_S2</v>
      </c>
      <c r="K69" s="167" t="s">
        <v>9</v>
      </c>
    </row>
    <row r="70" spans="2:11">
      <c r="B70" s="181" t="s">
        <v>415</v>
      </c>
      <c r="C70" s="167" t="s">
        <v>419</v>
      </c>
      <c r="E70" s="167" t="str">
        <f t="shared" si="17"/>
        <v>MINBIOCATW_S3</v>
      </c>
      <c r="F70" t="str">
        <f t="shared" si="18"/>
        <v>Domestic Potential of Cattle Waste  - Step 3</v>
      </c>
      <c r="G70" s="167" t="str">
        <f t="shared" si="19"/>
        <v>Domestic Potential</v>
      </c>
      <c r="H70" s="167" t="str">
        <f>$B$79</f>
        <v>BIOCATW</v>
      </c>
      <c r="I70" s="167" t="str">
        <f t="shared" si="12"/>
        <v>MIN</v>
      </c>
      <c r="J70" s="167" t="str">
        <f>$V$11</f>
        <v>_S3</v>
      </c>
      <c r="K70" s="167" t="s">
        <v>9</v>
      </c>
    </row>
    <row r="71" spans="2:11">
      <c r="B71" s="181" t="s">
        <v>416</v>
      </c>
      <c r="C71" s="167" t="s">
        <v>420</v>
      </c>
      <c r="E71" s="167" t="str">
        <f t="shared" si="17"/>
        <v>MINBIOPIGW_S1</v>
      </c>
      <c r="F71" t="str">
        <f t="shared" si="18"/>
        <v>Domestic Potential of Pig Waste  - Step 1</v>
      </c>
      <c r="G71" s="167" t="str">
        <f t="shared" si="19"/>
        <v>Domestic Potential</v>
      </c>
      <c r="H71" s="167" t="str">
        <f>$B$80</f>
        <v>BIOPIGW</v>
      </c>
      <c r="I71" s="167" t="str">
        <f t="shared" si="12"/>
        <v>MIN</v>
      </c>
      <c r="J71" s="167" t="str">
        <f>$V$9</f>
        <v>_S1</v>
      </c>
      <c r="K71" s="167" t="s">
        <v>9</v>
      </c>
    </row>
    <row r="72" spans="2:11">
      <c r="B72" s="181" t="s">
        <v>417</v>
      </c>
      <c r="C72" s="167" t="s">
        <v>421</v>
      </c>
      <c r="E72" s="167" t="str">
        <f t="shared" si="17"/>
        <v>MINBIOPIGW_S2</v>
      </c>
      <c r="F72" t="str">
        <f t="shared" si="18"/>
        <v>Domestic Potential of Pig Waste  - Step 2</v>
      </c>
      <c r="G72" s="167" t="str">
        <f t="shared" si="19"/>
        <v>Domestic Potential</v>
      </c>
      <c r="H72" s="167" t="str">
        <f>$B$80</f>
        <v>BIOPIGW</v>
      </c>
      <c r="I72" s="167" t="str">
        <f t="shared" si="12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7"/>
        <v>MINBIOPIGW_S3</v>
      </c>
      <c r="F73" t="str">
        <f t="shared" si="18"/>
        <v>Domestic Potential of Pig Waste  - Step 3</v>
      </c>
      <c r="G73" s="167" t="str">
        <f t="shared" si="19"/>
        <v>Domestic Potential</v>
      </c>
      <c r="H73" s="167" t="str">
        <f>$B$80</f>
        <v>BIOPIGW</v>
      </c>
      <c r="I73" s="167" t="str">
        <f t="shared" si="12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7"/>
        <v>MINBIOINDF_S1</v>
      </c>
      <c r="F74" t="str">
        <f t="shared" si="18"/>
        <v>Domestic Potential of Industrial Food Waste  - Step 1</v>
      </c>
      <c r="G74" s="167" t="str">
        <f t="shared" si="19"/>
        <v>Domestic Potential</v>
      </c>
      <c r="H74" s="167" t="str">
        <f>$B$81</f>
        <v>BIOINDF</v>
      </c>
      <c r="I74" s="167" t="str">
        <f t="shared" si="12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7"/>
        <v>MINBIOINDF_S2</v>
      </c>
      <c r="F75" t="str">
        <f t="shared" si="18"/>
        <v>Domestic Potential of Industrial Food Waste  - Step 2</v>
      </c>
      <c r="G75" s="167" t="str">
        <f t="shared" si="19"/>
        <v>Domestic Potential</v>
      </c>
      <c r="H75" s="167" t="str">
        <f>$B$81</f>
        <v>BIOINDF</v>
      </c>
      <c r="I75" s="167" t="str">
        <f t="shared" si="12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7"/>
        <v>MINBIOINDF_S3</v>
      </c>
      <c r="F76" t="str">
        <f t="shared" si="18"/>
        <v>Domestic Potential of Industrial Food Waste  - Step 3</v>
      </c>
      <c r="G76" s="167" t="str">
        <f t="shared" si="19"/>
        <v>Domestic Potential</v>
      </c>
      <c r="H76" s="167" t="str">
        <f>$B$81</f>
        <v>BIOINDF</v>
      </c>
      <c r="I76" s="167" t="str">
        <f t="shared" si="12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8" si="20">I77&amp;H77&amp;J77</f>
        <v>MINCYC</v>
      </c>
      <c r="F77" t="str">
        <f t="shared" si="18"/>
        <v>Domestic Potential of Cycling</v>
      </c>
      <c r="G77" s="167" t="str">
        <f t="shared" si="19"/>
        <v>Domestic Potential</v>
      </c>
      <c r="H77" s="167" t="str">
        <f>$B$83</f>
        <v>CYC</v>
      </c>
      <c r="I77" s="167" t="str">
        <f t="shared" si="12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20"/>
        <v>MINWLK</v>
      </c>
      <c r="F78" t="str">
        <f t="shared" si="18"/>
        <v>Domestic Potential of Walking</v>
      </c>
      <c r="G78" s="167" t="str">
        <f t="shared" si="19"/>
        <v>Domestic Potential</v>
      </c>
      <c r="H78" s="167" t="str">
        <f>$B$84</f>
        <v>WLK</v>
      </c>
      <c r="I78" s="167" t="str">
        <f t="shared" si="12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167" t="str">
        <f t="shared" ref="E79:E80" si="21">I79&amp;H79&amp;J79</f>
        <v>IMPELC_UK-EWIC</v>
      </c>
      <c r="F79" t="str">
        <f t="shared" si="18"/>
        <v>Import of Electricity - UK East-West Interconnector</v>
      </c>
      <c r="G79" s="167" t="str">
        <f t="shared" si="19"/>
        <v>Import</v>
      </c>
      <c r="H79" s="167" t="str">
        <f>$B$35</f>
        <v>ELC</v>
      </c>
      <c r="I79" s="167" t="str">
        <f>$S$6</f>
        <v>IMP</v>
      </c>
      <c r="J79" s="167" t="str">
        <f>$V$6</f>
        <v>_UK-EWIC</v>
      </c>
      <c r="K79" s="167" t="s">
        <v>13</v>
      </c>
    </row>
    <row r="80" spans="2:11">
      <c r="B80" s="181" t="s">
        <v>137</v>
      </c>
      <c r="C80" s="167" t="s">
        <v>263</v>
      </c>
      <c r="E80" s="167" t="str">
        <f t="shared" si="21"/>
        <v>EXPELC_UK-EWIC</v>
      </c>
      <c r="F80" t="str">
        <f>G80 &amp; " of " &amp; VLOOKUP(H80,$B$5:$C$83,2,FALSE) &amp; IF(J80&lt;&gt;0,IF(VLOOKUP(J80,$V$5:$W$12,2,FALSE)&lt;&gt;""," - " &amp; VLOOKUP(J80,$V$5:$W$12,2,FALSE),""),"")</f>
        <v>Export of Electricity - UK East-West Interconnector</v>
      </c>
      <c r="G80" s="167" t="str">
        <f t="shared" si="19"/>
        <v>Export</v>
      </c>
      <c r="H80" s="167" t="str">
        <f>$B$35</f>
        <v>ELC</v>
      </c>
      <c r="I80" s="167" t="str">
        <f>$S$7</f>
        <v>EXP</v>
      </c>
      <c r="J80" s="167" t="str">
        <f>$V$6</f>
        <v>_UK-EWIC</v>
      </c>
      <c r="K80" s="167" t="s">
        <v>62</v>
      </c>
    </row>
    <row r="81" spans="2:11">
      <c r="B81" s="181" t="s">
        <v>141</v>
      </c>
      <c r="C81" s="167" t="s">
        <v>264</v>
      </c>
      <c r="E81" s="167" t="str">
        <f>LEFT(P5,1)&amp;I81&amp;H81&amp;J81</f>
        <v>SREFOILCRD_Whitegate</v>
      </c>
      <c r="F81" t="str">
        <f>G81 &amp; " of " &amp; VLOOKUP(H81,$B$5:$C$83,2,FALSE) &amp; IF(J81&lt;&gt;0,IF(VLOOKUP(J81,$V$5:$W$12,2,FALSE)&lt;&gt;""," - " &amp; VLOOKUP(J81,$V$5:$W$12,2,FALSE),""),"")</f>
        <v>Refinery of Crude Oil  - Whitegate</v>
      </c>
      <c r="G81" s="167" t="str">
        <f t="shared" si="19"/>
        <v>Refinery</v>
      </c>
      <c r="H81" t="str">
        <f>B43</f>
        <v>OILCRD</v>
      </c>
      <c r="I81" s="167" t="str">
        <f>$S$8</f>
        <v>REF</v>
      </c>
      <c r="J81" t="str">
        <f>V8</f>
        <v>_Whitegate</v>
      </c>
      <c r="K81" s="167" t="s">
        <v>151</v>
      </c>
    </row>
    <row r="82" spans="2:11">
      <c r="B82" s="181" t="s">
        <v>373</v>
      </c>
      <c r="C82" s="167" t="s">
        <v>374</v>
      </c>
      <c r="E82" s="167" t="str">
        <f>I82&amp;$P$5&amp;H82&amp;J82</f>
        <v>FT-SUPNGA</v>
      </c>
      <c r="F82" t="str">
        <f>G82 &amp; " - " &amp; VLOOKUP(H82,$B$5:$C$84,2,FALSE) &amp; IF(J82&lt;&gt;0,IF(VLOOKUP(J82,$V$5:$W$12,2,FALSE)&lt;&gt;""," - " &amp; VLOOKUP(J82,$V$5:$W$12,2,FALSE),""),"") &amp; " (" &amp; $P$5 &amp; ")"</f>
        <v>Fuel Tech - Natural Gas (SUP)</v>
      </c>
      <c r="G82" s="167" t="str">
        <f t="shared" si="19"/>
        <v>Fuel Tech</v>
      </c>
      <c r="H82" t="str">
        <f>B12</f>
        <v>NGA</v>
      </c>
      <c r="I82" s="167" t="str">
        <f>$S$9</f>
        <v>FT-</v>
      </c>
      <c r="K82" s="167" t="s">
        <v>151</v>
      </c>
    </row>
    <row r="83" spans="2:11">
      <c r="B83" s="182" t="s">
        <v>436</v>
      </c>
      <c r="C83" s="167" t="s">
        <v>438</v>
      </c>
      <c r="E83" s="167" t="str">
        <f>I83&amp;$P$5&amp;H83&amp;J83</f>
        <v>FT-SUPCOA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Coal (SUP)</v>
      </c>
      <c r="G83" s="167" t="str">
        <f t="shared" si="19"/>
        <v>Fuel Tech</v>
      </c>
      <c r="H83" t="str">
        <f>B5</f>
        <v>COA</v>
      </c>
      <c r="I83" s="167" t="str">
        <f>$S$9</f>
        <v>FT-</v>
      </c>
      <c r="K83" s="167" t="s">
        <v>151</v>
      </c>
    </row>
    <row r="84" spans="2:11">
      <c r="B84" s="181" t="s">
        <v>437</v>
      </c>
      <c r="C84" s="167" t="s">
        <v>439</v>
      </c>
      <c r="E84" s="167" t="str">
        <f>I84&amp;$P$5&amp;H84&amp;J84</f>
        <v>FT-SUPWAS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Waste (SUP)</v>
      </c>
      <c r="G84" s="167" t="str">
        <f t="shared" si="19"/>
        <v>Fuel Tech</v>
      </c>
      <c r="H84" t="str">
        <f>B37</f>
        <v>WAS</v>
      </c>
      <c r="I84" s="167" t="str">
        <f>$S$9</f>
        <v>FT-</v>
      </c>
      <c r="K84" s="167" t="s">
        <v>151</v>
      </c>
    </row>
    <row r="85" spans="2:11">
      <c r="E85" s="167" t="str">
        <f>I85&amp;$P$5&amp;H85&amp;J85</f>
        <v>FT-SUPBIO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Biomass (SUP)</v>
      </c>
      <c r="G85" s="167" t="str">
        <f t="shared" si="19"/>
        <v>Fuel Tech</v>
      </c>
      <c r="H85" t="str">
        <f>B13</f>
        <v>BIO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FT-SUPELC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Electricity (SUP)</v>
      </c>
      <c r="G86" s="167" t="str">
        <f t="shared" si="19"/>
        <v>Fuel Tech</v>
      </c>
      <c r="H86" t="str">
        <f>B35</f>
        <v>ELC</v>
      </c>
      <c r="I86" s="167" t="str">
        <f>$S$9</f>
        <v>FT-</v>
      </c>
      <c r="K86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7"/>
  <sheetViews>
    <sheetView topLeftCell="A50" zoomScale="83" zoomScaleNormal="100" workbookViewId="0">
      <selection activeCell="E77" sqref="E77"/>
    </sheetView>
  </sheetViews>
  <sheetFormatPr defaultColWidth="9.140625" defaultRowHeight="15"/>
  <cols>
    <col min="2" max="2" width="19" customWidth="1"/>
    <col min="3" max="3" width="18.28515625" bestFit="1" customWidth="1"/>
    <col min="4" max="4" width="49.8554687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5.7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174" t="s">
        <v>23</v>
      </c>
      <c r="C35" s="179" t="str">
        <f>CONVENTIONS!B67</f>
        <v>BIOGAS2G</v>
      </c>
      <c r="D35" s="179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203" t="s">
        <v>23</v>
      </c>
      <c r="C36" s="204" t="str">
        <f>CONVENTIONS!B68</f>
        <v>BIOJKR</v>
      </c>
      <c r="D36" s="204" t="s">
        <v>440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CONVENTIONS!$B$35&amp;CONVENTIONS!AB5</f>
        <v>ELCC</v>
      </c>
      <c r="D57" s="179" t="str">
        <f>CONVENTIONS!$C$35 &amp;  " - " &amp; CONVENTIONS!AC5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CONVENTIONS!$B$35&amp;CONVENTIONS!AB6</f>
        <v>ELCD</v>
      </c>
      <c r="D58" s="179" t="str">
        <f>CONVENTIONS!$C$35 &amp;  " - " &amp; CONVENTIONS!AC6</f>
        <v>Electricity - decentralised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CONVENTIONS!$P$5&amp;CONVENTIONS!$B$82&amp;CONVENTIONS!Y5&amp;CONVENTIONS!AB5</f>
        <v>SUPH2GC</v>
      </c>
      <c r="D59" s="179" t="str">
        <f>CONVENTIONS!$C$82 &amp; " " &amp; CONVENTIONS!Z5 &amp; " - " &amp; CONVENTIONS!AC5&amp; " (" &amp; CONVENTIONS!$P$5 &amp; ")"</f>
        <v>Hydrogen gaseous - centralised (SUP)</v>
      </c>
      <c r="E59" s="174" t="s">
        <v>10</v>
      </c>
      <c r="F59" s="174"/>
      <c r="G59" s="174" t="s">
        <v>68</v>
      </c>
      <c r="H59" s="174"/>
      <c r="I59" s="174"/>
    </row>
    <row r="60" spans="2:9">
      <c r="B60" s="174" t="s">
        <v>23</v>
      </c>
      <c r="C60" s="179" t="str">
        <f>CONVENTIONS!$P$5&amp;CONVENTIONS!$B$82&amp;CONVENTIONS!Y6&amp;CONVENTIONS!AB5</f>
        <v>SUPH2LC</v>
      </c>
      <c r="D60" s="179" t="str">
        <f>CONVENTIONS!$C$82 &amp; " " &amp; CONVENTIONS!Z6 &amp; " - " &amp; CONVENTIONS!AC5&amp; " (" &amp; CONVENTIONS!$P$5 &amp; ")"</f>
        <v>Hydrogen liquid - centralised (SUP)</v>
      </c>
      <c r="E60" s="174" t="s">
        <v>10</v>
      </c>
      <c r="F60" s="174"/>
      <c r="G60" s="174" t="s">
        <v>68</v>
      </c>
      <c r="H60" s="174"/>
      <c r="I60" s="174"/>
    </row>
    <row r="61" spans="2:9">
      <c r="B61" s="174" t="s">
        <v>23</v>
      </c>
      <c r="C61" s="179" t="str">
        <f>CONVENTIONS!$P$5&amp;CONVENTIONS!$B$82&amp;CONVENTIONS!Y5&amp;CONVENTIONS!AB6</f>
        <v>SUPH2GD</v>
      </c>
      <c r="D61" s="179" t="str">
        <f>CONVENTIONS!$C$82 &amp; " " &amp; CONVENTIONS!Z5 &amp; " - " &amp; CONVENTIONS!AC6 &amp; " (" &amp; CONVENTIONS!$P$5 &amp; ")"</f>
        <v>Hydrogen gaseous - decentralised (SUP)</v>
      </c>
      <c r="E61" s="174" t="s">
        <v>10</v>
      </c>
      <c r="F61" s="174"/>
      <c r="G61" s="174" t="s">
        <v>68</v>
      </c>
      <c r="H61" s="174"/>
      <c r="I61" s="174"/>
    </row>
    <row r="62" spans="2:9">
      <c r="B62" s="174" t="s">
        <v>23</v>
      </c>
      <c r="C62" s="179" t="str">
        <f>CONVENTIONS!$P$5&amp;CONVENTIONS!$B$82&amp;CONVENTIONS!Y6&amp;CONVENTIONS!AB6</f>
        <v>SUPH2LD</v>
      </c>
      <c r="D62" s="179" t="str">
        <f>CONVENTIONS!$C$82 &amp; " " &amp; CONVENTIONS!Z6 &amp; " - " &amp; CONVENTIONS!AC6 &amp; " (" &amp; CONVENTIONS!$P$5 &amp; ")"</f>
        <v>Hydrogen liquid - decentralised (SUP)</v>
      </c>
      <c r="E62" s="174" t="s">
        <v>10</v>
      </c>
      <c r="F62" s="174"/>
      <c r="G62" s="174" t="s">
        <v>68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  <row r="74" spans="2:9">
      <c r="B74" s="185" t="s">
        <v>656</v>
      </c>
      <c r="C74" s="185"/>
      <c r="D74" s="185"/>
      <c r="E74" s="185"/>
      <c r="F74" s="185"/>
      <c r="G74" s="185"/>
      <c r="H74" s="185"/>
      <c r="I74" s="185"/>
    </row>
    <row r="75" spans="2:9">
      <c r="B75" s="174" t="s">
        <v>270</v>
      </c>
      <c r="C75" t="s">
        <v>653</v>
      </c>
      <c r="D75" t="s">
        <v>657</v>
      </c>
      <c r="E75" s="174" t="s">
        <v>271</v>
      </c>
      <c r="F75" t="s">
        <v>658</v>
      </c>
    </row>
    <row r="76" spans="2:9">
      <c r="B76" s="174" t="s">
        <v>270</v>
      </c>
      <c r="C76" t="s">
        <v>654</v>
      </c>
      <c r="D76" t="s">
        <v>659</v>
      </c>
      <c r="E76" s="174" t="s">
        <v>271</v>
      </c>
      <c r="F76" t="s">
        <v>658</v>
      </c>
    </row>
    <row r="77" spans="2:9">
      <c r="B77" t="s">
        <v>23</v>
      </c>
      <c r="C77" t="s">
        <v>663</v>
      </c>
      <c r="D77" t="s">
        <v>259</v>
      </c>
      <c r="E77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opLeftCell="A52" zoomScale="85" zoomScaleNormal="85" workbookViewId="0">
      <selection activeCell="D95" sqref="D95"/>
    </sheetView>
  </sheetViews>
  <sheetFormatPr defaultRowHeight="15"/>
  <cols>
    <col min="2" max="2" width="26" customWidth="1"/>
    <col min="3" max="3" width="10.7109375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28515625" customWidth="1"/>
    <col min="9" max="9" width="25.28515625" customWidth="1"/>
    <col min="10" max="10" width="17.285156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10" ht="26.25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5.75" thickBot="1">
      <c r="B4" s="166" t="s">
        <v>1</v>
      </c>
      <c r="C4" s="166" t="s">
        <v>513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404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2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2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2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2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2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2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2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2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2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2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2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2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2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2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2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405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2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2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2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2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2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2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2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2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204" t="str">
        <f>CONVENTIONS!K29</f>
        <v>IMP</v>
      </c>
      <c r="C31" s="204" t="str">
        <f>_xlfn.TEXTJOIN(",",TRUE,IF(LEFT(Regions!$C$3,1)&lt;&gt;"*",Regions!$C$3,""),IF(LEFT(Regions!$D$3,1)&lt;&gt;"*",Regions!$D$3,""))</f>
        <v>IE,National</v>
      </c>
      <c r="D31" s="204" t="str">
        <f>CONVENTIONS!E28</f>
        <v>IMPBIOJKR_S1</v>
      </c>
      <c r="E31" s="204" t="str">
        <f>CONVENTIONS!F28</f>
        <v>Import of Bio Jet Kerosene - Step 1</v>
      </c>
      <c r="F31" s="205" t="s">
        <v>10</v>
      </c>
      <c r="G31" s="202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406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CONVENTIONS!K79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CONVENTIONS!E79</f>
        <v>IMPELC_UK-EWIC</v>
      </c>
      <c r="E83" s="179" t="str">
        <f>CONVENTIONS!F79</f>
        <v>Import of Electricity - UK East-West Interconnector</v>
      </c>
      <c r="F83" s="186" t="s">
        <v>10</v>
      </c>
      <c r="G83" s="186" t="s">
        <v>622</v>
      </c>
      <c r="H83" s="167" t="s">
        <v>63</v>
      </c>
      <c r="I83" s="167"/>
      <c r="J83" s="167"/>
    </row>
    <row r="84" spans="2:10">
      <c r="B84" s="179" t="str">
        <f>CONVENTIONS!K80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CONVENTIONS!E80</f>
        <v>EXPELC_UK-EWIC</v>
      </c>
      <c r="E84" s="179" t="str">
        <f>CONVENTIONS!F80</f>
        <v>Export of Electricity - UK East-West Interconnector</v>
      </c>
      <c r="F84" s="186" t="s">
        <v>10</v>
      </c>
      <c r="G84" s="186" t="s">
        <v>622</v>
      </c>
      <c r="H84" s="167" t="s">
        <v>63</v>
      </c>
      <c r="I84" s="167"/>
      <c r="J84" s="167"/>
    </row>
    <row r="85" spans="2:10">
      <c r="B85" s="179" t="str">
        <f>CONVENTIONS!K81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CONVENTIONS!E81</f>
        <v>SREFOILCRD_Whitegate</v>
      </c>
      <c r="E85" s="179" t="str">
        <f>CONVENTIONS!F81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177" t="s">
        <v>356</v>
      </c>
      <c r="C86" s="177"/>
      <c r="D86" s="177"/>
      <c r="E86" s="178"/>
      <c r="F86" s="178"/>
      <c r="G86" s="178"/>
      <c r="H86" s="178"/>
      <c r="I86" s="178"/>
      <c r="J86" s="178"/>
    </row>
    <row r="87" spans="2:10">
      <c r="B87" s="179" t="str">
        <f>CONVENTIONS!K82</f>
        <v>PRE</v>
      </c>
      <c r="C87" s="179" t="str">
        <f>_xlfn.TEXTJOIN(",",TRUE,IF(LEFT(Regions!$C$3,1)&lt;&gt;"*",Regions!$C$3,""),IF(LEFT(Regions!$D$3,1)&lt;&gt;"*",Regions!$D$3,""))</f>
        <v>IE,National</v>
      </c>
      <c r="D87" s="179" t="str">
        <f>CONVENTIONS!E82</f>
        <v>FT-SUPNGA</v>
      </c>
      <c r="E87" s="179" t="str">
        <f>CONVENTIONS!F82</f>
        <v>Fuel Tech - Natural Gas (SUP)</v>
      </c>
      <c r="F87" s="160" t="s">
        <v>10</v>
      </c>
      <c r="G87" s="167" t="s">
        <v>152</v>
      </c>
      <c r="H87" s="184"/>
      <c r="I87" s="188"/>
      <c r="J87" s="184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FT-SUPCOA</v>
      </c>
      <c r="E88" s="179" t="str">
        <f>CONVENTIONS!F83</f>
        <v>Fuel Tech - Coal (SUP)</v>
      </c>
      <c r="F88" s="191" t="s">
        <v>10</v>
      </c>
      <c r="G88" s="167" t="s">
        <v>152</v>
      </c>
      <c r="H88" s="180"/>
      <c r="I88" s="180"/>
      <c r="J88" s="180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FT-SUPWAS</v>
      </c>
      <c r="E89" s="179" t="str">
        <f>CONVENTIONS!F84</f>
        <v>Fuel Tech - Waste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FT-SUPBIO</v>
      </c>
      <c r="E90" s="179" t="str">
        <f>CONVENTIONS!F85</f>
        <v>Fuel Tech - Biomass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FT-SUPELC</v>
      </c>
      <c r="E91" s="179" t="str">
        <f>CONVENTIONS!F86</f>
        <v>Fuel Tech - Electricity (SUP)</v>
      </c>
      <c r="F91" s="160" t="s">
        <v>10</v>
      </c>
      <c r="G91" s="167" t="s">
        <v>152</v>
      </c>
      <c r="H91" s="180" t="s">
        <v>63</v>
      </c>
      <c r="I91" s="180"/>
      <c r="J91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C6" sqref="C6"/>
    </sheetView>
  </sheetViews>
  <sheetFormatPr defaultRowHeight="15"/>
  <cols>
    <col min="1" max="1" width="9.140625" style="23"/>
    <col min="2" max="2" width="11.5703125" style="23" customWidth="1"/>
    <col min="3" max="3" width="11.28515625" style="23" bestFit="1" customWidth="1"/>
    <col min="4" max="4" width="26" style="23" bestFit="1" customWidth="1"/>
    <col min="5" max="5" width="11.140625" style="23" bestFit="1" customWidth="1"/>
    <col min="6" max="8" width="9.140625" style="23"/>
    <col min="9" max="9" width="10.28515625" style="23" bestFit="1" customWidth="1"/>
    <col min="10" max="10" width="8.85546875" bestFit="1" customWidth="1"/>
    <col min="11" max="11" width="16.85546875" style="23" customWidth="1"/>
    <col min="12" max="12" width="9.140625" style="23"/>
    <col min="13" max="13" width="11.28515625" style="23" bestFit="1" customWidth="1"/>
    <col min="14" max="14" width="14.7109375" style="23" bestFit="1" customWidth="1"/>
    <col min="15" max="15" width="37" style="23" bestFit="1" customWidth="1"/>
    <col min="16" max="17" width="9.85546875" style="23" customWidth="1"/>
    <col min="18" max="262" width="9.140625" style="23"/>
    <col min="263" max="263" width="10.5703125" style="23" bestFit="1" customWidth="1"/>
    <col min="264" max="264" width="14.85546875" style="23" bestFit="1" customWidth="1"/>
    <col min="265" max="265" width="11.140625" style="23" bestFit="1" customWidth="1"/>
    <col min="266" max="518" width="9.140625" style="23"/>
    <col min="519" max="519" width="10.5703125" style="23" bestFit="1" customWidth="1"/>
    <col min="520" max="520" width="14.85546875" style="23" bestFit="1" customWidth="1"/>
    <col min="521" max="521" width="11.140625" style="23" bestFit="1" customWidth="1"/>
    <col min="522" max="774" width="9.140625" style="23"/>
    <col min="775" max="775" width="10.5703125" style="23" bestFit="1" customWidth="1"/>
    <col min="776" max="776" width="14.85546875" style="23" bestFit="1" customWidth="1"/>
    <col min="777" max="777" width="11.140625" style="23" bestFit="1" customWidth="1"/>
    <col min="778" max="1030" width="9.140625" style="23"/>
    <col min="1031" max="1031" width="10.5703125" style="23" bestFit="1" customWidth="1"/>
    <col min="1032" max="1032" width="14.85546875" style="23" bestFit="1" customWidth="1"/>
    <col min="1033" max="1033" width="11.140625" style="23" bestFit="1" customWidth="1"/>
    <col min="1034" max="1286" width="9.140625" style="23"/>
    <col min="1287" max="1287" width="10.5703125" style="23" bestFit="1" customWidth="1"/>
    <col min="1288" max="1288" width="14.85546875" style="23" bestFit="1" customWidth="1"/>
    <col min="1289" max="1289" width="11.140625" style="23" bestFit="1" customWidth="1"/>
    <col min="1290" max="1542" width="9.140625" style="23"/>
    <col min="1543" max="1543" width="10.5703125" style="23" bestFit="1" customWidth="1"/>
    <col min="1544" max="1544" width="14.85546875" style="23" bestFit="1" customWidth="1"/>
    <col min="1545" max="1545" width="11.140625" style="23" bestFit="1" customWidth="1"/>
    <col min="1546" max="1798" width="9.140625" style="23"/>
    <col min="1799" max="1799" width="10.5703125" style="23" bestFit="1" customWidth="1"/>
    <col min="1800" max="1800" width="14.85546875" style="23" bestFit="1" customWidth="1"/>
    <col min="1801" max="1801" width="11.140625" style="23" bestFit="1" customWidth="1"/>
    <col min="1802" max="2054" width="9.140625" style="23"/>
    <col min="2055" max="2055" width="10.5703125" style="23" bestFit="1" customWidth="1"/>
    <col min="2056" max="2056" width="14.85546875" style="23" bestFit="1" customWidth="1"/>
    <col min="2057" max="2057" width="11.140625" style="23" bestFit="1" customWidth="1"/>
    <col min="2058" max="2310" width="9.140625" style="23"/>
    <col min="2311" max="2311" width="10.5703125" style="23" bestFit="1" customWidth="1"/>
    <col min="2312" max="2312" width="14.85546875" style="23" bestFit="1" customWidth="1"/>
    <col min="2313" max="2313" width="11.140625" style="23" bestFit="1" customWidth="1"/>
    <col min="2314" max="2566" width="9.140625" style="23"/>
    <col min="2567" max="2567" width="10.5703125" style="23" bestFit="1" customWidth="1"/>
    <col min="2568" max="2568" width="14.85546875" style="23" bestFit="1" customWidth="1"/>
    <col min="2569" max="2569" width="11.140625" style="23" bestFit="1" customWidth="1"/>
    <col min="2570" max="2822" width="9.140625" style="23"/>
    <col min="2823" max="2823" width="10.5703125" style="23" bestFit="1" customWidth="1"/>
    <col min="2824" max="2824" width="14.85546875" style="23" bestFit="1" customWidth="1"/>
    <col min="2825" max="2825" width="11.140625" style="23" bestFit="1" customWidth="1"/>
    <col min="2826" max="3078" width="9.140625" style="23"/>
    <col min="3079" max="3079" width="10.5703125" style="23" bestFit="1" customWidth="1"/>
    <col min="3080" max="3080" width="14.85546875" style="23" bestFit="1" customWidth="1"/>
    <col min="3081" max="3081" width="11.140625" style="23" bestFit="1" customWidth="1"/>
    <col min="3082" max="3334" width="9.140625" style="23"/>
    <col min="3335" max="3335" width="10.5703125" style="23" bestFit="1" customWidth="1"/>
    <col min="3336" max="3336" width="14.85546875" style="23" bestFit="1" customWidth="1"/>
    <col min="3337" max="3337" width="11.140625" style="23" bestFit="1" customWidth="1"/>
    <col min="3338" max="3590" width="9.140625" style="23"/>
    <col min="3591" max="3591" width="10.5703125" style="23" bestFit="1" customWidth="1"/>
    <col min="3592" max="3592" width="14.85546875" style="23" bestFit="1" customWidth="1"/>
    <col min="3593" max="3593" width="11.140625" style="23" bestFit="1" customWidth="1"/>
    <col min="3594" max="3846" width="9.140625" style="23"/>
    <col min="3847" max="3847" width="10.5703125" style="23" bestFit="1" customWidth="1"/>
    <col min="3848" max="3848" width="14.85546875" style="23" bestFit="1" customWidth="1"/>
    <col min="3849" max="3849" width="11.140625" style="23" bestFit="1" customWidth="1"/>
    <col min="3850" max="4102" width="9.140625" style="23"/>
    <col min="4103" max="4103" width="10.5703125" style="23" bestFit="1" customWidth="1"/>
    <col min="4104" max="4104" width="14.85546875" style="23" bestFit="1" customWidth="1"/>
    <col min="4105" max="4105" width="11.140625" style="23" bestFit="1" customWidth="1"/>
    <col min="4106" max="4358" width="9.140625" style="23"/>
    <col min="4359" max="4359" width="10.5703125" style="23" bestFit="1" customWidth="1"/>
    <col min="4360" max="4360" width="14.85546875" style="23" bestFit="1" customWidth="1"/>
    <col min="4361" max="4361" width="11.140625" style="23" bestFit="1" customWidth="1"/>
    <col min="4362" max="4614" width="9.140625" style="23"/>
    <col min="4615" max="4615" width="10.5703125" style="23" bestFit="1" customWidth="1"/>
    <col min="4616" max="4616" width="14.85546875" style="23" bestFit="1" customWidth="1"/>
    <col min="4617" max="4617" width="11.140625" style="23" bestFit="1" customWidth="1"/>
    <col min="4618" max="4870" width="9.140625" style="23"/>
    <col min="4871" max="4871" width="10.5703125" style="23" bestFit="1" customWidth="1"/>
    <col min="4872" max="4872" width="14.85546875" style="23" bestFit="1" customWidth="1"/>
    <col min="4873" max="4873" width="11.140625" style="23" bestFit="1" customWidth="1"/>
    <col min="4874" max="5126" width="9.140625" style="23"/>
    <col min="5127" max="5127" width="10.5703125" style="23" bestFit="1" customWidth="1"/>
    <col min="5128" max="5128" width="14.85546875" style="23" bestFit="1" customWidth="1"/>
    <col min="5129" max="5129" width="11.140625" style="23" bestFit="1" customWidth="1"/>
    <col min="5130" max="5382" width="9.140625" style="23"/>
    <col min="5383" max="5383" width="10.5703125" style="23" bestFit="1" customWidth="1"/>
    <col min="5384" max="5384" width="14.85546875" style="23" bestFit="1" customWidth="1"/>
    <col min="5385" max="5385" width="11.140625" style="23" bestFit="1" customWidth="1"/>
    <col min="5386" max="5638" width="9.140625" style="23"/>
    <col min="5639" max="5639" width="10.5703125" style="23" bestFit="1" customWidth="1"/>
    <col min="5640" max="5640" width="14.85546875" style="23" bestFit="1" customWidth="1"/>
    <col min="5641" max="5641" width="11.140625" style="23" bestFit="1" customWidth="1"/>
    <col min="5642" max="5894" width="9.140625" style="23"/>
    <col min="5895" max="5895" width="10.5703125" style="23" bestFit="1" customWidth="1"/>
    <col min="5896" max="5896" width="14.85546875" style="23" bestFit="1" customWidth="1"/>
    <col min="5897" max="5897" width="11.140625" style="23" bestFit="1" customWidth="1"/>
    <col min="5898" max="6150" width="9.140625" style="23"/>
    <col min="6151" max="6151" width="10.5703125" style="23" bestFit="1" customWidth="1"/>
    <col min="6152" max="6152" width="14.85546875" style="23" bestFit="1" customWidth="1"/>
    <col min="6153" max="6153" width="11.140625" style="23" bestFit="1" customWidth="1"/>
    <col min="6154" max="6406" width="9.140625" style="23"/>
    <col min="6407" max="6407" width="10.5703125" style="23" bestFit="1" customWidth="1"/>
    <col min="6408" max="6408" width="14.85546875" style="23" bestFit="1" customWidth="1"/>
    <col min="6409" max="6409" width="11.140625" style="23" bestFit="1" customWidth="1"/>
    <col min="6410" max="6662" width="9.140625" style="23"/>
    <col min="6663" max="6663" width="10.5703125" style="23" bestFit="1" customWidth="1"/>
    <col min="6664" max="6664" width="14.85546875" style="23" bestFit="1" customWidth="1"/>
    <col min="6665" max="6665" width="11.140625" style="23" bestFit="1" customWidth="1"/>
    <col min="6666" max="6918" width="9.140625" style="23"/>
    <col min="6919" max="6919" width="10.5703125" style="23" bestFit="1" customWidth="1"/>
    <col min="6920" max="6920" width="14.85546875" style="23" bestFit="1" customWidth="1"/>
    <col min="6921" max="6921" width="11.140625" style="23" bestFit="1" customWidth="1"/>
    <col min="6922" max="7174" width="9.140625" style="23"/>
    <col min="7175" max="7175" width="10.5703125" style="23" bestFit="1" customWidth="1"/>
    <col min="7176" max="7176" width="14.85546875" style="23" bestFit="1" customWidth="1"/>
    <col min="7177" max="7177" width="11.140625" style="23" bestFit="1" customWidth="1"/>
    <col min="7178" max="7430" width="9.140625" style="23"/>
    <col min="7431" max="7431" width="10.5703125" style="23" bestFit="1" customWidth="1"/>
    <col min="7432" max="7432" width="14.85546875" style="23" bestFit="1" customWidth="1"/>
    <col min="7433" max="7433" width="11.140625" style="23" bestFit="1" customWidth="1"/>
    <col min="7434" max="7686" width="9.140625" style="23"/>
    <col min="7687" max="7687" width="10.5703125" style="23" bestFit="1" customWidth="1"/>
    <col min="7688" max="7688" width="14.85546875" style="23" bestFit="1" customWidth="1"/>
    <col min="7689" max="7689" width="11.140625" style="23" bestFit="1" customWidth="1"/>
    <col min="7690" max="7942" width="9.140625" style="23"/>
    <col min="7943" max="7943" width="10.5703125" style="23" bestFit="1" customWidth="1"/>
    <col min="7944" max="7944" width="14.85546875" style="23" bestFit="1" customWidth="1"/>
    <col min="7945" max="7945" width="11.140625" style="23" bestFit="1" customWidth="1"/>
    <col min="7946" max="8198" width="9.140625" style="23"/>
    <col min="8199" max="8199" width="10.5703125" style="23" bestFit="1" customWidth="1"/>
    <col min="8200" max="8200" width="14.85546875" style="23" bestFit="1" customWidth="1"/>
    <col min="8201" max="8201" width="11.140625" style="23" bestFit="1" customWidth="1"/>
    <col min="8202" max="8454" width="9.140625" style="23"/>
    <col min="8455" max="8455" width="10.5703125" style="23" bestFit="1" customWidth="1"/>
    <col min="8456" max="8456" width="14.85546875" style="23" bestFit="1" customWidth="1"/>
    <col min="8457" max="8457" width="11.140625" style="23" bestFit="1" customWidth="1"/>
    <col min="8458" max="8710" width="9.140625" style="23"/>
    <col min="8711" max="8711" width="10.5703125" style="23" bestFit="1" customWidth="1"/>
    <col min="8712" max="8712" width="14.85546875" style="23" bestFit="1" customWidth="1"/>
    <col min="8713" max="8713" width="11.140625" style="23" bestFit="1" customWidth="1"/>
    <col min="8714" max="8966" width="9.140625" style="23"/>
    <col min="8967" max="8967" width="10.5703125" style="23" bestFit="1" customWidth="1"/>
    <col min="8968" max="8968" width="14.85546875" style="23" bestFit="1" customWidth="1"/>
    <col min="8969" max="8969" width="11.140625" style="23" bestFit="1" customWidth="1"/>
    <col min="8970" max="9222" width="9.140625" style="23"/>
    <col min="9223" max="9223" width="10.5703125" style="23" bestFit="1" customWidth="1"/>
    <col min="9224" max="9224" width="14.85546875" style="23" bestFit="1" customWidth="1"/>
    <col min="9225" max="9225" width="11.140625" style="23" bestFit="1" customWidth="1"/>
    <col min="9226" max="9478" width="9.140625" style="23"/>
    <col min="9479" max="9479" width="10.5703125" style="23" bestFit="1" customWidth="1"/>
    <col min="9480" max="9480" width="14.85546875" style="23" bestFit="1" customWidth="1"/>
    <col min="9481" max="9481" width="11.140625" style="23" bestFit="1" customWidth="1"/>
    <col min="9482" max="9734" width="9.140625" style="23"/>
    <col min="9735" max="9735" width="10.5703125" style="23" bestFit="1" customWidth="1"/>
    <col min="9736" max="9736" width="14.85546875" style="23" bestFit="1" customWidth="1"/>
    <col min="9737" max="9737" width="11.140625" style="23" bestFit="1" customWidth="1"/>
    <col min="9738" max="9990" width="9.140625" style="23"/>
    <col min="9991" max="9991" width="10.5703125" style="23" bestFit="1" customWidth="1"/>
    <col min="9992" max="9992" width="14.85546875" style="23" bestFit="1" customWidth="1"/>
    <col min="9993" max="9993" width="11.140625" style="23" bestFit="1" customWidth="1"/>
    <col min="9994" max="10246" width="9.140625" style="23"/>
    <col min="10247" max="10247" width="10.5703125" style="23" bestFit="1" customWidth="1"/>
    <col min="10248" max="10248" width="14.85546875" style="23" bestFit="1" customWidth="1"/>
    <col min="10249" max="10249" width="11.140625" style="23" bestFit="1" customWidth="1"/>
    <col min="10250" max="10502" width="9.140625" style="23"/>
    <col min="10503" max="10503" width="10.5703125" style="23" bestFit="1" customWidth="1"/>
    <col min="10504" max="10504" width="14.85546875" style="23" bestFit="1" customWidth="1"/>
    <col min="10505" max="10505" width="11.140625" style="23" bestFit="1" customWidth="1"/>
    <col min="10506" max="10758" width="9.140625" style="23"/>
    <col min="10759" max="10759" width="10.5703125" style="23" bestFit="1" customWidth="1"/>
    <col min="10760" max="10760" width="14.85546875" style="23" bestFit="1" customWidth="1"/>
    <col min="10761" max="10761" width="11.140625" style="23" bestFit="1" customWidth="1"/>
    <col min="10762" max="11014" width="9.140625" style="23"/>
    <col min="11015" max="11015" width="10.5703125" style="23" bestFit="1" customWidth="1"/>
    <col min="11016" max="11016" width="14.85546875" style="23" bestFit="1" customWidth="1"/>
    <col min="11017" max="11017" width="11.140625" style="23" bestFit="1" customWidth="1"/>
    <col min="11018" max="11270" width="9.140625" style="23"/>
    <col min="11271" max="11271" width="10.5703125" style="23" bestFit="1" customWidth="1"/>
    <col min="11272" max="11272" width="14.85546875" style="23" bestFit="1" customWidth="1"/>
    <col min="11273" max="11273" width="11.140625" style="23" bestFit="1" customWidth="1"/>
    <col min="11274" max="11526" width="9.140625" style="23"/>
    <col min="11527" max="11527" width="10.5703125" style="23" bestFit="1" customWidth="1"/>
    <col min="11528" max="11528" width="14.85546875" style="23" bestFit="1" customWidth="1"/>
    <col min="11529" max="11529" width="11.140625" style="23" bestFit="1" customWidth="1"/>
    <col min="11530" max="11782" width="9.140625" style="23"/>
    <col min="11783" max="11783" width="10.5703125" style="23" bestFit="1" customWidth="1"/>
    <col min="11784" max="11784" width="14.85546875" style="23" bestFit="1" customWidth="1"/>
    <col min="11785" max="11785" width="11.140625" style="23" bestFit="1" customWidth="1"/>
    <col min="11786" max="12038" width="9.140625" style="23"/>
    <col min="12039" max="12039" width="10.5703125" style="23" bestFit="1" customWidth="1"/>
    <col min="12040" max="12040" width="14.85546875" style="23" bestFit="1" customWidth="1"/>
    <col min="12041" max="12041" width="11.140625" style="23" bestFit="1" customWidth="1"/>
    <col min="12042" max="12294" width="9.140625" style="23"/>
    <col min="12295" max="12295" width="10.5703125" style="23" bestFit="1" customWidth="1"/>
    <col min="12296" max="12296" width="14.85546875" style="23" bestFit="1" customWidth="1"/>
    <col min="12297" max="12297" width="11.140625" style="23" bestFit="1" customWidth="1"/>
    <col min="12298" max="12550" width="9.140625" style="23"/>
    <col min="12551" max="12551" width="10.5703125" style="23" bestFit="1" customWidth="1"/>
    <col min="12552" max="12552" width="14.85546875" style="23" bestFit="1" customWidth="1"/>
    <col min="12553" max="12553" width="11.140625" style="23" bestFit="1" customWidth="1"/>
    <col min="12554" max="12806" width="9.140625" style="23"/>
    <col min="12807" max="12807" width="10.5703125" style="23" bestFit="1" customWidth="1"/>
    <col min="12808" max="12808" width="14.85546875" style="23" bestFit="1" customWidth="1"/>
    <col min="12809" max="12809" width="11.140625" style="23" bestFit="1" customWidth="1"/>
    <col min="12810" max="13062" width="9.140625" style="23"/>
    <col min="13063" max="13063" width="10.5703125" style="23" bestFit="1" customWidth="1"/>
    <col min="13064" max="13064" width="14.85546875" style="23" bestFit="1" customWidth="1"/>
    <col min="13065" max="13065" width="11.140625" style="23" bestFit="1" customWidth="1"/>
    <col min="13066" max="13318" width="9.140625" style="23"/>
    <col min="13319" max="13319" width="10.5703125" style="23" bestFit="1" customWidth="1"/>
    <col min="13320" max="13320" width="14.85546875" style="23" bestFit="1" customWidth="1"/>
    <col min="13321" max="13321" width="11.140625" style="23" bestFit="1" customWidth="1"/>
    <col min="13322" max="13574" width="9.140625" style="23"/>
    <col min="13575" max="13575" width="10.5703125" style="23" bestFit="1" customWidth="1"/>
    <col min="13576" max="13576" width="14.85546875" style="23" bestFit="1" customWidth="1"/>
    <col min="13577" max="13577" width="11.140625" style="23" bestFit="1" customWidth="1"/>
    <col min="13578" max="13830" width="9.140625" style="23"/>
    <col min="13831" max="13831" width="10.5703125" style="23" bestFit="1" customWidth="1"/>
    <col min="13832" max="13832" width="14.85546875" style="23" bestFit="1" customWidth="1"/>
    <col min="13833" max="13833" width="11.140625" style="23" bestFit="1" customWidth="1"/>
    <col min="13834" max="14086" width="9.140625" style="23"/>
    <col min="14087" max="14087" width="10.5703125" style="23" bestFit="1" customWidth="1"/>
    <col min="14088" max="14088" width="14.85546875" style="23" bestFit="1" customWidth="1"/>
    <col min="14089" max="14089" width="11.140625" style="23" bestFit="1" customWidth="1"/>
    <col min="14090" max="14342" width="9.140625" style="23"/>
    <col min="14343" max="14343" width="10.5703125" style="23" bestFit="1" customWidth="1"/>
    <col min="14344" max="14344" width="14.85546875" style="23" bestFit="1" customWidth="1"/>
    <col min="14345" max="14345" width="11.140625" style="23" bestFit="1" customWidth="1"/>
    <col min="14346" max="14598" width="9.140625" style="23"/>
    <col min="14599" max="14599" width="10.5703125" style="23" bestFit="1" customWidth="1"/>
    <col min="14600" max="14600" width="14.85546875" style="23" bestFit="1" customWidth="1"/>
    <col min="14601" max="14601" width="11.140625" style="23" bestFit="1" customWidth="1"/>
    <col min="14602" max="14854" width="9.140625" style="23"/>
    <col min="14855" max="14855" width="10.5703125" style="23" bestFit="1" customWidth="1"/>
    <col min="14856" max="14856" width="14.85546875" style="23" bestFit="1" customWidth="1"/>
    <col min="14857" max="14857" width="11.140625" style="23" bestFit="1" customWidth="1"/>
    <col min="14858" max="15110" width="9.140625" style="23"/>
    <col min="15111" max="15111" width="10.5703125" style="23" bestFit="1" customWidth="1"/>
    <col min="15112" max="15112" width="14.85546875" style="23" bestFit="1" customWidth="1"/>
    <col min="15113" max="15113" width="11.140625" style="23" bestFit="1" customWidth="1"/>
    <col min="15114" max="15366" width="9.140625" style="23"/>
    <col min="15367" max="15367" width="10.5703125" style="23" bestFit="1" customWidth="1"/>
    <col min="15368" max="15368" width="14.85546875" style="23" bestFit="1" customWidth="1"/>
    <col min="15369" max="15369" width="11.140625" style="23" bestFit="1" customWidth="1"/>
    <col min="15370" max="15622" width="9.140625" style="23"/>
    <col min="15623" max="15623" width="10.5703125" style="23" bestFit="1" customWidth="1"/>
    <col min="15624" max="15624" width="14.85546875" style="23" bestFit="1" customWidth="1"/>
    <col min="15625" max="15625" width="11.140625" style="23" bestFit="1" customWidth="1"/>
    <col min="15626" max="15878" width="9.140625" style="23"/>
    <col min="15879" max="15879" width="10.5703125" style="23" bestFit="1" customWidth="1"/>
    <col min="15880" max="15880" width="14.85546875" style="23" bestFit="1" customWidth="1"/>
    <col min="15881" max="15881" width="11.140625" style="23" bestFit="1" customWidth="1"/>
    <col min="15882" max="16134" width="9.140625" style="23"/>
    <col min="16135" max="16135" width="10.5703125" style="23" bestFit="1" customWidth="1"/>
    <col min="16136" max="16136" width="14.85546875" style="23" bestFit="1" customWidth="1"/>
    <col min="16137" max="16137" width="11.140625" style="23" bestFit="1" customWidth="1"/>
    <col min="16138" max="16384" width="9.140625" style="23"/>
  </cols>
  <sheetData>
    <row r="1" spans="2:19" ht="18.75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513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430</v>
      </c>
      <c r="J4" s="158" t="s">
        <v>226</v>
      </c>
      <c r="K4" s="158" t="s">
        <v>227</v>
      </c>
    </row>
    <row r="5" spans="2:19" ht="15.7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E32" sqref="E32"/>
    </sheetView>
  </sheetViews>
  <sheetFormatPr defaultColWidth="9.140625" defaultRowHeight="15"/>
  <cols>
    <col min="1" max="1" width="9.140625" style="23"/>
    <col min="2" max="2" width="12.5703125" style="23" customWidth="1"/>
    <col min="3" max="3" width="23.28515625" style="23" customWidth="1"/>
    <col min="4" max="4" width="21.28515625" style="23" bestFit="1" customWidth="1"/>
    <col min="5" max="5" width="29.85546875" style="23" bestFit="1" customWidth="1"/>
    <col min="6" max="6" width="16.5703125" style="23" bestFit="1" customWidth="1"/>
    <col min="7" max="8" width="13.28515625" style="23" bestFit="1" customWidth="1"/>
    <col min="9" max="9" width="15.140625" style="23" bestFit="1" customWidth="1"/>
    <col min="10" max="10" width="13.28515625" style="23" bestFit="1" customWidth="1"/>
    <col min="11" max="11" width="14.140625" style="23" customWidth="1"/>
    <col min="12" max="12" width="12.7109375" style="23" customWidth="1"/>
    <col min="13" max="13" width="19.140625" style="23" customWidth="1"/>
    <col min="14" max="14" width="15.140625" style="23" customWidth="1"/>
    <col min="15" max="15" width="10.5703125" style="23" customWidth="1"/>
    <col min="16" max="22" width="9.140625" style="23"/>
    <col min="23" max="23" width="16" style="23" bestFit="1" customWidth="1"/>
    <col min="24" max="24" width="19.28515625" style="23" customWidth="1"/>
    <col min="25" max="25" width="38.5703125" style="23" bestFit="1" customWidth="1"/>
    <col min="26" max="16384" width="9.140625" style="23"/>
  </cols>
  <sheetData>
    <row r="1" spans="2:20" ht="18.75">
      <c r="B1" s="3" t="s">
        <v>544</v>
      </c>
      <c r="C1" s="4"/>
      <c r="D1" s="4"/>
    </row>
    <row r="3" spans="2:20" ht="18.75">
      <c r="G3" s="257" t="s">
        <v>557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513</v>
      </c>
      <c r="D4" s="6" t="s">
        <v>2</v>
      </c>
      <c r="E4" s="6" t="s">
        <v>545</v>
      </c>
      <c r="F4" s="6" t="s">
        <v>559</v>
      </c>
      <c r="G4" s="6" t="s">
        <v>38</v>
      </c>
      <c r="H4" s="7" t="s">
        <v>600</v>
      </c>
      <c r="I4" s="7" t="s">
        <v>601</v>
      </c>
      <c r="J4" s="7" t="s">
        <v>602</v>
      </c>
      <c r="K4" s="7" t="s">
        <v>603</v>
      </c>
      <c r="L4" s="7" t="s">
        <v>604</v>
      </c>
      <c r="M4" s="7" t="s">
        <v>605</v>
      </c>
      <c r="N4" s="38" t="s">
        <v>77</v>
      </c>
    </row>
    <row r="5" spans="2:20" ht="26.25" thickBot="1">
      <c r="C5" s="9" t="s">
        <v>515</v>
      </c>
      <c r="D5" s="9" t="s">
        <v>46</v>
      </c>
      <c r="E5" s="9" t="s">
        <v>47</v>
      </c>
      <c r="F5" s="9" t="s">
        <v>558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9" t="str">
        <f>Processes!C11</f>
        <v>IE,National</v>
      </c>
      <c r="D6" s="259" t="str">
        <f>Processes!D11</f>
        <v>IMPOILCRD</v>
      </c>
      <c r="E6" s="259" t="str">
        <f>Processes!E11</f>
        <v xml:space="preserve">Import of Crude Oil </v>
      </c>
      <c r="F6" s="23" t="s">
        <v>13</v>
      </c>
      <c r="G6" s="259" t="str">
        <f>Commodities!C11</f>
        <v>OILCRD</v>
      </c>
      <c r="H6" s="260">
        <f>F55</f>
        <v>10.080858130155704</v>
      </c>
      <c r="I6" s="260">
        <f>Imports_Fossil!F37</f>
        <v>9.8525375645158704</v>
      </c>
      <c r="J6" s="260">
        <f>Imports_Fossil!G37</f>
        <v>11.103653445724236</v>
      </c>
      <c r="K6" s="260">
        <f>Imports_Fossil!H37</f>
        <v>11.885600871479463</v>
      </c>
      <c r="L6" s="260">
        <f>Imports_Fossil!I37</f>
        <v>12.66754829723469</v>
      </c>
      <c r="M6" s="260">
        <f>Imports_Fossil!J37</f>
        <v>13.293106237838872</v>
      </c>
      <c r="N6" t="s">
        <v>556</v>
      </c>
    </row>
    <row r="7" spans="2:20">
      <c r="C7" s="259" t="str">
        <f>Processes!C19</f>
        <v>IE,National</v>
      </c>
      <c r="D7" s="259" t="str">
        <f>Processes!D19</f>
        <v>IMPGASNAT_UK</v>
      </c>
      <c r="E7" s="259" t="str">
        <f>Processes!E19</f>
        <v>Import of Natural Gas  - UK</v>
      </c>
      <c r="F7" s="23" t="s">
        <v>13</v>
      </c>
      <c r="G7" s="259" t="str">
        <f>Commodities!C21</f>
        <v>GASNAT</v>
      </c>
      <c r="H7" s="260">
        <f>F56</f>
        <v>6.0993955738996535</v>
      </c>
      <c r="I7" s="260">
        <f>Imports_Fossil!F38</f>
        <v>5.672401594494854</v>
      </c>
      <c r="J7" s="260">
        <f>Imports_Fossil!G38</f>
        <v>6.1803778566884233</v>
      </c>
      <c r="K7" s="260">
        <f>Imports_Fossil!H38</f>
        <v>9.3975608505810264</v>
      </c>
      <c r="L7" s="260">
        <f>Imports_Fossil!I38</f>
        <v>11.006152347527328</v>
      </c>
      <c r="M7" s="260">
        <f>Imports_Fossil!J38</f>
        <v>12.890088334941915</v>
      </c>
      <c r="N7" t="s">
        <v>556</v>
      </c>
      <c r="R7" s="23" t="s">
        <v>560</v>
      </c>
      <c r="T7" s="23" t="s">
        <v>561</v>
      </c>
    </row>
    <row r="8" spans="2:20">
      <c r="C8" s="261" t="str">
        <f>Processes!C8</f>
        <v>IE,National</v>
      </c>
      <c r="D8" s="261" t="str">
        <f>Processes!D8</f>
        <v>IMPCOAHAR</v>
      </c>
      <c r="E8" s="261" t="str">
        <f>Processes!E8</f>
        <v xml:space="preserve">Import of Hard Coal / Antracite </v>
      </c>
      <c r="F8" s="27" t="s">
        <v>13</v>
      </c>
      <c r="G8" s="261" t="str">
        <f>Commodities!C7</f>
        <v>COAHAR</v>
      </c>
      <c r="H8" s="262">
        <f>F57</f>
        <v>1.8606832276188203</v>
      </c>
      <c r="I8" s="262">
        <f>Imports_Fossil!F39</f>
        <v>1.3014677481874186</v>
      </c>
      <c r="J8" s="262">
        <f>Imports_Fossil!G39</f>
        <v>1.3868098956095445</v>
      </c>
      <c r="K8" s="262">
        <f>Imports_Fossil!H39</f>
        <v>1.7068429484425165</v>
      </c>
      <c r="L8" s="262">
        <f>Imports_Fossil!I39</f>
        <v>1.8775272432867682</v>
      </c>
      <c r="M8" s="262">
        <f>Imports_Fossil!J39</f>
        <v>2.065279967615445</v>
      </c>
      <c r="N8" t="s">
        <v>556</v>
      </c>
    </row>
    <row r="9" spans="2:20">
      <c r="C9" s="259" t="str">
        <f>Processes!C7</f>
        <v>IE,National</v>
      </c>
      <c r="D9" s="259" t="str">
        <f>Processes!D7</f>
        <v>IMPCOABIT</v>
      </c>
      <c r="E9" s="259" t="str">
        <f>Processes!E7</f>
        <v xml:space="preserve">Import of Bituminous Coal </v>
      </c>
      <c r="F9" s="23" t="s">
        <v>13</v>
      </c>
      <c r="G9" s="259" t="str">
        <f>Commodities!C6</f>
        <v>COABIT</v>
      </c>
      <c r="H9" s="260">
        <f t="shared" ref="H9:M9" si="0">H$8*$N$9</f>
        <v>1.7676490662378885</v>
      </c>
      <c r="I9" s="260">
        <f t="shared" si="0"/>
        <v>1.2363943607780541</v>
      </c>
      <c r="J9" s="260">
        <f t="shared" si="0"/>
        <v>1.3174694008290742</v>
      </c>
      <c r="K9" s="260">
        <f t="shared" si="0"/>
        <v>1.6215008010203991</v>
      </c>
      <c r="L9" s="260">
        <f t="shared" si="0"/>
        <v>1.7836508811224392</v>
      </c>
      <c r="M9" s="260">
        <f t="shared" si="0"/>
        <v>1.962015969234683</v>
      </c>
      <c r="N9" s="263">
        <v>0.95000000000000495</v>
      </c>
      <c r="R9" s="23" t="s">
        <v>562</v>
      </c>
      <c r="S9" s="23" t="s">
        <v>563</v>
      </c>
    </row>
    <row r="10" spans="2:20">
      <c r="C10" s="259" t="str">
        <f>Processes!C9</f>
        <v>IE,National</v>
      </c>
      <c r="D10" s="259" t="str">
        <f>Processes!D9</f>
        <v>IMPCOACOK</v>
      </c>
      <c r="E10" s="259" t="str">
        <f>Processes!E9</f>
        <v xml:space="preserve">Import of Coke Coal </v>
      </c>
      <c r="F10" s="23" t="s">
        <v>13</v>
      </c>
      <c r="G10" s="259" t="str">
        <f>Commodities!C8</f>
        <v>COACOK</v>
      </c>
      <c r="H10" s="260">
        <f t="shared" ref="H10:M11" si="1">H$8*$N10</f>
        <v>2.3630676990759136</v>
      </c>
      <c r="I10" s="260">
        <f t="shared" si="1"/>
        <v>1.6528640401980297</v>
      </c>
      <c r="J10" s="260">
        <f t="shared" si="1"/>
        <v>1.7612485674241301</v>
      </c>
      <c r="K10" s="260">
        <f t="shared" si="1"/>
        <v>2.1676905445220065</v>
      </c>
      <c r="L10" s="260">
        <f t="shared" si="1"/>
        <v>2.3844595989742072</v>
      </c>
      <c r="M10" s="260">
        <f t="shared" si="1"/>
        <v>2.6229055588716279</v>
      </c>
      <c r="N10" s="26">
        <v>1.2700000000000062</v>
      </c>
      <c r="R10" s="23" t="s">
        <v>564</v>
      </c>
      <c r="S10" s="23">
        <v>58.93</v>
      </c>
    </row>
    <row r="11" spans="2:20">
      <c r="C11" s="259" t="str">
        <f>Processes!C10</f>
        <v>IE,National</v>
      </c>
      <c r="D11" s="259" t="str">
        <f>Processes!D10</f>
        <v>IMPCOALIG</v>
      </c>
      <c r="E11" s="259" t="str">
        <f>Processes!E10</f>
        <v xml:space="preserve">Import of Lignite /  Brown Coal </v>
      </c>
      <c r="F11" s="23" t="s">
        <v>13</v>
      </c>
      <c r="G11" s="259" t="str">
        <f>Commodities!C9</f>
        <v>COALIG</v>
      </c>
      <c r="H11" s="260">
        <f t="shared" si="1"/>
        <v>1.6291696463022047</v>
      </c>
      <c r="I11" s="260">
        <f t="shared" si="1"/>
        <v>1.1395339730673333</v>
      </c>
      <c r="J11" s="260">
        <f t="shared" si="1"/>
        <v>1.2142575122848633</v>
      </c>
      <c r="K11" s="260">
        <f t="shared" si="1"/>
        <v>1.4944707843506013</v>
      </c>
      <c r="L11" s="260">
        <f t="shared" si="1"/>
        <v>1.6439178627856614</v>
      </c>
      <c r="M11" s="260">
        <f t="shared" si="1"/>
        <v>1.8083096490642274</v>
      </c>
      <c r="N11" s="26">
        <v>0.87557603686636576</v>
      </c>
      <c r="R11" s="23" t="s">
        <v>565</v>
      </c>
      <c r="S11" s="23">
        <v>19.86</v>
      </c>
    </row>
    <row r="12" spans="2:20">
      <c r="C12" s="259" t="str">
        <f>Processes!C20</f>
        <v>IE,National</v>
      </c>
      <c r="D12" s="259" t="str">
        <f>Processes!D20</f>
        <v>IMPGASLNG_GLOBAL</v>
      </c>
      <c r="E12" s="259" t="str">
        <f>Processes!E20</f>
        <v xml:space="preserve">Import of Liquified Natural Gas </v>
      </c>
      <c r="F12" s="23" t="s">
        <v>13</v>
      </c>
      <c r="G12" s="259" t="str">
        <f>Commodities!C22</f>
        <v>GASLNG</v>
      </c>
      <c r="H12" s="260">
        <f t="shared" ref="H12:M12" si="2">H$7*$N12</f>
        <v>6.5078020231419309</v>
      </c>
      <c r="I12" s="260">
        <f t="shared" si="2"/>
        <v>6.0522171624172225</v>
      </c>
      <c r="J12" s="260">
        <f t="shared" si="2"/>
        <v>6.5942067590516009</v>
      </c>
      <c r="K12" s="260">
        <f t="shared" si="2"/>
        <v>10.026807537735994</v>
      </c>
      <c r="L12" s="260">
        <f t="shared" si="2"/>
        <v>11.743107927078192</v>
      </c>
      <c r="M12" s="260">
        <f t="shared" si="2"/>
        <v>13.753189464145629</v>
      </c>
      <c r="N12" s="26">
        <v>1.0669585115925122</v>
      </c>
      <c r="R12" s="23" t="s">
        <v>566</v>
      </c>
      <c r="S12" s="23">
        <v>102.22</v>
      </c>
    </row>
    <row r="13" spans="2:20">
      <c r="C13" s="259" t="str">
        <f>Processes!C14</f>
        <v>IE,National</v>
      </c>
      <c r="D13" s="259" t="str">
        <f>Processes!D14</f>
        <v>IMPOILDST</v>
      </c>
      <c r="E13" s="259" t="str">
        <f>Processes!E14</f>
        <v xml:space="preserve">Import of Diesel Oil </v>
      </c>
      <c r="F13" s="23" t="s">
        <v>13</v>
      </c>
      <c r="G13" s="259" t="str">
        <f>Commodities!C15</f>
        <v>OILDST</v>
      </c>
      <c r="H13" s="260">
        <f t="shared" ref="H13:M18" si="3">H$6*$N13</f>
        <v>15.417783022591095</v>
      </c>
      <c r="I13" s="260">
        <f t="shared" si="3"/>
        <v>15.068586863377233</v>
      </c>
      <c r="J13" s="260">
        <f t="shared" si="3"/>
        <v>16.982058211107677</v>
      </c>
      <c r="K13" s="260">
        <f t="shared" si="3"/>
        <v>18.177977803439202</v>
      </c>
      <c r="L13" s="260">
        <f t="shared" si="3"/>
        <v>19.373897395770726</v>
      </c>
      <c r="M13" s="260">
        <f t="shared" si="3"/>
        <v>20.330633069635947</v>
      </c>
      <c r="N13" s="26">
        <v>1.5294117647058842</v>
      </c>
    </row>
    <row r="14" spans="2:20">
      <c r="C14" s="259" t="str">
        <f>Processes!C16</f>
        <v>IE,National</v>
      </c>
      <c r="D14" s="259" t="str">
        <f>Processes!D16</f>
        <v>IMPOILGSL</v>
      </c>
      <c r="E14" s="259" t="str">
        <f>Processes!E16</f>
        <v xml:space="preserve">Import of Gasoline </v>
      </c>
      <c r="F14" s="23" t="s">
        <v>13</v>
      </c>
      <c r="G14" s="259" t="str">
        <f>Commodities!C17</f>
        <v>OILGSL</v>
      </c>
      <c r="H14" s="260">
        <f t="shared" si="3"/>
        <v>16.603766332021141</v>
      </c>
      <c r="I14" s="260">
        <f t="shared" si="3"/>
        <v>16.227708929790829</v>
      </c>
      <c r="J14" s="260">
        <f t="shared" si="3"/>
        <v>18.288370381192841</v>
      </c>
      <c r="K14" s="260">
        <f t="shared" si="3"/>
        <v>19.576283788319095</v>
      </c>
      <c r="L14" s="260">
        <f t="shared" si="3"/>
        <v>20.864197195445353</v>
      </c>
      <c r="M14" s="260">
        <f t="shared" si="3"/>
        <v>21.894527921146356</v>
      </c>
      <c r="N14" s="26">
        <v>1.6470588235294101</v>
      </c>
    </row>
    <row r="15" spans="2:20">
      <c r="C15" s="259" t="str">
        <f>Processes!C13</f>
        <v>IE,National</v>
      </c>
      <c r="D15" s="259" t="str">
        <f>Processes!D13</f>
        <v>IMPOILHFO</v>
      </c>
      <c r="E15" s="259" t="str">
        <f>Processes!E13</f>
        <v xml:space="preserve">Import of Heavy Fuel Oil </v>
      </c>
      <c r="F15" s="23" t="s">
        <v>13</v>
      </c>
      <c r="G15" s="259" t="str">
        <f>Commodities!C14</f>
        <v>OILHFO</v>
      </c>
      <c r="H15" s="260">
        <f t="shared" si="3"/>
        <v>8.165495085426107</v>
      </c>
      <c r="I15" s="260">
        <f t="shared" si="3"/>
        <v>7.9805554272578423</v>
      </c>
      <c r="J15" s="260">
        <f t="shared" si="3"/>
        <v>8.9939592910366173</v>
      </c>
      <c r="K15" s="260">
        <f t="shared" si="3"/>
        <v>9.6273367058983492</v>
      </c>
      <c r="L15" s="260">
        <f t="shared" si="3"/>
        <v>10.260714120760083</v>
      </c>
      <c r="M15" s="260">
        <f t="shared" si="3"/>
        <v>10.76741605264947</v>
      </c>
      <c r="N15" s="26">
        <v>0.80999999999999872</v>
      </c>
    </row>
    <row r="16" spans="2:20">
      <c r="C16" s="259" t="str">
        <f>Processes!C12</f>
        <v>IE,National</v>
      </c>
      <c r="D16" s="259" t="str">
        <f>Processes!D12</f>
        <v>IMPOILKER</v>
      </c>
      <c r="E16" s="259" t="str">
        <f>Processes!E12</f>
        <v xml:space="preserve">Import of Kerosene </v>
      </c>
      <c r="F16" s="23" t="s">
        <v>13</v>
      </c>
      <c r="G16" s="259" t="str">
        <f>Commodities!C13</f>
        <v>OILKER</v>
      </c>
      <c r="H16" s="260">
        <f t="shared" si="3"/>
        <v>16.603766332021141</v>
      </c>
      <c r="I16" s="260">
        <f t="shared" si="3"/>
        <v>16.227708929790829</v>
      </c>
      <c r="J16" s="260">
        <f t="shared" si="3"/>
        <v>18.288370381192841</v>
      </c>
      <c r="K16" s="260">
        <f t="shared" si="3"/>
        <v>19.576283788319095</v>
      </c>
      <c r="L16" s="260">
        <f t="shared" si="3"/>
        <v>20.864197195445353</v>
      </c>
      <c r="M16" s="260">
        <f t="shared" si="3"/>
        <v>21.894527921146356</v>
      </c>
      <c r="N16" s="26">
        <v>1.6470588235294101</v>
      </c>
    </row>
    <row r="17" spans="3:21">
      <c r="C17" s="259" t="str">
        <f>Processes!C15</f>
        <v>IE,National</v>
      </c>
      <c r="D17" s="259" t="str">
        <f>Processes!D15</f>
        <v>IMPOILLPG</v>
      </c>
      <c r="E17" s="259" t="str">
        <f>Processes!E15</f>
        <v xml:space="preserve">Import of Liquified Petroleum Gas </v>
      </c>
      <c r="F17" s="23" t="s">
        <v>13</v>
      </c>
      <c r="G17" s="259" t="str">
        <f>Commodities!C16</f>
        <v>OILLPG</v>
      </c>
      <c r="H17" s="260">
        <f t="shared" si="3"/>
        <v>13.045816403730882</v>
      </c>
      <c r="I17" s="260">
        <f t="shared" si="3"/>
        <v>12.750342730549923</v>
      </c>
      <c r="J17" s="260">
        <f t="shared" si="3"/>
        <v>14.369433870937215</v>
      </c>
      <c r="K17" s="260">
        <f t="shared" si="3"/>
        <v>15.381365833679272</v>
      </c>
      <c r="L17" s="260">
        <f t="shared" si="3"/>
        <v>16.393297796421329</v>
      </c>
      <c r="M17" s="260">
        <f t="shared" si="3"/>
        <v>17.202843366614974</v>
      </c>
      <c r="N17" s="26">
        <v>1.2941176470588207</v>
      </c>
    </row>
    <row r="18" spans="3:21">
      <c r="C18" s="259" t="str">
        <f>Processes!C17</f>
        <v>IE,National</v>
      </c>
      <c r="D18" s="259" t="str">
        <f>Processes!D17</f>
        <v>IMPOILCOK</v>
      </c>
      <c r="E18" s="259" t="str">
        <f>Processes!E17</f>
        <v xml:space="preserve">Import of Petroleum Coke </v>
      </c>
      <c r="F18" s="27" t="s">
        <v>13</v>
      </c>
      <c r="G18" s="259" t="str">
        <f>Commodities!C18</f>
        <v>OILCOK</v>
      </c>
      <c r="H18" s="260">
        <f t="shared" si="3"/>
        <v>16.603766332021141</v>
      </c>
      <c r="I18" s="260">
        <f t="shared" si="3"/>
        <v>16.227708929790829</v>
      </c>
      <c r="J18" s="260">
        <f t="shared" si="3"/>
        <v>18.288370381192841</v>
      </c>
      <c r="K18" s="260">
        <f t="shared" si="3"/>
        <v>19.576283788319095</v>
      </c>
      <c r="L18" s="260">
        <f t="shared" si="3"/>
        <v>20.864197195445353</v>
      </c>
      <c r="M18" s="260">
        <f t="shared" si="3"/>
        <v>21.894527921146356</v>
      </c>
      <c r="N18" s="264">
        <v>1.6470588235294101</v>
      </c>
    </row>
    <row r="19" spans="3:21">
      <c r="C19" s="265" t="str">
        <f>Processes!C21</f>
        <v>IE,National</v>
      </c>
      <c r="D19" s="265" t="str">
        <f>Processes!D21</f>
        <v>IMPNUCURM</v>
      </c>
      <c r="E19" s="265" t="str">
        <f>Processes!E21</f>
        <v>Import of Uranium</v>
      </c>
      <c r="F19" s="269" t="s">
        <v>13</v>
      </c>
      <c r="G19" s="265" t="str">
        <f>Commodities!C23</f>
        <v>NUCURM</v>
      </c>
      <c r="H19" s="266"/>
      <c r="I19" s="266"/>
      <c r="J19" s="267"/>
      <c r="K19" s="267"/>
      <c r="L19" s="267"/>
      <c r="M19" s="267"/>
      <c r="N19"/>
    </row>
    <row r="20" spans="3:21">
      <c r="C20" s="265" t="str">
        <f>Processes!C18</f>
        <v>IE,National</v>
      </c>
      <c r="D20" s="265" t="str">
        <f>Processes!D18</f>
        <v>IMPOILNEU</v>
      </c>
      <c r="E20" s="265" t="str">
        <f>Processes!E18</f>
        <v>Import of Oil for Non-Energy uses</v>
      </c>
      <c r="F20" s="269" t="s">
        <v>13</v>
      </c>
      <c r="G20" s="268" t="str">
        <f>Commodities!C20</f>
        <v>OILNEU</v>
      </c>
      <c r="H20" s="266">
        <f t="shared" ref="H20" si="4">H6</f>
        <v>10.080858130155704</v>
      </c>
      <c r="I20" s="266">
        <f t="shared" ref="I20:M20" si="5">I6</f>
        <v>9.8525375645158704</v>
      </c>
      <c r="J20" s="266">
        <f t="shared" si="5"/>
        <v>11.103653445724236</v>
      </c>
      <c r="K20" s="266">
        <f t="shared" si="5"/>
        <v>11.885600871479463</v>
      </c>
      <c r="L20" s="266">
        <f t="shared" si="5"/>
        <v>12.66754829723469</v>
      </c>
      <c r="M20" s="266">
        <f t="shared" si="5"/>
        <v>13.293106237838872</v>
      </c>
      <c r="N20" s="268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5" t="s">
        <v>531</v>
      </c>
      <c r="D24" s="246"/>
      <c r="E24" s="246"/>
      <c r="F24" s="247"/>
      <c r="G24" s="470" t="s">
        <v>527</v>
      </c>
      <c r="H24" s="470"/>
      <c r="I24" s="470"/>
      <c r="J24" s="471"/>
      <c r="K24" s="472" t="s">
        <v>528</v>
      </c>
      <c r="L24" s="473"/>
      <c r="M24" s="474" t="s">
        <v>529</v>
      </c>
      <c r="N24" s="473"/>
      <c r="S24"/>
    </row>
    <row r="25" spans="3:21">
      <c r="C25" s="241" t="s">
        <v>530</v>
      </c>
      <c r="D25" s="241" t="s">
        <v>76</v>
      </c>
      <c r="E25" s="243">
        <v>2010</v>
      </c>
      <c r="F25" s="243">
        <v>2019</v>
      </c>
      <c r="G25" s="242">
        <v>2025</v>
      </c>
      <c r="H25" s="243">
        <v>2030</v>
      </c>
      <c r="I25" s="243">
        <v>2035</v>
      </c>
      <c r="J25" s="244">
        <v>2040</v>
      </c>
      <c r="K25" s="242">
        <v>2025</v>
      </c>
      <c r="L25" s="244">
        <v>2040</v>
      </c>
      <c r="M25" s="243">
        <v>2025</v>
      </c>
      <c r="N25" s="244">
        <v>2040</v>
      </c>
      <c r="O25"/>
    </row>
    <row r="26" spans="3:21">
      <c r="C26" s="233" t="s">
        <v>517</v>
      </c>
      <c r="D26" s="233" t="s">
        <v>516</v>
      </c>
      <c r="E26" s="235">
        <v>91</v>
      </c>
      <c r="F26" s="236">
        <v>63</v>
      </c>
      <c r="G26" s="235">
        <v>71</v>
      </c>
      <c r="H26" s="235">
        <v>76</v>
      </c>
      <c r="I26" s="235">
        <v>81</v>
      </c>
      <c r="J26" s="236">
        <v>85</v>
      </c>
      <c r="K26" s="235">
        <v>57</v>
      </c>
      <c r="L26" s="236">
        <v>53</v>
      </c>
      <c r="M26" s="235">
        <v>59</v>
      </c>
      <c r="N26" s="236">
        <v>71</v>
      </c>
      <c r="O26"/>
    </row>
    <row r="27" spans="3:21">
      <c r="C27" s="233" t="s">
        <v>519</v>
      </c>
      <c r="D27" s="233" t="s">
        <v>521</v>
      </c>
      <c r="E27" s="235">
        <v>8.6999999999999993</v>
      </c>
      <c r="F27" s="236">
        <v>6.7</v>
      </c>
      <c r="G27" s="235">
        <v>7.3</v>
      </c>
      <c r="H27" s="235">
        <v>11.1</v>
      </c>
      <c r="I27" s="235">
        <v>13</v>
      </c>
      <c r="J27" s="236">
        <f>I27*(1+(I27/H27-1))</f>
        <v>15.225225225225225</v>
      </c>
      <c r="K27" s="235">
        <v>4.8</v>
      </c>
      <c r="L27" s="236">
        <v>4.9000000000000004</v>
      </c>
      <c r="M27" s="235">
        <v>6.3</v>
      </c>
      <c r="N27" s="236">
        <v>7.6</v>
      </c>
      <c r="O27"/>
    </row>
    <row r="28" spans="3:21">
      <c r="C28" s="237" t="s">
        <v>518</v>
      </c>
      <c r="D28" s="237" t="s">
        <v>522</v>
      </c>
      <c r="E28" s="239">
        <v>108</v>
      </c>
      <c r="F28" s="240">
        <v>61</v>
      </c>
      <c r="G28" s="239">
        <v>65</v>
      </c>
      <c r="H28" s="239">
        <v>80</v>
      </c>
      <c r="I28" s="239">
        <v>88</v>
      </c>
      <c r="J28" s="240">
        <f>I28*(1+(I28/H28-1))</f>
        <v>96.800000000000011</v>
      </c>
      <c r="K28" s="239">
        <v>57</v>
      </c>
      <c r="L28" s="240">
        <v>55</v>
      </c>
      <c r="M28" s="239">
        <v>60</v>
      </c>
      <c r="N28" s="240">
        <v>64</v>
      </c>
      <c r="O28" s="33"/>
    </row>
    <row r="29" spans="3:21">
      <c r="C29" s="30" t="s">
        <v>520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4" t="s">
        <v>532</v>
      </c>
      <c r="D31" s="254"/>
      <c r="E31" s="258">
        <f>E25</f>
        <v>2010</v>
      </c>
      <c r="F31" s="258">
        <f t="shared" ref="F31:N31" si="6">F25</f>
        <v>2019</v>
      </c>
      <c r="G31" s="258">
        <f t="shared" si="6"/>
        <v>2025</v>
      </c>
      <c r="H31" s="258">
        <f t="shared" si="6"/>
        <v>2030</v>
      </c>
      <c r="I31" s="258">
        <f t="shared" si="6"/>
        <v>2035</v>
      </c>
      <c r="J31" s="258">
        <f t="shared" si="6"/>
        <v>2040</v>
      </c>
      <c r="K31" s="258">
        <f t="shared" si="6"/>
        <v>2025</v>
      </c>
      <c r="L31" s="258">
        <f t="shared" si="6"/>
        <v>2040</v>
      </c>
      <c r="M31" s="258">
        <f t="shared" si="6"/>
        <v>2025</v>
      </c>
      <c r="N31" s="258">
        <f t="shared" si="6"/>
        <v>2040</v>
      </c>
      <c r="O31" s="33"/>
    </row>
    <row r="32" spans="3:21">
      <c r="C32" s="249" t="str">
        <f>C26</f>
        <v xml:space="preserve">IEA crude oil </v>
      </c>
      <c r="D32" s="256" t="s">
        <v>523</v>
      </c>
      <c r="E32" s="251">
        <f>E26/Conversions!$C$10</f>
        <v>81.288139393132582</v>
      </c>
      <c r="F32" s="250">
        <f>F26/Conversions!$C$10</f>
        <v>56.276404195245632</v>
      </c>
      <c r="G32" s="251">
        <f>G26/Conversions!$C$10</f>
        <v>63.422614251784765</v>
      </c>
      <c r="H32" s="250">
        <f>H26/Conversions!$C$10</f>
        <v>67.888995537121716</v>
      </c>
      <c r="I32" s="250">
        <f>I26/Conversions!$C$10</f>
        <v>72.355376822458666</v>
      </c>
      <c r="J32" s="252">
        <f>J26/Conversions!$C$10</f>
        <v>75.928481850728232</v>
      </c>
      <c r="K32" s="251">
        <f>K26/Conversions!$C$10</f>
        <v>50.91674665284129</v>
      </c>
      <c r="L32" s="252">
        <f>L26/Conversions!$C$10</f>
        <v>47.343641624571724</v>
      </c>
      <c r="M32" s="250">
        <f>M26/Conversions!$C$10</f>
        <v>52.703299166976066</v>
      </c>
      <c r="N32" s="252">
        <f>N26/Conversions!$C$10</f>
        <v>63.422614251784765</v>
      </c>
      <c r="O32" s="33"/>
    </row>
    <row r="33" spans="3:20">
      <c r="C33" s="233" t="str">
        <f>C27</f>
        <v>Natural Gas - EU</v>
      </c>
      <c r="D33" s="234" t="s">
        <v>524</v>
      </c>
      <c r="E33" s="248">
        <f>E27/Conversions!$C$10</f>
        <v>7.7715034364863014</v>
      </c>
      <c r="F33" s="235">
        <f>F27/Conversions!$C$10</f>
        <v>5.98495092235152</v>
      </c>
      <c r="G33" s="248">
        <f>G27/Conversions!$C$10</f>
        <v>6.5209166765919546</v>
      </c>
      <c r="H33" s="235">
        <f>H27/Conversions!$C$10</f>
        <v>9.9153664534480406</v>
      </c>
      <c r="I33" s="235">
        <f>I27/Conversions!$C$10</f>
        <v>11.612591341876083</v>
      </c>
      <c r="J33" s="236">
        <f>J27/Conversions!$C$10</f>
        <v>13.600332202197214</v>
      </c>
      <c r="K33" s="248">
        <f>K27/Conversions!$C$10</f>
        <v>4.2877260339234766</v>
      </c>
      <c r="L33" s="236">
        <f>L27/Conversions!$C$10</f>
        <v>4.3770536596302163</v>
      </c>
      <c r="M33" s="235">
        <f>M27/Conversions!$C$10</f>
        <v>5.6276404195245631</v>
      </c>
      <c r="N33" s="236">
        <f>N27/Conversions!$C$10</f>
        <v>6.788899553712171</v>
      </c>
      <c r="O33" s="33"/>
    </row>
    <row r="34" spans="3:20">
      <c r="C34" s="237" t="str">
        <f>C28</f>
        <v>Steam coal - EU</v>
      </c>
      <c r="D34" s="238" t="s">
        <v>525</v>
      </c>
      <c r="E34" s="253">
        <f>E28/Conversions!$C$10</f>
        <v>96.473835763278231</v>
      </c>
      <c r="F34" s="239">
        <f>F28/Conversions!$C$10</f>
        <v>54.489851681110849</v>
      </c>
      <c r="G34" s="253">
        <f>G28/Conversions!$C$10</f>
        <v>58.062956709380416</v>
      </c>
      <c r="H34" s="239">
        <f>H28/Conversions!$C$10</f>
        <v>71.462100565391282</v>
      </c>
      <c r="I34" s="239">
        <f>I28/Conversions!$C$10</f>
        <v>78.608310621930414</v>
      </c>
      <c r="J34" s="240">
        <f>J28/Conversions!$C$10</f>
        <v>86.469141684123457</v>
      </c>
      <c r="K34" s="253">
        <f>K28/Conversions!$C$10</f>
        <v>50.91674665284129</v>
      </c>
      <c r="L34" s="240">
        <f>L28/Conversions!$C$10</f>
        <v>49.130194138706507</v>
      </c>
      <c r="M34" s="239">
        <f>M28/Conversions!$C$10</f>
        <v>53.596575424043458</v>
      </c>
      <c r="N34" s="240">
        <f>N28/Conversions!$C$10</f>
        <v>57.169680452313024</v>
      </c>
      <c r="O34" s="33"/>
    </row>
    <row r="35" spans="3:20">
      <c r="C35" s="174"/>
      <c r="D35" s="174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33"/>
    </row>
    <row r="36" spans="3:20">
      <c r="C36" s="254" t="s">
        <v>533</v>
      </c>
      <c r="D36" s="254"/>
      <c r="E36" s="258">
        <f>E25</f>
        <v>2010</v>
      </c>
      <c r="F36" s="258">
        <f t="shared" ref="F36:N36" si="7">F25</f>
        <v>2019</v>
      </c>
      <c r="G36" s="258">
        <f t="shared" si="7"/>
        <v>2025</v>
      </c>
      <c r="H36" s="258">
        <f t="shared" si="7"/>
        <v>2030</v>
      </c>
      <c r="I36" s="258">
        <f t="shared" si="7"/>
        <v>2035</v>
      </c>
      <c r="J36" s="258">
        <f t="shared" si="7"/>
        <v>2040</v>
      </c>
      <c r="K36" s="258">
        <f t="shared" si="7"/>
        <v>2025</v>
      </c>
      <c r="L36" s="258">
        <f t="shared" si="7"/>
        <v>2040</v>
      </c>
      <c r="M36" s="258">
        <f t="shared" si="7"/>
        <v>2025</v>
      </c>
      <c r="N36" s="258">
        <f t="shared" si="7"/>
        <v>2040</v>
      </c>
      <c r="O36" s="26"/>
    </row>
    <row r="37" spans="3:20">
      <c r="C37" s="249" t="str">
        <f>C26</f>
        <v xml:space="preserve">IEA crude oil </v>
      </c>
      <c r="D37" s="256" t="s">
        <v>526</v>
      </c>
      <c r="E37" s="251">
        <f>E32/Conversions!$C$5</f>
        <v>14.231443148745146</v>
      </c>
      <c r="F37" s="250">
        <f>F32/Conversions!$C$5</f>
        <v>9.8525375645158704</v>
      </c>
      <c r="G37" s="251">
        <f>G32/Conversions!$C$5</f>
        <v>11.103653445724236</v>
      </c>
      <c r="H37" s="250">
        <f>H32/Conversions!$C$5</f>
        <v>11.885600871479463</v>
      </c>
      <c r="I37" s="250">
        <f>I32/Conversions!$C$5</f>
        <v>12.66754829723469</v>
      </c>
      <c r="J37" s="252">
        <f>J32/Conversions!$C$5</f>
        <v>13.293106237838872</v>
      </c>
      <c r="K37" s="251">
        <f>K32/Conversions!$C$5</f>
        <v>8.9142006536095977</v>
      </c>
      <c r="L37" s="252">
        <f>L32/Conversions!$C$5</f>
        <v>8.2886427130054141</v>
      </c>
      <c r="M37" s="250">
        <f>M32/Conversions!$C$5</f>
        <v>9.2269796239116868</v>
      </c>
      <c r="N37" s="252">
        <f>N32/Conversions!$C$5</f>
        <v>11.103653445724236</v>
      </c>
      <c r="O37" s="26"/>
    </row>
    <row r="38" spans="3:20">
      <c r="C38" s="233" t="str">
        <f>C27</f>
        <v>Natural Gas - EU</v>
      </c>
      <c r="D38" s="234" t="s">
        <v>526</v>
      </c>
      <c r="E38" s="248">
        <f>E33/Conversions!$C$3</f>
        <v>7.3656558018067502</v>
      </c>
      <c r="F38" s="235">
        <f>F33/Conversions!$C$3</f>
        <v>5.672401594494854</v>
      </c>
      <c r="G38" s="248">
        <f>G33/Conversions!$C$3</f>
        <v>6.1803778566884233</v>
      </c>
      <c r="H38" s="235">
        <f>H33/Conversions!$C$3</f>
        <v>9.3975608505810264</v>
      </c>
      <c r="I38" s="235">
        <f>I33/Conversions!$C$3</f>
        <v>11.006152347527328</v>
      </c>
      <c r="J38" s="236">
        <f>J33/Conversions!$C$3</f>
        <v>12.890088334941915</v>
      </c>
      <c r="K38" s="248">
        <f>K33/Conversions!$C$3</f>
        <v>4.0638100975485516</v>
      </c>
      <c r="L38" s="236">
        <f>L33/Conversions!$C$3</f>
        <v>4.1484728079141471</v>
      </c>
      <c r="M38" s="235">
        <f>M33/Conversions!$C$3</f>
        <v>5.3337507530324739</v>
      </c>
      <c r="N38" s="236">
        <f>N33/Conversions!$C$3</f>
        <v>6.4343659877852062</v>
      </c>
      <c r="O38"/>
    </row>
    <row r="39" spans="3:20">
      <c r="C39" s="237" t="str">
        <f>C28</f>
        <v>Steam coal - EU</v>
      </c>
      <c r="D39" s="238" t="s">
        <v>526</v>
      </c>
      <c r="E39" s="253">
        <f>E34/(Conversions!$C$2*1000)</f>
        <v>2.3042379803973971</v>
      </c>
      <c r="F39" s="239">
        <f>F34/(Conversions!$C$2*1000)</f>
        <v>1.3014677481874186</v>
      </c>
      <c r="G39" s="253">
        <f>G34/(Conversions!$C$2*1000)</f>
        <v>1.3868098956095445</v>
      </c>
      <c r="H39" s="239">
        <f>H34/(Conversions!$C$2*1000)</f>
        <v>1.7068429484425165</v>
      </c>
      <c r="I39" s="239">
        <f>I34/(Conversions!$C$2*1000)</f>
        <v>1.8775272432867682</v>
      </c>
      <c r="J39" s="240">
        <f>J34/(Conversions!$C$2*1000)</f>
        <v>2.065279967615445</v>
      </c>
      <c r="K39" s="253">
        <f>K34/(Conversions!$C$2*1000)</f>
        <v>1.216125600765293</v>
      </c>
      <c r="L39" s="240">
        <f>L34/(Conversions!$C$2*1000)</f>
        <v>1.17345452705423</v>
      </c>
      <c r="M39" s="239">
        <f>M34/(Conversions!$C$2*1000)</f>
        <v>1.2801322113318871</v>
      </c>
      <c r="N39" s="240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5" t="s">
        <v>531</v>
      </c>
      <c r="D42" s="246"/>
      <c r="E42" s="246"/>
      <c r="F42" s="247"/>
      <c r="G42" s="470" t="s">
        <v>527</v>
      </c>
      <c r="H42" s="470"/>
      <c r="I42" s="470"/>
      <c r="J42" s="471"/>
      <c r="K42" s="472" t="s">
        <v>528</v>
      </c>
      <c r="L42" s="473"/>
      <c r="M42" s="474" t="s">
        <v>555</v>
      </c>
      <c r="N42" s="473"/>
      <c r="O42"/>
    </row>
    <row r="43" spans="3:20">
      <c r="C43" s="241" t="s">
        <v>547</v>
      </c>
      <c r="D43" s="241" t="s">
        <v>76</v>
      </c>
      <c r="E43" s="243">
        <v>2010</v>
      </c>
      <c r="F43" s="243">
        <v>2018</v>
      </c>
      <c r="G43" s="242">
        <v>2025</v>
      </c>
      <c r="H43" s="243">
        <v>2030</v>
      </c>
      <c r="I43" s="243">
        <v>2035</v>
      </c>
      <c r="J43" s="244">
        <v>2040</v>
      </c>
      <c r="K43" s="242">
        <v>2025</v>
      </c>
      <c r="L43" s="244">
        <v>2040</v>
      </c>
      <c r="M43" s="243">
        <v>2025</v>
      </c>
      <c r="N43" s="244">
        <v>2040</v>
      </c>
      <c r="O43"/>
    </row>
    <row r="44" spans="3:20">
      <c r="C44" s="233" t="s">
        <v>517</v>
      </c>
      <c r="D44" s="233" t="s">
        <v>548</v>
      </c>
      <c r="E44" s="235">
        <v>90</v>
      </c>
      <c r="F44" s="236">
        <v>68</v>
      </c>
      <c r="G44" s="235">
        <v>81</v>
      </c>
      <c r="H44" s="235">
        <v>88</v>
      </c>
      <c r="I44" s="235">
        <v>96</v>
      </c>
      <c r="J44" s="236">
        <v>103</v>
      </c>
      <c r="K44" s="235">
        <v>62</v>
      </c>
      <c r="L44" s="236">
        <v>59</v>
      </c>
      <c r="M44" s="235">
        <v>111</v>
      </c>
      <c r="N44" s="236">
        <v>134</v>
      </c>
      <c r="O44"/>
      <c r="P44"/>
      <c r="Q44"/>
    </row>
    <row r="45" spans="3:20">
      <c r="C45" s="233" t="s">
        <v>519</v>
      </c>
      <c r="D45" s="233" t="s">
        <v>549</v>
      </c>
      <c r="E45" s="235">
        <v>8.6</v>
      </c>
      <c r="F45" s="236">
        <v>7.6</v>
      </c>
      <c r="G45" s="235">
        <v>8</v>
      </c>
      <c r="H45" s="235">
        <v>8</v>
      </c>
      <c r="I45" s="235">
        <v>8.4</v>
      </c>
      <c r="J45" s="236">
        <v>8.9</v>
      </c>
      <c r="K45" s="235">
        <v>7.5</v>
      </c>
      <c r="L45" s="236">
        <v>7.5</v>
      </c>
      <c r="M45" s="235">
        <v>8.9</v>
      </c>
      <c r="N45" s="236">
        <v>9.9</v>
      </c>
      <c r="O45"/>
      <c r="P45"/>
      <c r="Q45"/>
    </row>
    <row r="46" spans="3:20">
      <c r="C46" s="237" t="s">
        <v>518</v>
      </c>
      <c r="D46" s="237" t="s">
        <v>550</v>
      </c>
      <c r="E46" s="239">
        <v>106</v>
      </c>
      <c r="F46" s="240">
        <v>92</v>
      </c>
      <c r="G46" s="239">
        <v>75</v>
      </c>
      <c r="H46" s="239">
        <v>76</v>
      </c>
      <c r="I46" s="239">
        <v>78</v>
      </c>
      <c r="J46" s="240">
        <v>78</v>
      </c>
      <c r="K46" s="239">
        <v>58</v>
      </c>
      <c r="L46" s="240">
        <v>60</v>
      </c>
      <c r="M46" s="239">
        <v>83</v>
      </c>
      <c r="N46" s="240">
        <v>90</v>
      </c>
      <c r="O46"/>
      <c r="P46"/>
      <c r="Q46"/>
    </row>
    <row r="47" spans="3:20">
      <c r="C47" s="30" t="s">
        <v>546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4" t="s">
        <v>532</v>
      </c>
      <c r="D49" s="254"/>
      <c r="E49" s="258">
        <f>E43</f>
        <v>2010</v>
      </c>
      <c r="F49" s="258">
        <f t="shared" ref="F49:N49" si="8">F43</f>
        <v>2018</v>
      </c>
      <c r="G49" s="258">
        <f t="shared" si="8"/>
        <v>2025</v>
      </c>
      <c r="H49" s="258">
        <f t="shared" si="8"/>
        <v>2030</v>
      </c>
      <c r="I49" s="258">
        <f t="shared" si="8"/>
        <v>2035</v>
      </c>
      <c r="J49" s="258">
        <f t="shared" si="8"/>
        <v>2040</v>
      </c>
      <c r="K49" s="258">
        <f t="shared" si="8"/>
        <v>2025</v>
      </c>
      <c r="L49" s="258">
        <f t="shared" si="8"/>
        <v>2040</v>
      </c>
      <c r="M49" s="258">
        <f t="shared" si="8"/>
        <v>2025</v>
      </c>
      <c r="N49" s="258">
        <f t="shared" si="8"/>
        <v>2040</v>
      </c>
      <c r="O49"/>
      <c r="P49"/>
      <c r="Q49"/>
    </row>
    <row r="50" spans="3:20">
      <c r="C50" s="249" t="str">
        <f>C44</f>
        <v xml:space="preserve">IEA crude oil </v>
      </c>
      <c r="D50" s="256" t="s">
        <v>551</v>
      </c>
      <c r="E50" s="251">
        <f>E44/Conversions!$C$11</f>
        <v>76.20954003972858</v>
      </c>
      <c r="F50" s="250">
        <f>F44/Conversions!$C$11</f>
        <v>57.580541363350484</v>
      </c>
      <c r="G50" s="251">
        <f>G44/Conversions!$C$11</f>
        <v>68.588586035755725</v>
      </c>
      <c r="H50" s="250">
        <f>H44/Conversions!$C$11</f>
        <v>74.515994705512384</v>
      </c>
      <c r="I50" s="250">
        <f>I44/Conversions!$C$11</f>
        <v>81.290176042377155</v>
      </c>
      <c r="J50" s="252">
        <f>J44/Conversions!$C$11</f>
        <v>87.217584712133814</v>
      </c>
      <c r="K50" s="251">
        <f>K44/Conversions!$C$11</f>
        <v>52.499905360701909</v>
      </c>
      <c r="L50" s="252">
        <f>L44/Conversions!$C$11</f>
        <v>49.959587359377622</v>
      </c>
      <c r="M50" s="250">
        <f>M44/Conversions!$C$11</f>
        <v>93.991766048998585</v>
      </c>
      <c r="N50" s="252">
        <f>N44/Conversions!$C$11</f>
        <v>113.46753739248477</v>
      </c>
      <c r="O50"/>
      <c r="P50"/>
      <c r="Q50"/>
    </row>
    <row r="51" spans="3:20">
      <c r="C51" s="233" t="str">
        <f>C45</f>
        <v>Natural Gas - EU</v>
      </c>
      <c r="D51" s="234" t="s">
        <v>552</v>
      </c>
      <c r="E51" s="248">
        <f>E45/Conversions!$C$11</f>
        <v>7.2822449371296196</v>
      </c>
      <c r="F51" s="235">
        <f>F45/Conversions!$C$11</f>
        <v>6.4354722700215241</v>
      </c>
      <c r="G51" s="248">
        <f>G45/Conversions!$C$11</f>
        <v>6.7741813368647623</v>
      </c>
      <c r="H51" s="235">
        <f>H45/Conversions!$C$11</f>
        <v>6.7741813368647623</v>
      </c>
      <c r="I51" s="235">
        <f>I45/Conversions!$C$11</f>
        <v>7.1128904037080014</v>
      </c>
      <c r="J51" s="236">
        <f>J45/Conversions!$C$11</f>
        <v>7.5362767372620487</v>
      </c>
      <c r="K51" s="248">
        <f>K45/Conversions!$C$11</f>
        <v>6.350795003310715</v>
      </c>
      <c r="L51" s="236">
        <f>L45/Conversions!$C$11</f>
        <v>6.350795003310715</v>
      </c>
      <c r="M51" s="235">
        <f>M45/Conversions!$C$11</f>
        <v>7.5362767372620487</v>
      </c>
      <c r="N51" s="236">
        <f>N45/Conversions!$C$11</f>
        <v>8.3830494043701442</v>
      </c>
      <c r="O51"/>
      <c r="P51"/>
      <c r="Q51"/>
    </row>
    <row r="52" spans="3:20">
      <c r="C52" s="237" t="str">
        <f>C46</f>
        <v>Steam coal - EU</v>
      </c>
      <c r="D52" s="238" t="s">
        <v>553</v>
      </c>
      <c r="E52" s="253">
        <f>E46/Conversions!$C$11</f>
        <v>89.757902713458108</v>
      </c>
      <c r="F52" s="239">
        <f>F46/Conversions!$C$11</f>
        <v>77.903085373944776</v>
      </c>
      <c r="G52" s="253">
        <f>G46/Conversions!$C$11</f>
        <v>63.50795003310715</v>
      </c>
      <c r="H52" s="239">
        <f>H46/Conversions!$C$11</f>
        <v>64.354722700215248</v>
      </c>
      <c r="I52" s="239">
        <f>I46/Conversions!$C$11</f>
        <v>66.04826803443143</v>
      </c>
      <c r="J52" s="240">
        <f>J46/Conversions!$C$11</f>
        <v>66.04826803443143</v>
      </c>
      <c r="K52" s="253">
        <f>K46/Conversions!$C$11</f>
        <v>49.112814692269531</v>
      </c>
      <c r="L52" s="240">
        <f>L46/Conversions!$C$11</f>
        <v>50.80636002648572</v>
      </c>
      <c r="M52" s="239">
        <f>M46/Conversions!$C$11</f>
        <v>70.282131369971907</v>
      </c>
      <c r="N52" s="240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/>
      <c r="T53" s="36"/>
    </row>
    <row r="54" spans="3:20">
      <c r="C54" s="254" t="s">
        <v>533</v>
      </c>
      <c r="D54" s="254"/>
      <c r="E54" s="258">
        <f>E43</f>
        <v>2010</v>
      </c>
      <c r="F54" s="258">
        <f t="shared" ref="F54:N54" si="9">F43</f>
        <v>2018</v>
      </c>
      <c r="G54" s="258">
        <f t="shared" si="9"/>
        <v>2025</v>
      </c>
      <c r="H54" s="258">
        <f t="shared" si="9"/>
        <v>2030</v>
      </c>
      <c r="I54" s="258">
        <f t="shared" si="9"/>
        <v>2035</v>
      </c>
      <c r="J54" s="258">
        <f t="shared" si="9"/>
        <v>2040</v>
      </c>
      <c r="K54" s="258">
        <f t="shared" si="9"/>
        <v>2025</v>
      </c>
      <c r="L54" s="258">
        <f t="shared" si="9"/>
        <v>2040</v>
      </c>
      <c r="M54" s="258">
        <f t="shared" si="9"/>
        <v>2025</v>
      </c>
      <c r="N54" s="258">
        <f t="shared" si="9"/>
        <v>2040</v>
      </c>
      <c r="O54"/>
      <c r="T54" s="36"/>
    </row>
    <row r="55" spans="3:20">
      <c r="C55" s="249" t="str">
        <f>C44</f>
        <v xml:space="preserve">IEA crude oil </v>
      </c>
      <c r="D55" s="256" t="s">
        <v>554</v>
      </c>
      <c r="E55" s="251">
        <f>E50/Conversions!$C$5</f>
        <v>13.342312231088432</v>
      </c>
      <c r="F55" s="250">
        <f>F50/Conversions!$C$5</f>
        <v>10.080858130155704</v>
      </c>
      <c r="G55" s="251">
        <f>G50/Conversions!$C$5</f>
        <v>12.008081007979589</v>
      </c>
      <c r="H55" s="250">
        <f>H50/Conversions!$C$5</f>
        <v>13.04581640373091</v>
      </c>
      <c r="I55" s="250">
        <f>I50/Conversions!$C$5</f>
        <v>14.231799713160994</v>
      </c>
      <c r="J55" s="252">
        <f>J50/Conversions!$C$5</f>
        <v>15.269535108912315</v>
      </c>
      <c r="K55" s="251">
        <f>K50/Conversions!$C$5</f>
        <v>9.1913706480831419</v>
      </c>
      <c r="L55" s="252">
        <f>L50/Conversions!$C$5</f>
        <v>8.7466269070468599</v>
      </c>
      <c r="M55" s="250">
        <f>M50/Conversions!$C$5</f>
        <v>16.4555184183424</v>
      </c>
      <c r="N55" s="252">
        <f>N50/Conversions!$C$5</f>
        <v>19.865220432953887</v>
      </c>
      <c r="O55"/>
      <c r="T55" s="36"/>
    </row>
    <row r="56" spans="3:20">
      <c r="C56" s="233" t="str">
        <f>C45</f>
        <v>Natural Gas - EU</v>
      </c>
      <c r="D56" s="234" t="s">
        <v>554</v>
      </c>
      <c r="E56" s="248">
        <f>E51/Conversions!$C$3</f>
        <v>6.9019476230969765</v>
      </c>
      <c r="F56" s="235">
        <f>F51/Conversions!$C$3</f>
        <v>6.0993955738996535</v>
      </c>
      <c r="G56" s="248">
        <f>G51/Conversions!$C$3</f>
        <v>6.4204163935785825</v>
      </c>
      <c r="H56" s="235">
        <f>H51/Conversions!$C$3</f>
        <v>6.4204163935785825</v>
      </c>
      <c r="I56" s="235">
        <f>I51/Conversions!$C$3</f>
        <v>6.7414372132575133</v>
      </c>
      <c r="J56" s="236">
        <f>J51/Conversions!$C$3</f>
        <v>7.1427132378561744</v>
      </c>
      <c r="K56" s="248">
        <f>K51/Conversions!$C$3</f>
        <v>6.0191403689799214</v>
      </c>
      <c r="L56" s="236">
        <f>L51/Conversions!$C$3</f>
        <v>6.0191403689799214</v>
      </c>
      <c r="M56" s="235">
        <f>M51/Conversions!$C$3</f>
        <v>7.1427132378561744</v>
      </c>
      <c r="N56" s="236">
        <f>N51/Conversions!$C$3</f>
        <v>7.9452652870534974</v>
      </c>
      <c r="O56"/>
      <c r="T56" s="36"/>
    </row>
    <row r="57" spans="3:20">
      <c r="C57" s="237" t="str">
        <f>C46</f>
        <v>Steam coal - EU</v>
      </c>
      <c r="D57" s="238" t="s">
        <v>554</v>
      </c>
      <c r="E57" s="253">
        <f>E52/(Conversions!$C$2*1000)</f>
        <v>2.1438306752999452</v>
      </c>
      <c r="F57" s="239">
        <f>F52/(Conversions!$C$2*1000)</f>
        <v>1.8606832276188203</v>
      </c>
      <c r="G57" s="253">
        <f>G52/(Conversions!$C$2*1000)</f>
        <v>1.5168613268631688</v>
      </c>
      <c r="H57" s="239">
        <f>H52/(Conversions!$C$2*1000)</f>
        <v>1.5370861445546777</v>
      </c>
      <c r="I57" s="239">
        <f>I52/(Conversions!$C$2*1000)</f>
        <v>1.5775357799376952</v>
      </c>
      <c r="J57" s="240">
        <f>J52/(Conversions!$C$2*1000)</f>
        <v>1.5775357799376952</v>
      </c>
      <c r="K57" s="253">
        <f>K52/(Conversions!$C$2*1000)</f>
        <v>1.1730394261075172</v>
      </c>
      <c r="L57" s="240">
        <f>L52/(Conversions!$C$2*1000)</f>
        <v>1.2134890614905349</v>
      </c>
      <c r="M57" s="239">
        <f>M52/(Conversions!$C$2*1000)</f>
        <v>1.6786598683952398</v>
      </c>
      <c r="N57" s="240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926-DECD-4DB2-B495-3F9BFC1DFD4C}">
  <dimension ref="B2:J18"/>
  <sheetViews>
    <sheetView workbookViewId="0">
      <selection activeCell="I10" sqref="I10"/>
    </sheetView>
  </sheetViews>
  <sheetFormatPr defaultRowHeight="15"/>
  <cols>
    <col min="2" max="2" width="14.7109375" customWidth="1"/>
    <col min="3" max="3" width="19.85546875" customWidth="1"/>
    <col min="4" max="4" width="26.85546875" customWidth="1"/>
    <col min="5" max="5" width="15.7109375" bestFit="1" customWidth="1"/>
    <col min="6" max="6" width="22" customWidth="1"/>
    <col min="7" max="7" width="18.7109375" customWidth="1"/>
    <col min="9" max="9" width="13.140625" bestFit="1" customWidth="1"/>
    <col min="11" max="11" width="16.28515625" customWidth="1"/>
  </cols>
  <sheetData>
    <row r="2" spans="2:10">
      <c r="B2" s="169" t="s">
        <v>0</v>
      </c>
      <c r="C2" s="169"/>
      <c r="D2" s="170"/>
      <c r="E2" s="170"/>
      <c r="F2" s="170"/>
      <c r="G2" s="170"/>
      <c r="H2" s="170"/>
      <c r="I2" s="170"/>
      <c r="J2" s="170"/>
    </row>
    <row r="3" spans="2:10" ht="15.75" thickBot="1">
      <c r="B3" s="166" t="s">
        <v>1</v>
      </c>
      <c r="C3" s="166" t="s">
        <v>513</v>
      </c>
      <c r="D3" s="166" t="s">
        <v>2</v>
      </c>
      <c r="E3" s="166" t="s">
        <v>3</v>
      </c>
      <c r="F3" s="166" t="s">
        <v>4</v>
      </c>
      <c r="G3" s="166" t="s">
        <v>5</v>
      </c>
      <c r="H3" s="166" t="s">
        <v>6</v>
      </c>
      <c r="I3" s="166" t="s">
        <v>7</v>
      </c>
      <c r="J3" s="166" t="s">
        <v>8</v>
      </c>
    </row>
    <row r="4" spans="2:10" ht="51">
      <c r="B4" s="172" t="s">
        <v>133</v>
      </c>
      <c r="C4" s="171"/>
      <c r="D4" s="171" t="s">
        <v>351</v>
      </c>
      <c r="E4" s="171" t="s">
        <v>280</v>
      </c>
      <c r="F4" s="171" t="s">
        <v>352</v>
      </c>
      <c r="G4" s="171" t="s">
        <v>353</v>
      </c>
      <c r="H4" s="171" t="s">
        <v>354</v>
      </c>
      <c r="I4" s="173" t="s">
        <v>355</v>
      </c>
      <c r="J4" s="173" t="s">
        <v>134</v>
      </c>
    </row>
    <row r="5" spans="2:10">
      <c r="B5" t="s">
        <v>9</v>
      </c>
      <c r="C5" t="str">
        <f>_xlfn.TEXTJOIN(",",TRUE,IF(LEFT(Regions!$C$3,1)&lt;&gt;"*",Regions!$C$3,""),IF(LEFT(Regions!$D$3,1)&lt;&gt;"*",Regions!$D$3,""))</f>
        <v>IE,National</v>
      </c>
      <c r="D5" t="s">
        <v>630</v>
      </c>
      <c r="E5" s="439" t="s">
        <v>651</v>
      </c>
      <c r="F5" t="s">
        <v>10</v>
      </c>
      <c r="G5" t="s">
        <v>629</v>
      </c>
    </row>
    <row r="6" spans="2:10">
      <c r="E6" s="439"/>
    </row>
    <row r="9" spans="2:10">
      <c r="E9" s="169" t="s">
        <v>58</v>
      </c>
      <c r="G9" s="2"/>
    </row>
    <row r="10" spans="2:10" ht="15.75" thickBot="1">
      <c r="B10" s="166" t="s">
        <v>513</v>
      </c>
      <c r="C10" s="166" t="s">
        <v>2</v>
      </c>
      <c r="D10" s="166" t="s">
        <v>3</v>
      </c>
      <c r="E10" s="166" t="s">
        <v>38</v>
      </c>
      <c r="F10" s="166" t="s">
        <v>51</v>
      </c>
      <c r="G10" s="166" t="s">
        <v>631</v>
      </c>
      <c r="H10" s="466" t="s">
        <v>664</v>
      </c>
      <c r="I10" s="466" t="s">
        <v>208</v>
      </c>
    </row>
    <row r="11" spans="2:10">
      <c r="B11" s="172" t="s">
        <v>515</v>
      </c>
      <c r="C11" s="172" t="s">
        <v>46</v>
      </c>
      <c r="D11" s="172" t="s">
        <v>47</v>
      </c>
      <c r="E11" s="172"/>
      <c r="F11" s="172" t="s">
        <v>10</v>
      </c>
      <c r="G11" s="172" t="s">
        <v>54</v>
      </c>
    </row>
    <row r="12" spans="2:10">
      <c r="B12" s="2" t="str">
        <f>Processes!C60</f>
        <v>IE,National</v>
      </c>
      <c r="C12" s="2" t="str">
        <f>D5</f>
        <v>MINCO2-CAL</v>
      </c>
      <c r="D12" s="439" t="s">
        <v>651</v>
      </c>
      <c r="E12" s="259" t="s">
        <v>632</v>
      </c>
      <c r="F12" s="55">
        <v>1000000</v>
      </c>
      <c r="G12" s="440">
        <v>1E-4</v>
      </c>
      <c r="H12">
        <v>0</v>
      </c>
      <c r="I12">
        <v>5</v>
      </c>
    </row>
    <row r="13" spans="2:10">
      <c r="E13" t="s">
        <v>633</v>
      </c>
    </row>
    <row r="14" spans="2:10">
      <c r="E14" t="s">
        <v>634</v>
      </c>
    </row>
    <row r="15" spans="2:10">
      <c r="E15" t="s">
        <v>635</v>
      </c>
    </row>
    <row r="16" spans="2:10">
      <c r="E16" t="s">
        <v>636</v>
      </c>
    </row>
    <row r="17" spans="2:7">
      <c r="E17" t="s">
        <v>637</v>
      </c>
    </row>
    <row r="18" spans="2:7">
      <c r="B18" s="23"/>
      <c r="C18" s="23"/>
      <c r="D18" s="23"/>
      <c r="E18" t="s">
        <v>638</v>
      </c>
      <c r="F18" s="23"/>
      <c r="G18" s="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79"/>
  <sheetViews>
    <sheetView topLeftCell="A19" zoomScaleNormal="100" workbookViewId="0">
      <selection activeCell="G51" sqref="G51:M51"/>
    </sheetView>
  </sheetViews>
  <sheetFormatPr defaultColWidth="9.140625" defaultRowHeight="15"/>
  <cols>
    <col min="1" max="1" width="3.85546875" style="23" customWidth="1"/>
    <col min="2" max="2" width="9.42578125" style="23" customWidth="1"/>
    <col min="3" max="3" width="14.42578125" style="23" customWidth="1"/>
    <col min="4" max="4" width="31.85546875" style="23" customWidth="1"/>
    <col min="5" max="5" width="11.42578125" style="23" customWidth="1"/>
    <col min="6" max="13" width="10.85546875" style="23" customWidth="1"/>
    <col min="14" max="14" width="12.85546875" style="23" customWidth="1"/>
    <col min="15" max="16" width="13" style="23" customWidth="1"/>
    <col min="17" max="17" width="21.85546875" style="23" customWidth="1"/>
    <col min="18" max="18" width="29.5703125" style="23" bestFit="1" customWidth="1"/>
    <col min="19" max="22" width="9.140625" style="23"/>
    <col min="23" max="23" width="14.5703125" style="23" bestFit="1" customWidth="1"/>
    <col min="24" max="24" width="29.5703125" style="23" bestFit="1" customWidth="1"/>
    <col min="25" max="16384" width="9.140625" style="23"/>
  </cols>
  <sheetData>
    <row r="2" spans="2:12" ht="18.75">
      <c r="B2" s="3" t="s">
        <v>81</v>
      </c>
      <c r="C2" s="3"/>
      <c r="D2" s="3"/>
      <c r="E2" s="5" t="s">
        <v>597</v>
      </c>
      <c r="F2" s="92"/>
      <c r="G2" s="92"/>
      <c r="H2" s="22"/>
      <c r="I2" s="22"/>
      <c r="J2" s="22"/>
      <c r="K2" s="22"/>
      <c r="L2" s="22"/>
    </row>
    <row r="3" spans="2:12">
      <c r="B3" s="6" t="s">
        <v>513</v>
      </c>
      <c r="C3" s="6" t="s">
        <v>2</v>
      </c>
      <c r="D3" s="6" t="s">
        <v>545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65" customHeight="1" thickBot="1">
      <c r="B4" s="9" t="s">
        <v>514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448" t="str">
        <f>Processes!C32</f>
        <v>IE,National</v>
      </c>
      <c r="C13" s="448" t="str">
        <f>Processes!D32</f>
        <v>IMPBIOWPE_S1</v>
      </c>
      <c r="D13" s="448" t="str">
        <f>Processes!E32</f>
        <v>Import of Wood Pellets  - Step 1</v>
      </c>
      <c r="E13" s="448" t="str">
        <f>Commodities!$C$41</f>
        <v>BIOWPE</v>
      </c>
      <c r="F13" s="445">
        <f t="shared" ref="F13:K13" si="0">$F$67</f>
        <v>9.6388888888888893</v>
      </c>
      <c r="G13" s="445">
        <f t="shared" si="0"/>
        <v>9.6388888888888893</v>
      </c>
      <c r="H13" s="445">
        <f t="shared" si="0"/>
        <v>9.6388888888888893</v>
      </c>
      <c r="I13" s="445">
        <f t="shared" si="0"/>
        <v>9.6388888888888893</v>
      </c>
      <c r="J13" s="445">
        <f t="shared" si="0"/>
        <v>9.6388888888888893</v>
      </c>
      <c r="K13" s="445">
        <f t="shared" si="0"/>
        <v>9.6388888888888893</v>
      </c>
      <c r="L13" s="448"/>
    </row>
    <row r="14" spans="2:12">
      <c r="B14" s="448" t="str">
        <f>Processes!C33</f>
        <v>IE,National</v>
      </c>
      <c r="C14" s="448" t="str">
        <f>Processes!D33</f>
        <v>IMPBIOWPE_S2</v>
      </c>
      <c r="D14" s="448" t="str">
        <f>Processes!E33</f>
        <v>Import of Wood Pellets  - Step 2</v>
      </c>
      <c r="E14" s="448" t="str">
        <f>Commodities!$C$41</f>
        <v>BIOWPE</v>
      </c>
      <c r="F14" s="445">
        <f t="shared" ref="F14:K14" si="1">$F$68</f>
        <v>9.6388888888888893</v>
      </c>
      <c r="G14" s="445">
        <f t="shared" si="1"/>
        <v>9.6388888888888893</v>
      </c>
      <c r="H14" s="445">
        <f t="shared" si="1"/>
        <v>9.6388888888888893</v>
      </c>
      <c r="I14" s="445">
        <f t="shared" si="1"/>
        <v>9.6388888888888893</v>
      </c>
      <c r="J14" s="445">
        <f t="shared" si="1"/>
        <v>9.6388888888888893</v>
      </c>
      <c r="K14" s="445">
        <f t="shared" si="1"/>
        <v>9.6388888888888893</v>
      </c>
      <c r="L14" s="448"/>
    </row>
    <row r="15" spans="2:12">
      <c r="B15" s="448" t="str">
        <f>Processes!C34</f>
        <v>IE,National</v>
      </c>
      <c r="C15" s="448" t="str">
        <f>Processes!D34</f>
        <v>IMPBIOWPE_S3</v>
      </c>
      <c r="D15" s="448" t="str">
        <f>Processes!E34</f>
        <v>Import of Wood Pellets  - Step 3</v>
      </c>
      <c r="E15" s="448" t="str">
        <f>Commodities!$C$41</f>
        <v>BIOWPE</v>
      </c>
      <c r="F15" s="445">
        <f t="shared" ref="F15:K15" si="2">$F$69</f>
        <v>10.166666666666666</v>
      </c>
      <c r="G15" s="445">
        <f t="shared" si="2"/>
        <v>10.166666666666666</v>
      </c>
      <c r="H15" s="445">
        <f t="shared" si="2"/>
        <v>10.166666666666666</v>
      </c>
      <c r="I15" s="445">
        <f t="shared" si="2"/>
        <v>10.166666666666666</v>
      </c>
      <c r="J15" s="445">
        <f t="shared" si="2"/>
        <v>10.166666666666666</v>
      </c>
      <c r="K15" s="445">
        <f t="shared" si="2"/>
        <v>10.166666666666666</v>
      </c>
      <c r="L15" s="448"/>
    </row>
    <row r="16" spans="2:12">
      <c r="B16" s="443" t="str">
        <f>Processes!C35</f>
        <v>IE,National</v>
      </c>
      <c r="C16" s="443" t="str">
        <f>Processes!D35</f>
        <v>IMPBIOWPE_S4</v>
      </c>
      <c r="D16" s="443" t="str">
        <f>Processes!E35</f>
        <v>Import of Wood Pellets  - Step 4</v>
      </c>
      <c r="E16" s="443" t="str">
        <f>Commodities!$C$41</f>
        <v>BIOWPE</v>
      </c>
      <c r="F16" s="447">
        <f t="shared" ref="F16:K16" si="3">$F$70</f>
        <v>11.194444444444443</v>
      </c>
      <c r="G16" s="447">
        <f t="shared" si="3"/>
        <v>11.194444444444443</v>
      </c>
      <c r="H16" s="447">
        <f t="shared" si="3"/>
        <v>11.194444444444443</v>
      </c>
      <c r="I16" s="447">
        <f t="shared" si="3"/>
        <v>11.194444444444443</v>
      </c>
      <c r="J16" s="447">
        <f t="shared" si="3"/>
        <v>11.194444444444443</v>
      </c>
      <c r="K16" s="447">
        <f t="shared" si="3"/>
        <v>11.194444444444443</v>
      </c>
      <c r="L16" s="443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.75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513</v>
      </c>
      <c r="C23" s="6" t="s">
        <v>2</v>
      </c>
      <c r="D23" s="6" t="s">
        <v>545</v>
      </c>
      <c r="E23" s="6" t="s">
        <v>559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6.25" thickBot="1">
      <c r="B24" s="9" t="s">
        <v>514</v>
      </c>
      <c r="C24" s="9" t="s">
        <v>59</v>
      </c>
      <c r="D24" s="9" t="s">
        <v>47</v>
      </c>
      <c r="E24" s="9" t="s">
        <v>568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6" t="str">
        <f>Processes!C31</f>
        <v>IE,National</v>
      </c>
      <c r="C25" s="206" t="str">
        <f>Processes!D31</f>
        <v>IMPBIOJKR_S1</v>
      </c>
      <c r="D25" s="206" t="str">
        <f>Processes!E31</f>
        <v>Import of Bio Jet Kerosene - Step 1</v>
      </c>
      <c r="E25" s="206" t="s">
        <v>13</v>
      </c>
      <c r="F25" s="206" t="str">
        <f>Commodities!C36</f>
        <v>BIOJKR</v>
      </c>
      <c r="G25" s="207">
        <f>Imports_Fossil!H18*1.6</f>
        <v>26.566026131233826</v>
      </c>
      <c r="H25" s="207">
        <f>Imports_Fossil!I16*1.6</f>
        <v>25.964334287665327</v>
      </c>
      <c r="I25" s="207">
        <f>Imports_Fossil!J16*1.6</f>
        <v>29.261392609908548</v>
      </c>
      <c r="J25" s="207">
        <f>Imports_Fossil!K16*1.6</f>
        <v>31.322054061310553</v>
      </c>
      <c r="K25" s="207">
        <f>Imports_Fossil!L16*1.6</f>
        <v>33.382715512712565</v>
      </c>
      <c r="L25" s="207">
        <f>Imports_Fossil!M16*1.6</f>
        <v>35.031244673834173</v>
      </c>
      <c r="M25" s="270" t="s">
        <v>567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6.25">
      <c r="B27" s="3" t="s">
        <v>109</v>
      </c>
      <c r="C27" s="3"/>
      <c r="D27" s="3"/>
      <c r="E27" s="5" t="s">
        <v>598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513</v>
      </c>
      <c r="C28" s="6" t="s">
        <v>2</v>
      </c>
      <c r="D28" s="6" t="s">
        <v>545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24.95" customHeight="1" thickBot="1">
      <c r="B29" s="9" t="s">
        <v>514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5.75" thickBot="1">
      <c r="B30" s="43" t="str">
        <f t="shared" ref="B30" si="4">B13</f>
        <v>IE,National</v>
      </c>
      <c r="C30" s="43" t="str">
        <f t="shared" ref="C30:D30" si="5">C13</f>
        <v>IMPBIOWPE_S1</v>
      </c>
      <c r="D30" s="43" t="str">
        <f t="shared" si="5"/>
        <v>Import of Wood Pellets  - Step 1</v>
      </c>
      <c r="E30" s="22" t="str">
        <f>Commodities!$C$41</f>
        <v>BIOWPE</v>
      </c>
      <c r="F30" s="94">
        <f t="shared" ref="F30:F37" si="6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75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7">B14</f>
        <v>IE,National</v>
      </c>
      <c r="C31" s="21" t="str">
        <f t="shared" ref="C31:D31" si="8">C14</f>
        <v>IMPBIOWPE_S2</v>
      </c>
      <c r="D31" s="21" t="str">
        <f t="shared" si="8"/>
        <v>Import of Wood Pellets  - Step 2</v>
      </c>
      <c r="E31" s="22" t="str">
        <f>Commodities!$C$41</f>
        <v>BIOWPE</v>
      </c>
      <c r="F31" s="41">
        <f t="shared" si="6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76"/>
      <c r="N31" s="152"/>
      <c r="O31" s="149"/>
      <c r="P31" s="149"/>
      <c r="Q31" s="149"/>
    </row>
    <row r="32" spans="2:18">
      <c r="B32" s="21" t="str">
        <f t="shared" ref="B32" si="9">B15</f>
        <v>IE,National</v>
      </c>
      <c r="C32" s="21" t="str">
        <f t="shared" ref="C32:D32" si="10">C15</f>
        <v>IMPBIOWPE_S3</v>
      </c>
      <c r="D32" s="21" t="str">
        <f t="shared" si="10"/>
        <v>Import of Wood Pellets  - Step 3</v>
      </c>
      <c r="E32" s="22" t="str">
        <f>Commodities!$C$41</f>
        <v>BIOWPE</v>
      </c>
      <c r="F32" s="41">
        <f t="shared" si="6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76"/>
      <c r="M32" s="22"/>
    </row>
    <row r="33" spans="2:23">
      <c r="B33" s="45" t="str">
        <f t="shared" ref="B33" si="11">B16</f>
        <v>IE,National</v>
      </c>
      <c r="C33" s="45" t="str">
        <f t="shared" ref="C33:D33" si="12">C16</f>
        <v>IMPBIOWPE_S4</v>
      </c>
      <c r="D33" s="45" t="str">
        <f t="shared" si="12"/>
        <v>Import of Wood Pellets  - Step 4</v>
      </c>
      <c r="E33" s="39" t="str">
        <f>Commodities!$C$41</f>
        <v>BIOWPE</v>
      </c>
      <c r="F33" s="28">
        <f t="shared" si="6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76"/>
      <c r="M33" s="22"/>
    </row>
    <row r="34" spans="2:23">
      <c r="B34" s="95" t="str">
        <f t="shared" ref="B34" si="13">B17</f>
        <v>IE,National</v>
      </c>
      <c r="C34" s="95" t="str">
        <f t="shared" ref="C34:D34" si="14">C17</f>
        <v>IMPBIOWCH_S1</v>
      </c>
      <c r="D34" s="95" t="str">
        <f t="shared" si="14"/>
        <v>Import of Wood Chip  - Step 1</v>
      </c>
      <c r="E34" s="22" t="str">
        <f>Commodities!$C$42</f>
        <v>BIOWCH</v>
      </c>
      <c r="F34" s="96">
        <f t="shared" si="6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76"/>
      <c r="M34" s="22"/>
    </row>
    <row r="35" spans="2:23">
      <c r="B35" s="21" t="str">
        <f t="shared" ref="B35" si="15">B18</f>
        <v>IE,National</v>
      </c>
      <c r="C35" s="21" t="str">
        <f t="shared" ref="C35:D35" si="16">C18</f>
        <v>IMPBIOWCH_S2</v>
      </c>
      <c r="D35" s="21" t="str">
        <f t="shared" si="16"/>
        <v>Import of Wood Chip  - Step 2</v>
      </c>
      <c r="E35" s="22" t="str">
        <f>Commodities!$C$42</f>
        <v>BIOWCH</v>
      </c>
      <c r="F35" s="41">
        <f t="shared" si="6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76"/>
      <c r="M35" s="22"/>
    </row>
    <row r="36" spans="2:23">
      <c r="B36" s="21" t="str">
        <f t="shared" ref="B36" si="17">B19</f>
        <v>IE,National</v>
      </c>
      <c r="C36" s="21" t="str">
        <f t="shared" ref="C36:D36" si="18">C19</f>
        <v>IMPBIOWCH_S3</v>
      </c>
      <c r="D36" s="21" t="str">
        <f t="shared" si="18"/>
        <v>Import of Wood Chip  - Step 3</v>
      </c>
      <c r="E36" s="22" t="str">
        <f>Commodities!$C$42</f>
        <v>BIOWCH</v>
      </c>
      <c r="F36" s="41">
        <f t="shared" si="6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76"/>
      <c r="M36" s="22"/>
    </row>
    <row r="37" spans="2:23">
      <c r="B37" s="45" t="str">
        <f t="shared" ref="B37" si="19">B20</f>
        <v>IE,National</v>
      </c>
      <c r="C37" s="45" t="str">
        <f t="shared" ref="C37:D37" si="20">C20</f>
        <v>IMPBIOWCH_S4</v>
      </c>
      <c r="D37" s="45" t="str">
        <f t="shared" si="20"/>
        <v>Import of Wood Chip  - Step 4</v>
      </c>
      <c r="E37" s="39" t="str">
        <f>Commodities!$C$42</f>
        <v>BIOWCH</v>
      </c>
      <c r="F37" s="28">
        <f t="shared" si="6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77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75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513</v>
      </c>
      <c r="C41" s="6" t="s">
        <v>2</v>
      </c>
      <c r="D41" s="6" t="s">
        <v>545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26.65" customHeight="1" thickBot="1">
      <c r="B42" s="8" t="s">
        <v>514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435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21">G43</f>
        <v>0.95614079147278108</v>
      </c>
      <c r="I43" s="52">
        <f t="shared" si="21"/>
        <v>0.95614079147278108</v>
      </c>
      <c r="J43" s="52">
        <f t="shared" si="21"/>
        <v>0.95614079147278108</v>
      </c>
      <c r="K43" s="52">
        <f t="shared" si="21"/>
        <v>0.95614079147278108</v>
      </c>
      <c r="L43" s="52">
        <f t="shared" si="21"/>
        <v>0.95614079147278108</v>
      </c>
      <c r="M43" s="52">
        <f t="shared" si="21"/>
        <v>0.95614079147278108</v>
      </c>
      <c r="N43" s="196">
        <v>5</v>
      </c>
      <c r="O43" s="61" t="s">
        <v>451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22">H43*2</f>
        <v>1.9122815829455622</v>
      </c>
      <c r="I44" s="50">
        <f t="shared" si="22"/>
        <v>1.9122815829455622</v>
      </c>
      <c r="J44" s="50">
        <f t="shared" si="22"/>
        <v>1.9122815829455622</v>
      </c>
      <c r="K44" s="50">
        <f t="shared" si="22"/>
        <v>1.9122815829455622</v>
      </c>
      <c r="L44" s="50">
        <f t="shared" si="22"/>
        <v>1.9122815829455622</v>
      </c>
      <c r="M44" s="50">
        <f t="shared" si="22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22"/>
        <v>3.8245631658911243</v>
      </c>
      <c r="I45" s="50">
        <f t="shared" si="22"/>
        <v>3.8245631658911243</v>
      </c>
      <c r="J45" s="50">
        <f t="shared" si="22"/>
        <v>3.8245631658911243</v>
      </c>
      <c r="K45" s="50">
        <f t="shared" si="22"/>
        <v>3.8245631658911243</v>
      </c>
      <c r="L45" s="50">
        <f t="shared" si="22"/>
        <v>3.8245631658911243</v>
      </c>
      <c r="M45" s="50">
        <f t="shared" si="22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5.7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23">J47</f>
        <v>59.810866344000004</v>
      </c>
      <c r="L47" s="53">
        <f t="shared" si="23"/>
        <v>59.810866344000004</v>
      </c>
      <c r="M47" s="53">
        <f t="shared" si="23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4">G48</f>
        <v>4.3883698143827266</v>
      </c>
      <c r="I48" s="52">
        <f t="shared" si="24"/>
        <v>4.3883698143827266</v>
      </c>
      <c r="J48" s="52">
        <f t="shared" si="24"/>
        <v>4.3883698143827266</v>
      </c>
      <c r="K48" s="52">
        <f t="shared" si="24"/>
        <v>4.3883698143827266</v>
      </c>
      <c r="L48" s="52">
        <f t="shared" si="24"/>
        <v>4.3883698143827266</v>
      </c>
      <c r="M48" s="52">
        <f t="shared" si="24"/>
        <v>4.3883698143827266</v>
      </c>
      <c r="N48" s="196">
        <v>5</v>
      </c>
      <c r="O48" s="61" t="s">
        <v>451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5">H48*2</f>
        <v>8.7767396287654531</v>
      </c>
      <c r="I49" s="50">
        <f t="shared" si="25"/>
        <v>8.7767396287654531</v>
      </c>
      <c r="J49" s="50">
        <f t="shared" si="25"/>
        <v>8.7767396287654531</v>
      </c>
      <c r="K49" s="50">
        <f t="shared" si="25"/>
        <v>8.7767396287654531</v>
      </c>
      <c r="L49" s="50">
        <f t="shared" si="25"/>
        <v>8.7767396287654531</v>
      </c>
      <c r="M49" s="50">
        <f t="shared" si="25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5"/>
        <v>17.553479257530906</v>
      </c>
      <c r="I50" s="50">
        <f t="shared" si="25"/>
        <v>17.553479257530906</v>
      </c>
      <c r="J50" s="50">
        <f t="shared" si="25"/>
        <v>17.553479257530906</v>
      </c>
      <c r="K50" s="50">
        <f t="shared" si="25"/>
        <v>17.553479257530906</v>
      </c>
      <c r="L50" s="50">
        <f t="shared" si="25"/>
        <v>17.553479257530906</v>
      </c>
      <c r="M50" s="50">
        <f t="shared" si="25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198">
        <v>5</v>
      </c>
      <c r="O51" s="63" t="s">
        <v>217</v>
      </c>
      <c r="P51" s="51"/>
      <c r="R51" s="25"/>
    </row>
    <row r="52" spans="2:18" ht="15.75" thickBot="1">
      <c r="B52" s="46" t="s">
        <v>79</v>
      </c>
      <c r="C52" s="46"/>
      <c r="D52" s="46"/>
      <c r="E52" s="48"/>
      <c r="F52" s="53"/>
      <c r="G52" s="54">
        <f>H52</f>
        <v>102.75858989456388</v>
      </c>
      <c r="H52" s="54">
        <f>I52</f>
        <v>102.75858989456388</v>
      </c>
      <c r="I52" s="54">
        <f>2727.05194883825*Conversions!$C$2*0.9</f>
        <v>102.75858989456388</v>
      </c>
      <c r="J52" s="54">
        <f>I52</f>
        <v>102.75858989456388</v>
      </c>
      <c r="K52" s="54">
        <f t="shared" ref="K52:M52" si="26">J52</f>
        <v>102.75858989456388</v>
      </c>
      <c r="L52" s="54">
        <f t="shared" si="26"/>
        <v>102.75858989456388</v>
      </c>
      <c r="M52" s="54">
        <f t="shared" si="26"/>
        <v>102.75858989456388</v>
      </c>
      <c r="N52" s="199"/>
      <c r="O52" s="64" t="s">
        <v>214</v>
      </c>
      <c r="P52" s="53"/>
      <c r="R52" s="25"/>
    </row>
    <row r="53" spans="2:18">
      <c r="B53" s="446" t="str">
        <f>Imports_Bio!B13</f>
        <v>IE,National</v>
      </c>
      <c r="C53" s="446" t="str">
        <f>Imports_Bio!C13</f>
        <v>IMPBIOWPE_S1</v>
      </c>
      <c r="D53" s="446" t="str">
        <f>Imports_Bio!D13</f>
        <v>Import of Wood Pellets  - Step 1</v>
      </c>
      <c r="E53" s="448" t="str">
        <f>Commodities!$C$41</f>
        <v>BIOWPE</v>
      </c>
      <c r="F53" s="444">
        <f>'EB2018'!AE3*Conversions!$C$2*Imports_Bio!$R$53</f>
        <v>0.71165055175994518</v>
      </c>
      <c r="G53" s="445">
        <f>G67</f>
        <v>1.8</v>
      </c>
      <c r="H53" s="445">
        <f t="shared" ref="H53:M53" si="27">H67</f>
        <v>1.8</v>
      </c>
      <c r="I53" s="445">
        <f t="shared" si="27"/>
        <v>1.8</v>
      </c>
      <c r="J53" s="445">
        <f t="shared" si="27"/>
        <v>1.8</v>
      </c>
      <c r="K53" s="445">
        <f t="shared" si="27"/>
        <v>3.6</v>
      </c>
      <c r="L53" s="445">
        <f t="shared" si="27"/>
        <v>7.2</v>
      </c>
      <c r="M53" s="445">
        <f t="shared" si="27"/>
        <v>7.2</v>
      </c>
      <c r="N53" s="442">
        <v>5</v>
      </c>
      <c r="O53" s="441" t="s">
        <v>218</v>
      </c>
      <c r="P53" s="52"/>
      <c r="R53" s="147">
        <v>0.7</v>
      </c>
    </row>
    <row r="54" spans="2:18">
      <c r="B54" s="449" t="str">
        <f>Imports_Bio!B14</f>
        <v>IE,National</v>
      </c>
      <c r="C54" s="449" t="str">
        <f>Imports_Bio!C14</f>
        <v>IMPBIOWPE_S2</v>
      </c>
      <c r="D54" s="449" t="str">
        <f>Imports_Bio!D14</f>
        <v>Import of Wood Pellets  - Step 2</v>
      </c>
      <c r="E54" s="448" t="str">
        <f>Commodities!$C$41</f>
        <v>BIOWPE</v>
      </c>
      <c r="F54" s="450">
        <v>0</v>
      </c>
      <c r="G54" s="465">
        <f t="shared" ref="G54:M54" si="28">G68</f>
        <v>0</v>
      </c>
      <c r="H54" s="465">
        <f t="shared" si="28"/>
        <v>3.6</v>
      </c>
      <c r="I54" s="465">
        <f t="shared" si="28"/>
        <v>18</v>
      </c>
      <c r="J54" s="465">
        <f t="shared" si="28"/>
        <v>36</v>
      </c>
      <c r="K54" s="465">
        <f t="shared" si="28"/>
        <v>54</v>
      </c>
      <c r="L54" s="465">
        <f t="shared" si="28"/>
        <v>61.2</v>
      </c>
      <c r="M54" s="465">
        <f t="shared" si="28"/>
        <v>61.2</v>
      </c>
      <c r="N54" s="451">
        <v>5</v>
      </c>
      <c r="O54" s="452" t="s">
        <v>647</v>
      </c>
      <c r="P54" s="50"/>
      <c r="R54" s="25"/>
    </row>
    <row r="55" spans="2:18">
      <c r="B55" s="449" t="str">
        <f>Imports_Bio!B15</f>
        <v>IE,National</v>
      </c>
      <c r="C55" s="449" t="str">
        <f>Imports_Bio!C15</f>
        <v>IMPBIOWPE_S3</v>
      </c>
      <c r="D55" s="449" t="str">
        <f>Imports_Bio!D15</f>
        <v>Import of Wood Pellets  - Step 3</v>
      </c>
      <c r="E55" s="448" t="str">
        <f>Commodities!$C$41</f>
        <v>BIOWPE</v>
      </c>
      <c r="F55" s="450">
        <v>0</v>
      </c>
      <c r="G55" s="445">
        <v>0</v>
      </c>
      <c r="H55" s="463">
        <v>0</v>
      </c>
      <c r="I55" s="463">
        <v>0</v>
      </c>
      <c r="J55" s="463">
        <v>0</v>
      </c>
      <c r="K55" s="463">
        <v>0</v>
      </c>
      <c r="L55" s="463">
        <v>0</v>
      </c>
      <c r="M55" s="463">
        <v>0</v>
      </c>
      <c r="N55" s="451">
        <v>5</v>
      </c>
      <c r="O55" s="452" t="s">
        <v>647</v>
      </c>
      <c r="P55" s="50"/>
      <c r="R55" s="25"/>
    </row>
    <row r="56" spans="2:18">
      <c r="B56" s="453" t="str">
        <f>B55</f>
        <v>IE,National</v>
      </c>
      <c r="C56" s="449" t="str">
        <f>Imports_Bio!C16</f>
        <v>IMPBIOWPE_S4</v>
      </c>
      <c r="D56" s="453" t="str">
        <f>Imports_Bio!D16</f>
        <v>Import of Wood Pellets  - Step 4</v>
      </c>
      <c r="E56" s="443" t="str">
        <f>Commodities!$C$41</f>
        <v>BIOWPE</v>
      </c>
      <c r="F56" s="454">
        <v>0</v>
      </c>
      <c r="G56" s="447">
        <v>0</v>
      </c>
      <c r="H56" s="464">
        <v>0</v>
      </c>
      <c r="I56" s="464">
        <v>0</v>
      </c>
      <c r="J56" s="464">
        <v>0</v>
      </c>
      <c r="K56" s="464">
        <v>0</v>
      </c>
      <c r="L56" s="464">
        <v>0</v>
      </c>
      <c r="M56" s="464">
        <v>0</v>
      </c>
      <c r="N56" s="455">
        <v>5</v>
      </c>
      <c r="O56" s="452" t="s">
        <v>647</v>
      </c>
      <c r="P56" s="51"/>
      <c r="R56" s="25"/>
    </row>
    <row r="57" spans="2:18" ht="15.75" thickBot="1">
      <c r="B57" s="46" t="s">
        <v>79</v>
      </c>
      <c r="C57" s="46"/>
      <c r="D57" s="46"/>
      <c r="E57" s="47"/>
      <c r="F57" s="462"/>
      <c r="G57" s="462">
        <f>SUM(G53:G56)</f>
        <v>1.8</v>
      </c>
      <c r="H57" s="462">
        <f t="shared" ref="H57:M57" si="29">SUM(H53:H56)</f>
        <v>5.4</v>
      </c>
      <c r="I57" s="462">
        <f t="shared" si="29"/>
        <v>19.8</v>
      </c>
      <c r="J57" s="462">
        <f t="shared" si="29"/>
        <v>37.799999999999997</v>
      </c>
      <c r="K57" s="462">
        <f t="shared" si="29"/>
        <v>57.6</v>
      </c>
      <c r="L57" s="462">
        <f t="shared" si="29"/>
        <v>68.400000000000006</v>
      </c>
      <c r="M57" s="462">
        <f t="shared" si="29"/>
        <v>68.400000000000006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30">H58</f>
        <v>0.30499309361140514</v>
      </c>
      <c r="J58" s="52">
        <f t="shared" si="30"/>
        <v>0.30499309361140514</v>
      </c>
      <c r="K58" s="52">
        <f t="shared" si="30"/>
        <v>0.30499309361140514</v>
      </c>
      <c r="L58" s="52">
        <f t="shared" si="30"/>
        <v>0.30499309361140514</v>
      </c>
      <c r="M58" s="52">
        <f t="shared" si="30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45" t="str">
        <f>"*"&amp;Imports_Bio!B18</f>
        <v>*IE,National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31">H58*2</f>
        <v>0.60998618722281028</v>
      </c>
      <c r="I59" s="50">
        <f t="shared" si="31"/>
        <v>0.60998618722281028</v>
      </c>
      <c r="J59" s="50">
        <f t="shared" si="31"/>
        <v>0.60998618722281028</v>
      </c>
      <c r="K59" s="50">
        <f t="shared" si="31"/>
        <v>0.60998618722281028</v>
      </c>
      <c r="L59" s="50">
        <f t="shared" si="31"/>
        <v>0.60998618722281028</v>
      </c>
      <c r="M59" s="50">
        <f t="shared" si="31"/>
        <v>0.60998618722281028</v>
      </c>
      <c r="N59" s="197">
        <v>5</v>
      </c>
      <c r="O59" s="62" t="s">
        <v>215</v>
      </c>
      <c r="P59" s="50"/>
      <c r="R59" s="25"/>
    </row>
    <row r="60" spans="2:18">
      <c r="B60" s="45" t="str">
        <f>"*"&amp;Imports_Bio!B19</f>
        <v>*IE,National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31"/>
        <v>1.2199723744456206</v>
      </c>
      <c r="I60" s="50">
        <f t="shared" si="31"/>
        <v>1.2199723744456206</v>
      </c>
      <c r="J60" s="50">
        <f t="shared" si="31"/>
        <v>1.2199723744456206</v>
      </c>
      <c r="K60" s="50">
        <f t="shared" si="31"/>
        <v>1.2199723744456206</v>
      </c>
      <c r="L60" s="50">
        <f t="shared" si="31"/>
        <v>1.2199723744456206</v>
      </c>
      <c r="M60" s="50">
        <f t="shared" si="31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2">H62-SUM(H58:H60)</f>
        <v>34.580521056720166</v>
      </c>
      <c r="I61" s="51">
        <f t="shared" si="32"/>
        <v>34.580521056720166</v>
      </c>
      <c r="J61" s="51">
        <f t="shared" si="32"/>
        <v>34.580521056720166</v>
      </c>
      <c r="K61" s="51">
        <f t="shared" si="32"/>
        <v>34.580521056720166</v>
      </c>
      <c r="L61" s="51">
        <f t="shared" si="32"/>
        <v>34.580521056720166</v>
      </c>
      <c r="M61" s="51">
        <f t="shared" si="32"/>
        <v>34.580521056720166</v>
      </c>
      <c r="N61" s="198">
        <v>5</v>
      </c>
      <c r="O61" s="63" t="s">
        <v>217</v>
      </c>
      <c r="P61" s="51"/>
      <c r="R61" s="25"/>
    </row>
    <row r="62" spans="2:18" ht="15.7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  <row r="65" spans="4:13">
      <c r="G65" t="s">
        <v>645</v>
      </c>
    </row>
    <row r="66" spans="4:13" ht="15.75" thickBot="1">
      <c r="D66" s="23" t="s">
        <v>650</v>
      </c>
      <c r="E66" s="461" t="s">
        <v>643</v>
      </c>
      <c r="F66" s="461" t="s">
        <v>644</v>
      </c>
      <c r="G66" s="461">
        <v>2020</v>
      </c>
      <c r="H66" s="461">
        <v>2025</v>
      </c>
      <c r="I66" s="461">
        <v>2030</v>
      </c>
      <c r="J66" s="461">
        <v>2035</v>
      </c>
      <c r="K66" s="461">
        <v>2040</v>
      </c>
      <c r="L66" s="461">
        <v>2045</v>
      </c>
      <c r="M66" s="461">
        <v>2050</v>
      </c>
    </row>
    <row r="67" spans="4:13">
      <c r="D67" s="43" t="s">
        <v>639</v>
      </c>
      <c r="E67" s="23">
        <f>34.7</f>
        <v>34.700000000000003</v>
      </c>
      <c r="F67" s="456">
        <f>E67/3.6</f>
        <v>9.6388888888888893</v>
      </c>
      <c r="G67" s="23">
        <f>500*3.6/1000</f>
        <v>1.8</v>
      </c>
      <c r="H67" s="23">
        <f>500*3.6/1000</f>
        <v>1.8</v>
      </c>
      <c r="I67" s="23">
        <f>500*3.6/1000</f>
        <v>1.8</v>
      </c>
      <c r="J67" s="23">
        <f>500*3.6/1000</f>
        <v>1.8</v>
      </c>
      <c r="K67" s="23">
        <f>1000*3.6/1000</f>
        <v>3.6</v>
      </c>
      <c r="L67" s="23">
        <f>2000*3.6/1000</f>
        <v>7.2</v>
      </c>
      <c r="M67" s="23">
        <f>2000*3.6/1000</f>
        <v>7.2</v>
      </c>
    </row>
    <row r="68" spans="4:13">
      <c r="D68" s="21" t="s">
        <v>640</v>
      </c>
      <c r="E68" s="23">
        <f>34.7</f>
        <v>34.700000000000003</v>
      </c>
      <c r="F68" s="456">
        <f t="shared" ref="F68:F70" si="33">E68/3.6</f>
        <v>9.6388888888888893</v>
      </c>
      <c r="G68" s="23">
        <v>0</v>
      </c>
      <c r="H68" s="23">
        <f>1000*3.6/1000</f>
        <v>3.6</v>
      </c>
      <c r="I68" s="23">
        <f>5000*3.6/1000</f>
        <v>18</v>
      </c>
      <c r="J68" s="23">
        <f>10000*3.6/1000</f>
        <v>36</v>
      </c>
      <c r="K68" s="23">
        <f>15000*3.6/1000</f>
        <v>54</v>
      </c>
      <c r="L68" s="23">
        <f>17000*3.6/1000</f>
        <v>61.2</v>
      </c>
      <c r="M68" s="23">
        <f>17000*3.6/1000</f>
        <v>61.2</v>
      </c>
    </row>
    <row r="69" spans="4:13">
      <c r="D69" s="21" t="s">
        <v>641</v>
      </c>
      <c r="E69" s="23">
        <f>36.6</f>
        <v>36.6</v>
      </c>
      <c r="F69" s="456">
        <f t="shared" si="33"/>
        <v>10.166666666666666</v>
      </c>
      <c r="G69" s="23">
        <v>0</v>
      </c>
      <c r="H69" s="23">
        <v>0</v>
      </c>
      <c r="I69" s="23">
        <f>15000*3.6/1000</f>
        <v>54</v>
      </c>
      <c r="J69" s="23">
        <f>I69</f>
        <v>54</v>
      </c>
      <c r="K69" s="23">
        <f t="shared" ref="K69:M69" si="34">J69</f>
        <v>54</v>
      </c>
      <c r="L69" s="23">
        <f t="shared" si="34"/>
        <v>54</v>
      </c>
      <c r="M69" s="23">
        <f t="shared" si="34"/>
        <v>54</v>
      </c>
    </row>
    <row r="70" spans="4:13">
      <c r="D70" s="45" t="s">
        <v>642</v>
      </c>
      <c r="E70" s="27">
        <f>40.3</f>
        <v>40.299999999999997</v>
      </c>
      <c r="F70" s="457">
        <f t="shared" si="33"/>
        <v>11.194444444444443</v>
      </c>
      <c r="G70" s="27">
        <v>0</v>
      </c>
      <c r="H70" s="27">
        <v>0</v>
      </c>
      <c r="I70" s="27">
        <v>0</v>
      </c>
      <c r="J70" s="27">
        <f>1000*3.6/1000</f>
        <v>3.6</v>
      </c>
      <c r="K70" s="27">
        <f>10000*3.6/1000</f>
        <v>36</v>
      </c>
      <c r="L70" s="27">
        <f>K70</f>
        <v>36</v>
      </c>
      <c r="M70" s="27">
        <f>L70</f>
        <v>36</v>
      </c>
    </row>
    <row r="71" spans="4:13">
      <c r="E71" s="66"/>
      <c r="F71" s="66" t="s">
        <v>646</v>
      </c>
      <c r="G71" s="66">
        <f>SUM(G67:G70)</f>
        <v>1.8</v>
      </c>
      <c r="H71" s="66">
        <f t="shared" ref="H71:M71" si="35">SUM(H67:H70)</f>
        <v>5.4</v>
      </c>
      <c r="I71" s="66">
        <f t="shared" si="35"/>
        <v>73.8</v>
      </c>
      <c r="J71" s="66">
        <f t="shared" si="35"/>
        <v>95.399999999999991</v>
      </c>
      <c r="K71" s="66">
        <f t="shared" si="35"/>
        <v>147.6</v>
      </c>
      <c r="L71" s="66">
        <f t="shared" si="35"/>
        <v>158.4</v>
      </c>
      <c r="M71" s="66">
        <f t="shared" si="35"/>
        <v>158.4</v>
      </c>
    </row>
    <row r="72" spans="4:13">
      <c r="D72" s="459" t="s">
        <v>648</v>
      </c>
      <c r="E72" s="460" t="s">
        <v>649</v>
      </c>
    </row>
    <row r="79" spans="4:13">
      <c r="D79" s="458"/>
    </row>
  </sheetData>
  <mergeCells count="1">
    <mergeCell ref="K30:K37"/>
  </mergeCell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B2" sqref="B2:M5"/>
    </sheetView>
  </sheetViews>
  <sheetFormatPr defaultColWidth="9.140625" defaultRowHeight="15"/>
  <cols>
    <col min="2" max="2" width="12.5703125" customWidth="1"/>
    <col min="3" max="3" width="16.28515625" customWidth="1"/>
    <col min="4" max="4" width="34.85546875" customWidth="1"/>
    <col min="5" max="5" width="10.85546875" bestFit="1" customWidth="1"/>
    <col min="6" max="8" width="11" customWidth="1"/>
    <col min="9" max="9" width="15.5703125" customWidth="1"/>
    <col min="10" max="10" width="20.7109375" customWidth="1"/>
    <col min="11" max="11" width="17" customWidth="1"/>
    <col min="12" max="12" width="14" customWidth="1"/>
    <col min="13" max="13" width="10.5703125" customWidth="1"/>
    <col min="17" max="17" width="12.7109375" bestFit="1" customWidth="1"/>
    <col min="18" max="18" width="29.85546875" bestFit="1" customWidth="1"/>
  </cols>
  <sheetData>
    <row r="2" spans="2:15" ht="18.75">
      <c r="B2" s="3" t="s">
        <v>50</v>
      </c>
      <c r="C2" s="3"/>
      <c r="D2" s="4"/>
      <c r="E2" s="5" t="s">
        <v>599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513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433</v>
      </c>
      <c r="J3" s="12" t="s">
        <v>571</v>
      </c>
      <c r="K3" s="12" t="s">
        <v>572</v>
      </c>
      <c r="L3" s="12" t="s">
        <v>207</v>
      </c>
      <c r="M3" s="12" t="s">
        <v>208</v>
      </c>
    </row>
    <row r="4" spans="2:15" ht="15.75" thickBot="1">
      <c r="B4" s="9" t="s">
        <v>515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78" t="s">
        <v>223</v>
      </c>
      <c r="G9" s="478"/>
      <c r="H9" s="478"/>
      <c r="I9" s="192" t="s">
        <v>222</v>
      </c>
      <c r="J9" s="192" t="s">
        <v>577</v>
      </c>
      <c r="K9" s="192" t="s">
        <v>576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7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5.5">
      <c r="B14" s="11" t="s">
        <v>513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5.75" thickBot="1">
      <c r="B15" s="8" t="s">
        <v>515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8" spans="2:15">
      <c r="B28" s="40" t="s">
        <v>569</v>
      </c>
    </row>
    <row r="29" spans="2:15">
      <c r="B29" s="274" t="s">
        <v>575</v>
      </c>
      <c r="C29" s="272" t="s">
        <v>570</v>
      </c>
    </row>
    <row r="30" spans="2:15">
      <c r="B30" s="182">
        <v>2019</v>
      </c>
      <c r="C30" s="271">
        <v>2500</v>
      </c>
    </row>
    <row r="31" spans="2:15">
      <c r="B31" s="182">
        <v>2020</v>
      </c>
      <c r="C31" s="271">
        <v>1970</v>
      </c>
    </row>
    <row r="32" spans="2:15">
      <c r="B32" s="182">
        <v>2025</v>
      </c>
      <c r="C32" s="271">
        <v>800</v>
      </c>
    </row>
    <row r="33" spans="2:3">
      <c r="B33" s="275">
        <v>2027</v>
      </c>
      <c r="C33" s="273">
        <v>600</v>
      </c>
    </row>
    <row r="34" spans="2:3">
      <c r="B34" t="s">
        <v>573</v>
      </c>
    </row>
    <row r="35" spans="2:3">
      <c r="B35" t="s">
        <v>574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E23" sqref="E23"/>
    </sheetView>
  </sheetViews>
  <sheetFormatPr defaultColWidth="9.140625" defaultRowHeight="12.75"/>
  <cols>
    <col min="1" max="1" width="9.140625" style="22"/>
    <col min="2" max="2" width="12.85546875" style="22" customWidth="1"/>
    <col min="3" max="3" width="17.28515625" style="22" customWidth="1"/>
    <col min="4" max="4" width="69.7109375" style="22" bestFit="1" customWidth="1"/>
    <col min="5" max="5" width="15.85546875" style="22" bestFit="1" customWidth="1"/>
    <col min="6" max="6" width="11.140625" style="22" customWidth="1"/>
    <col min="7" max="9" width="9.140625" style="22"/>
    <col min="10" max="10" width="14.140625" style="22" bestFit="1" customWidth="1"/>
    <col min="11" max="11" width="39.5703125" style="22" bestFit="1" customWidth="1"/>
    <col min="12" max="16384" width="9.140625" style="22"/>
  </cols>
  <sheetData>
    <row r="2" spans="2:18" ht="18.75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513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13.5" thickBot="1">
      <c r="B4" s="8" t="s">
        <v>514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79" t="s">
        <v>142</v>
      </c>
      <c r="R5" s="23"/>
    </row>
    <row r="6" spans="2:18" ht="1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80"/>
      <c r="R6" s="23"/>
    </row>
    <row r="7" spans="2:18" ht="1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80"/>
      <c r="R7" s="23"/>
    </row>
    <row r="8" spans="2:18" ht="1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80"/>
      <c r="R8" s="23"/>
    </row>
    <row r="9" spans="2:18" ht="1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80"/>
      <c r="R9" s="23"/>
    </row>
    <row r="10" spans="2:18" ht="1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80"/>
      <c r="R10" s="23"/>
    </row>
    <row r="11" spans="2:18" ht="1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80"/>
      <c r="R11" s="23"/>
    </row>
    <row r="12" spans="2:18" ht="1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80"/>
      <c r="R12" s="23"/>
    </row>
    <row r="13" spans="2:18" ht="1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Commodities!$C$44&amp;",BIOMUN"</f>
        <v>BIOMSW2,BIOMUN</v>
      </c>
      <c r="F13" s="50">
        <v>10</v>
      </c>
      <c r="G13" s="480"/>
      <c r="R13" s="23"/>
    </row>
    <row r="14" spans="2:18" ht="15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80"/>
      <c r="R14" s="23"/>
    </row>
    <row r="15" spans="2:18" ht="1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80"/>
      <c r="R15" s="23"/>
    </row>
    <row r="16" spans="2:18" ht="1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80"/>
      <c r="R16" s="23"/>
    </row>
    <row r="17" spans="2:18" ht="1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80"/>
      <c r="R17" s="23"/>
    </row>
    <row r="18" spans="2:18" ht="1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80"/>
      <c r="R18" s="23"/>
    </row>
    <row r="19" spans="2:18" ht="1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80"/>
      <c r="R19" s="23"/>
    </row>
    <row r="20" spans="2:18" ht="1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80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80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80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Commodities!$C$44&amp;",BIOMUN"</f>
        <v>BIOMSW2,BIOMUN</v>
      </c>
      <c r="F23" s="50">
        <v>10</v>
      </c>
      <c r="G23" s="480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80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80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80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80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80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80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80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80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80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Commodities!$C$44&amp;",BIOMUN"</f>
        <v>BIOMSW2,BIOMUN</v>
      </c>
      <c r="F33" s="50">
        <v>10</v>
      </c>
      <c r="G33" s="480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81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140625" defaultRowHeight="15"/>
  <cols>
    <col min="1" max="1" width="9.140625" style="23"/>
    <col min="2" max="2" width="9.7109375" style="23" bestFit="1" customWidth="1"/>
    <col min="3" max="3" width="13.5703125" style="23" customWidth="1"/>
    <col min="4" max="4" width="17" style="23" bestFit="1" customWidth="1"/>
    <col min="5" max="5" width="17.28515625" style="23" bestFit="1" customWidth="1"/>
    <col min="6" max="6" width="9.140625" style="23"/>
    <col min="7" max="20" width="9.28515625" style="25" customWidth="1"/>
    <col min="21" max="23" width="9.28515625" style="23" customWidth="1"/>
    <col min="24" max="24" width="28.5703125" style="23" bestFit="1" customWidth="1"/>
    <col min="25" max="25" width="9.140625" style="23"/>
    <col min="26" max="26" width="13.5703125" style="23" bestFit="1" customWidth="1"/>
    <col min="27" max="27" width="17" style="23" bestFit="1" customWidth="1"/>
    <col min="28" max="16384" width="9.140625" style="23"/>
  </cols>
  <sheetData>
    <row r="1" spans="2:26">
      <c r="R1" s="23"/>
      <c r="S1" s="23"/>
      <c r="T1" s="23"/>
    </row>
    <row r="2" spans="2:26" ht="18.75">
      <c r="B2" s="112" t="s">
        <v>145</v>
      </c>
      <c r="C2" s="113"/>
      <c r="D2" s="113"/>
      <c r="E2" s="114"/>
      <c r="F2" s="5" t="s">
        <v>599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5.5">
      <c r="B3" s="110" t="s">
        <v>513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431</v>
      </c>
      <c r="H3" s="109" t="s">
        <v>219</v>
      </c>
      <c r="I3" s="109" t="s">
        <v>434</v>
      </c>
      <c r="J3" s="109" t="s">
        <v>432</v>
      </c>
      <c r="K3" s="109" t="s">
        <v>433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6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6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6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6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6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6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6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6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6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6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6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6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453</v>
      </c>
      <c r="D22" s="224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5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5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5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5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5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5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5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5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5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5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5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140625" defaultRowHeight="15"/>
  <cols>
    <col min="1" max="1" width="9.140625" style="23"/>
    <col min="2" max="2" width="13.28515625" style="23" customWidth="1"/>
    <col min="3" max="3" width="17.7109375" style="23" customWidth="1"/>
    <col min="4" max="4" width="46.5703125" style="23" bestFit="1" customWidth="1"/>
    <col min="5" max="5" width="8.7109375" style="23" customWidth="1"/>
    <col min="6" max="6" width="10" style="23" bestFit="1" customWidth="1"/>
    <col min="7" max="7" width="9.28515625" style="23" customWidth="1"/>
    <col min="8" max="8" width="10.5703125" style="23" bestFit="1" customWidth="1"/>
    <col min="9" max="9" width="10.140625" style="23" customWidth="1"/>
    <col min="10" max="10" width="11" style="23" bestFit="1" customWidth="1"/>
    <col min="11" max="15" width="10.140625" style="23" customWidth="1"/>
    <col min="16" max="16" width="9.7109375" style="23" bestFit="1" customWidth="1"/>
    <col min="17" max="17" width="11.5703125" style="23" bestFit="1" customWidth="1"/>
    <col min="18" max="21" width="10.28515625" style="23" customWidth="1"/>
    <col min="22" max="22" width="9.140625" style="23"/>
    <col min="23" max="23" width="12" style="23" bestFit="1" customWidth="1"/>
    <col min="24" max="24" width="26.5703125" style="23" bestFit="1" customWidth="1"/>
    <col min="25" max="16384" width="9.140625" style="23"/>
  </cols>
  <sheetData>
    <row r="2" spans="2:20" ht="18.75">
      <c r="B2" s="3" t="s">
        <v>57</v>
      </c>
      <c r="C2" s="4"/>
      <c r="D2" s="4"/>
      <c r="G2" s="5" t="s">
        <v>626</v>
      </c>
      <c r="H2" s="2"/>
      <c r="I2" s="2"/>
      <c r="J2" s="2"/>
      <c r="K2" s="2"/>
      <c r="L2" s="2"/>
    </row>
    <row r="3" spans="2:20">
      <c r="B3" s="11" t="s">
        <v>513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621</v>
      </c>
      <c r="H3" s="6" t="s">
        <v>620</v>
      </c>
      <c r="I3" s="6" t="s">
        <v>625</v>
      </c>
      <c r="J3" s="6" t="s">
        <v>624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627</v>
      </c>
      <c r="Q3" s="12" t="s">
        <v>628</v>
      </c>
      <c r="R3"/>
    </row>
    <row r="4" spans="2:20" ht="15.75" thickBot="1">
      <c r="B4" s="13" t="s">
        <v>515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7">
        <v>0</v>
      </c>
      <c r="Q5" s="437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8">
        <v>0</v>
      </c>
      <c r="Q6" s="438">
        <v>2</v>
      </c>
      <c r="R6"/>
    </row>
    <row r="7" spans="2:20">
      <c r="B7" s="29" t="s">
        <v>66</v>
      </c>
      <c r="C7" s="29"/>
      <c r="D7" s="29"/>
      <c r="E7" s="29"/>
      <c r="F7" s="29"/>
      <c r="G7" s="478" t="s">
        <v>159</v>
      </c>
      <c r="H7" s="478"/>
      <c r="I7" s="478"/>
      <c r="J7" s="478"/>
      <c r="K7" s="478"/>
      <c r="L7" s="193" t="s">
        <v>67</v>
      </c>
      <c r="M7" s="192"/>
      <c r="N7" s="482" t="s">
        <v>220</v>
      </c>
      <c r="O7" s="482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G25"/>
  <sheetViews>
    <sheetView tabSelected="1" workbookViewId="0">
      <selection activeCell="G23" sqref="G23"/>
    </sheetView>
  </sheetViews>
  <sheetFormatPr defaultColWidth="9.140625" defaultRowHeight="15"/>
  <cols>
    <col min="1" max="1" width="9.140625" style="23"/>
    <col min="2" max="2" width="18.85546875" style="23" customWidth="1"/>
    <col min="3" max="5" width="9.140625" style="23"/>
    <col min="6" max="6" width="15.5703125" style="23" bestFit="1" customWidth="1"/>
    <col min="7" max="7" width="11" style="23" bestFit="1" customWidth="1"/>
    <col min="8" max="16384" width="9.140625" style="23"/>
  </cols>
  <sheetData>
    <row r="1" spans="1:7">
      <c r="A1" s="162" t="s">
        <v>266</v>
      </c>
      <c r="B1" s="162"/>
      <c r="C1" s="156"/>
      <c r="D1" s="156"/>
      <c r="E1" s="156"/>
    </row>
    <row r="4" spans="1:7">
      <c r="B4" s="1" t="s">
        <v>267</v>
      </c>
    </row>
    <row r="5" spans="1:7" ht="15.7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7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7">
      <c r="B7" s="23" t="str">
        <f>Commodities!C64</f>
        <v>SUPCH4N</v>
      </c>
      <c r="C7" s="25"/>
      <c r="D7" s="25"/>
      <c r="E7" s="25"/>
    </row>
    <row r="8" spans="1:7">
      <c r="B8" s="23" t="str">
        <f>Commodities!C67</f>
        <v>SUPSO2N</v>
      </c>
      <c r="C8" s="25"/>
      <c r="D8" s="25"/>
      <c r="E8" s="25"/>
    </row>
    <row r="9" spans="1:7">
      <c r="B9" s="23" t="str">
        <f>Commodities!C71</f>
        <v>SUPNOXN</v>
      </c>
      <c r="C9" s="25"/>
      <c r="D9" s="25"/>
      <c r="E9" s="25"/>
    </row>
    <row r="10" spans="1:7">
      <c r="B10" s="23" t="str">
        <f>Commodities!C72</f>
        <v>SUPPM10</v>
      </c>
    </row>
    <row r="11" spans="1:7">
      <c r="B11" s="23" t="str">
        <f>Commodities!C73</f>
        <v>SUPPM25</v>
      </c>
    </row>
    <row r="16" spans="1:7">
      <c r="B16" s="1" t="s">
        <v>652</v>
      </c>
      <c r="C16"/>
      <c r="D16"/>
      <c r="E16"/>
      <c r="F16" s="1" t="s">
        <v>652</v>
      </c>
      <c r="G16"/>
    </row>
    <row r="17" spans="2:7" ht="15.75" thickBot="1">
      <c r="B17" s="163" t="s">
        <v>16</v>
      </c>
      <c r="C17" s="164" t="s">
        <v>653</v>
      </c>
      <c r="D17"/>
      <c r="E17"/>
      <c r="F17" s="163" t="s">
        <v>16</v>
      </c>
      <c r="G17" s="164" t="s">
        <v>654</v>
      </c>
    </row>
    <row r="18" spans="2:7">
      <c r="B18" s="23" t="s">
        <v>632</v>
      </c>
      <c r="C18" s="23">
        <v>1</v>
      </c>
      <c r="D18"/>
      <c r="E18"/>
      <c r="F18" s="23" t="s">
        <v>655</v>
      </c>
      <c r="G18" s="23">
        <v>1</v>
      </c>
    </row>
    <row r="19" spans="2:7">
      <c r="B19" s="23" t="s">
        <v>633</v>
      </c>
      <c r="C19" s="23">
        <v>1</v>
      </c>
      <c r="D19"/>
      <c r="E19"/>
      <c r="F19" t="s">
        <v>653</v>
      </c>
      <c r="G19" s="23">
        <v>1</v>
      </c>
    </row>
    <row r="20" spans="2:7">
      <c r="B20" s="23" t="s">
        <v>634</v>
      </c>
      <c r="C20" s="23">
        <v>1</v>
      </c>
      <c r="D20"/>
      <c r="E20"/>
    </row>
    <row r="21" spans="2:7">
      <c r="B21" s="23" t="s">
        <v>635</v>
      </c>
      <c r="C21" s="23">
        <v>1</v>
      </c>
      <c r="D21"/>
      <c r="E21"/>
    </row>
    <row r="22" spans="2:7">
      <c r="B22" s="23" t="s">
        <v>636</v>
      </c>
      <c r="C22" s="23">
        <v>1</v>
      </c>
      <c r="D22"/>
      <c r="E22"/>
    </row>
    <row r="23" spans="2:7">
      <c r="B23" s="23" t="s">
        <v>637</v>
      </c>
      <c r="C23" s="23">
        <v>1</v>
      </c>
      <c r="D23"/>
      <c r="E23"/>
    </row>
    <row r="24" spans="2:7">
      <c r="B24" s="23" t="s">
        <v>638</v>
      </c>
      <c r="C24" s="23">
        <v>1</v>
      </c>
      <c r="D24"/>
      <c r="E24"/>
    </row>
    <row r="25" spans="2:7">
      <c r="B25" t="s">
        <v>662</v>
      </c>
      <c r="C25" s="23">
        <v>1</v>
      </c>
      <c r="D25"/>
      <c r="E25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6" zoomScale="90" zoomScaleNormal="90" workbookViewId="0">
      <pane xSplit="1" topLeftCell="B1" activePane="topRight" state="frozen"/>
      <selection activeCell="D3" sqref="D3"/>
      <selection pane="topRight" activeCell="K21" sqref="K21"/>
    </sheetView>
  </sheetViews>
  <sheetFormatPr defaultRowHeight="15"/>
  <cols>
    <col min="1" max="1" width="20.2851562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83" t="s">
        <v>88</v>
      </c>
      <c r="Q1" s="483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5.7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5.75" thickBot="1">
      <c r="A5" s="75" t="s">
        <v>96</v>
      </c>
      <c r="H5" s="23"/>
      <c r="I5" s="76" t="s">
        <v>97</v>
      </c>
      <c r="J5" s="23"/>
    </row>
    <row r="6" spans="1:22" ht="15.7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5.7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5.7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5.7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5.7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5.7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5.7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5.7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5.7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5.7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5.7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5.7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M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>G18*$K$3/1000</f>
        <v>48.176628371999996</v>
      </c>
      <c r="O18" s="23"/>
      <c r="P18" s="87"/>
    </row>
    <row r="19" spans="1:26" ht="15.7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>E19/$K$2</f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5.7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5.7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5.7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5.7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5.7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5.7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5.7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5.7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5.7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5.7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5.7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5.7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5.7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5.7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5.7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5.7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5.7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5.7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5.7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5.7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5.7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5.7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5.7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5.7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5.7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5.7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5.7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5.7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5.7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5.7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5.7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5.7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5.7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5.7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5.7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5.7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140625" defaultRowHeight="15"/>
  <cols>
    <col min="1" max="16384" width="9.140625" style="23"/>
  </cols>
  <sheetData>
    <row r="1" spans="1:5">
      <c r="A1" s="66" t="s">
        <v>538</v>
      </c>
      <c r="B1" s="66"/>
    </row>
    <row r="2" spans="1:5">
      <c r="A2" s="23" t="s">
        <v>93</v>
      </c>
      <c r="B2" s="25" t="s">
        <v>537</v>
      </c>
      <c r="C2" s="23">
        <v>4.1868000000000002E-2</v>
      </c>
      <c r="D2" s="23" t="s">
        <v>10</v>
      </c>
    </row>
    <row r="3" spans="1:5">
      <c r="A3" s="23" t="s">
        <v>534</v>
      </c>
      <c r="B3" s="25" t="s">
        <v>537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537</v>
      </c>
      <c r="C4" s="23">
        <v>7.33</v>
      </c>
      <c r="D4" s="23" t="s">
        <v>535</v>
      </c>
      <c r="E4" s="255"/>
    </row>
    <row r="5" spans="1:5">
      <c r="A5" s="23" t="s">
        <v>536</v>
      </c>
      <c r="B5" s="25" t="s">
        <v>537</v>
      </c>
      <c r="C5" s="23">
        <f>C2/C4*1000</f>
        <v>5.7118690313778995</v>
      </c>
      <c r="D5" s="23" t="s">
        <v>90</v>
      </c>
    </row>
    <row r="9" spans="1:5">
      <c r="A9" s="66" t="s">
        <v>539</v>
      </c>
    </row>
    <row r="10" spans="1:5">
      <c r="A10" s="23" t="s">
        <v>540</v>
      </c>
      <c r="B10" s="25" t="s">
        <v>537</v>
      </c>
      <c r="C10" s="23">
        <v>1.1194745098039223</v>
      </c>
      <c r="D10" s="23" t="s">
        <v>541</v>
      </c>
    </row>
    <row r="11" spans="1:5">
      <c r="A11" s="23" t="s">
        <v>542</v>
      </c>
      <c r="B11" s="25" t="s">
        <v>537</v>
      </c>
      <c r="C11" s="23">
        <v>1.1809545098039216</v>
      </c>
      <c r="D11" s="23" t="s">
        <v>543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 CO2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Bakytzhan Suleimenov</cp:lastModifiedBy>
  <dcterms:created xsi:type="dcterms:W3CDTF">2016-02-04T10:21:59Z</dcterms:created>
  <dcterms:modified xsi:type="dcterms:W3CDTF">2024-11-28T14:46:33Z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170604944229125</vt:r8>
  </property>
</Properties>
</file>