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8CF34D6F-2D22-4459-A6F8-69C4B2350AE8}" xr6:coauthVersionLast="45" xr6:coauthVersionMax="47" xr10:uidLastSave="{00000000-0000-0000-0000-000000000000}"/>
  <bookViews>
    <workbookView xWindow="-120" yWindow="-120" windowWidth="29040" windowHeight="1584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57" l="1"/>
  <c r="K17" i="57"/>
  <c r="K16" i="57"/>
  <c r="K15" i="57"/>
  <c r="K24" i="57"/>
  <c r="K23" i="57"/>
  <c r="K22" i="57"/>
  <c r="K21" i="57"/>
  <c r="K20" i="57"/>
  <c r="K14" i="57"/>
  <c r="K19" i="57"/>
  <c r="K13" i="57"/>
  <c r="K12" i="57"/>
  <c r="K11" i="57"/>
  <c r="K10" i="57"/>
  <c r="K9" i="57"/>
  <c r="K8" i="57"/>
  <c r="K7" i="57"/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T22" i="57" l="1"/>
  <c r="T21" i="57"/>
  <c r="T20" i="57"/>
  <c r="T19" i="57"/>
  <c r="T24" i="57"/>
  <c r="T23" i="57"/>
  <c r="O24" i="57"/>
  <c r="O23" i="57"/>
  <c r="O22" i="57"/>
  <c r="O21" i="57"/>
  <c r="O20" i="57"/>
  <c r="O19" i="57"/>
  <c r="T18" i="57"/>
  <c r="T17" i="57"/>
  <c r="T16" i="57"/>
  <c r="T15" i="57"/>
  <c r="T14" i="57"/>
  <c r="T13" i="57"/>
  <c r="O18" i="57"/>
  <c r="O17" i="57"/>
  <c r="O16" i="57"/>
  <c r="O15" i="57"/>
  <c r="O14" i="57"/>
  <c r="O13" i="57"/>
  <c r="S24" i="57"/>
  <c r="C24" i="57"/>
  <c r="J24" i="57"/>
  <c r="S23" i="57"/>
  <c r="C23" i="57"/>
  <c r="J23" i="57"/>
  <c r="S22" i="57"/>
  <c r="U22" i="57" s="1"/>
  <c r="N22" i="57" s="1"/>
  <c r="C22" i="57"/>
  <c r="J22" i="57"/>
  <c r="S21" i="57"/>
  <c r="C21" i="57"/>
  <c r="J21" i="57"/>
  <c r="S20" i="57"/>
  <c r="U20" i="57" s="1"/>
  <c r="N20" i="57" s="1"/>
  <c r="C20" i="57"/>
  <c r="J20" i="57"/>
  <c r="S19" i="57"/>
  <c r="C19" i="57"/>
  <c r="J19" i="57"/>
  <c r="S18" i="57"/>
  <c r="C18" i="57"/>
  <c r="J18" i="57"/>
  <c r="S17" i="57"/>
  <c r="C17" i="57"/>
  <c r="J17" i="57"/>
  <c r="S16" i="57"/>
  <c r="C16" i="57"/>
  <c r="J16" i="57"/>
  <c r="S15" i="57"/>
  <c r="C15" i="57"/>
  <c r="J15" i="57"/>
  <c r="S14" i="57"/>
  <c r="U14" i="57" s="1"/>
  <c r="N14" i="57" s="1"/>
  <c r="C14" i="57"/>
  <c r="J14" i="57"/>
  <c r="S13" i="57"/>
  <c r="C13" i="57"/>
  <c r="J13" i="57"/>
  <c r="T12" i="57"/>
  <c r="T11" i="57"/>
  <c r="T10" i="57"/>
  <c r="T9" i="57"/>
  <c r="T8" i="57"/>
  <c r="T7" i="57"/>
  <c r="O12" i="57"/>
  <c r="O11" i="57"/>
  <c r="O10" i="57"/>
  <c r="O9" i="57"/>
  <c r="O41" i="58"/>
  <c r="O8" i="57"/>
  <c r="O7" i="57"/>
  <c r="S12" i="57"/>
  <c r="S11" i="57"/>
  <c r="U11" i="57" s="1"/>
  <c r="S10" i="57"/>
  <c r="U10" i="57" s="1"/>
  <c r="S9" i="57"/>
  <c r="U9" i="57" s="1"/>
  <c r="S8" i="57"/>
  <c r="S7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U7" i="57" l="1"/>
  <c r="N7" i="57" s="1"/>
  <c r="J9" i="57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W60" i="58" s="1" a="1"/>
  <c r="W60" i="58" s="1"/>
  <c r="X60" i="58" a="1"/>
  <c r="X60" i="58" s="1"/>
  <c r="V60" i="58" a="1"/>
  <c r="V60" i="58" s="1"/>
  <c r="T60" i="58" a="1"/>
  <c r="T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E14" i="58"/>
  <c r="G23" i="58" s="1"/>
  <c r="F14" i="58"/>
  <c r="H23" i="58" s="1"/>
  <c r="D14" i="58"/>
  <c r="F24" i="58" s="1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<sst xmlns="http://schemas.openxmlformats.org/spreadsheetml/2006/main" count="453" uniqueCount="241">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</sst>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6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  <sheetName val="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6">
          <cell r="L66">
            <v>1.056312762758917E-2</v>
          </cell>
        </row>
        <row r="71">
          <cell r="L71">
            <v>1.2326927211334543E-2</v>
          </cell>
        </row>
        <row r="76">
          <cell r="L76">
            <v>1.3080483158481877E-2</v>
          </cell>
        </row>
        <row r="81">
          <cell r="L81">
            <v>1.7026110267234832E-2</v>
          </cell>
        </row>
        <row r="86">
          <cell r="L86">
            <v>2.2522852866122413E-2</v>
          </cell>
        </row>
        <row r="91">
          <cell r="L91">
            <v>3.2803286580099345E-2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207" t="s">
        <v>206</v>
      </c>
      <c r="B16" s="207"/>
      <c r="C16" s="207"/>
      <c r="D16" s="207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206" t="s">
        <v>217</v>
      </c>
      <c r="C19" s="206"/>
      <c r="D19" s="206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206" t="s">
        <v>218</v>
      </c>
      <c r="C20" s="206"/>
      <c r="D20" s="206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206" t="s">
        <v>219</v>
      </c>
      <c r="C23" s="206"/>
      <c r="D23" s="206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206" t="s">
        <v>220</v>
      </c>
      <c r="C24" s="206"/>
      <c r="D24" s="206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206" t="s">
        <v>219</v>
      </c>
      <c r="C26" s="206"/>
      <c r="D26" s="206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206" t="s">
        <v>221</v>
      </c>
      <c r="C27" s="206"/>
      <c r="D27" s="206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208" t="s">
        <v>213</v>
      </c>
      <c r="C30" s="206"/>
      <c r="D30" s="206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206" t="s">
        <v>215</v>
      </c>
      <c r="C31" s="206"/>
      <c r="D31" s="206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09" t="s">
        <v>1</v>
      </c>
      <c r="C2" s="210"/>
      <c r="D2" s="210"/>
      <c r="E2" s="211"/>
      <c r="F2" s="124"/>
      <c r="H2" s="209" t="s">
        <v>2</v>
      </c>
      <c r="I2" s="211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209" t="s">
        <v>11</v>
      </c>
      <c r="I15" s="211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212" t="s">
        <v>49</v>
      </c>
      <c r="C20" s="213"/>
      <c r="D20" s="213"/>
      <c r="E20" s="214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209" t="s">
        <v>53</v>
      </c>
      <c r="C38" s="210"/>
      <c r="D38" s="210"/>
      <c r="E38" s="211"/>
      <c r="F38" s="124"/>
      <c r="H38" s="215" t="s">
        <v>50</v>
      </c>
      <c r="I38" s="216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abSelected="1" zoomScaleNormal="100" workbookViewId="0">
      <selection activeCell="K19" sqref="K19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6" width="10.7109375" style="66" customWidth="1"/>
    <col min="7" max="7" width="15.140625" style="66" customWidth="1"/>
    <col min="8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16384" width="9.140625" style="66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</row>
    <row r="6" spans="1:21" ht="39" thickBot="1" x14ac:dyDescent="0.25">
      <c r="A6" s="65" t="s">
        <v>57</v>
      </c>
      <c r="B6" s="199" t="s">
        <v>58</v>
      </c>
      <c r="C6" s="199" t="s">
        <v>28</v>
      </c>
      <c r="D6" s="199" t="s">
        <v>59</v>
      </c>
      <c r="E6" s="199" t="s">
        <v>60</v>
      </c>
      <c r="F6" s="199" t="s">
        <v>95</v>
      </c>
      <c r="G6" s="199" t="s">
        <v>96</v>
      </c>
      <c r="H6" s="199" t="s">
        <v>61</v>
      </c>
      <c r="I6" s="200"/>
      <c r="J6" s="201" t="s">
        <v>94</v>
      </c>
      <c r="K6" s="201" t="s">
        <v>3</v>
      </c>
      <c r="L6" s="201"/>
      <c r="M6" s="201" t="s">
        <v>63</v>
      </c>
      <c r="N6" s="201" t="s">
        <v>108</v>
      </c>
      <c r="O6" s="201" t="s">
        <v>107</v>
      </c>
      <c r="Q6" s="201"/>
      <c r="R6" s="201"/>
      <c r="S6" s="201" t="s">
        <v>93</v>
      </c>
      <c r="T6" s="201" t="s">
        <v>29</v>
      </c>
      <c r="U6" s="201" t="s">
        <v>93</v>
      </c>
    </row>
    <row r="7" spans="1:21" ht="15" x14ac:dyDescent="0.2">
      <c r="A7" s="63" t="s">
        <v>27</v>
      </c>
      <c r="B7" s="202" t="str">
        <f>"R-RTFT-"&amp;Q7</f>
        <v>R-RTFT-Apt_B3</v>
      </c>
      <c r="C7" s="202" t="str">
        <f t="shared" ref="C7:C8" si="0">"Residential "&amp;Q7&amp;" - "&amp;R7&amp;" retrofit"</f>
        <v>Residential Apt_B3 - Shallow retrofit</v>
      </c>
      <c r="D7" s="202" t="s">
        <v>13</v>
      </c>
      <c r="E7" s="202" t="s">
        <v>64</v>
      </c>
      <c r="F7" s="202" t="s">
        <v>188</v>
      </c>
      <c r="G7" s="202"/>
      <c r="H7" s="202"/>
      <c r="I7" s="202"/>
      <c r="J7" s="202" t="str">
        <f t="shared" ref="J7:J8" si="1">B7</f>
        <v>R-RTFT-Apt_B3</v>
      </c>
      <c r="K7" s="202" t="str">
        <f>LEFT("RSDSH_"&amp;Q7,9)&amp;"-AB"</f>
        <v>RSDSH_Apt-AB</v>
      </c>
      <c r="L7" s="202">
        <v>2020</v>
      </c>
      <c r="M7" s="202">
        <v>50</v>
      </c>
      <c r="N7" s="202">
        <f>U7</f>
        <v>5.7348345211809249E-4</v>
      </c>
      <c r="O7" s="203">
        <f>Data!O39/1000</f>
        <v>11.5335</v>
      </c>
      <c r="P7" s="186"/>
      <c r="Q7" s="204" t="s">
        <v>223</v>
      </c>
      <c r="R7" s="204" t="s">
        <v>101</v>
      </c>
      <c r="S7" s="204">
        <f>[1]ArchetypeDemand!$L$66</f>
        <v>1.056312762758917E-2</v>
      </c>
      <c r="T7" s="205">
        <f>Data!R39</f>
        <v>5.4291065329954646E-2</v>
      </c>
      <c r="U7" s="204">
        <f>S7*T7</f>
        <v>5.7348345211809249E-4</v>
      </c>
    </row>
    <row r="8" spans="1:21" ht="15" x14ac:dyDescent="0.2">
      <c r="A8" s="68" t="s">
        <v>27</v>
      </c>
      <c r="B8" s="184" t="str">
        <f t="shared" ref="B8:B24" si="2">"R-RTFT-"&amp;Q8</f>
        <v>R-RTFT-Apt_C</v>
      </c>
      <c r="C8" s="184" t="str">
        <f t="shared" si="0"/>
        <v>Residential Apt_C - Shallow retrofit</v>
      </c>
      <c r="D8" s="184" t="s">
        <v>13</v>
      </c>
      <c r="E8" s="184" t="s">
        <v>64</v>
      </c>
      <c r="F8" s="184" t="s">
        <v>188</v>
      </c>
      <c r="G8" s="184"/>
      <c r="H8" s="184"/>
      <c r="I8" s="184"/>
      <c r="J8" s="184" t="str">
        <f t="shared" si="1"/>
        <v>R-RTFT-Apt_C</v>
      </c>
      <c r="K8" s="184" t="str">
        <f>LEFT("RSDSH_"&amp;Q8,9)&amp;"-C"</f>
        <v>RSDSH_Apt-C</v>
      </c>
      <c r="L8" s="184">
        <v>2020</v>
      </c>
      <c r="M8" s="184">
        <v>50</v>
      </c>
      <c r="N8" s="184">
        <f t="shared" ref="N8:N9" si="3">U8</f>
        <v>6.6924201054815937E-4</v>
      </c>
      <c r="O8" s="185">
        <f>Data!O39/1000</f>
        <v>11.5335</v>
      </c>
      <c r="P8" s="186"/>
      <c r="Q8" s="186" t="s">
        <v>224</v>
      </c>
      <c r="R8" s="186" t="s">
        <v>101</v>
      </c>
      <c r="S8" s="186">
        <f>[1]ArchetypeDemand!$L$71</f>
        <v>1.2326927211334543E-2</v>
      </c>
      <c r="T8" s="187">
        <f>Data!R39</f>
        <v>5.4291065329954646E-2</v>
      </c>
      <c r="U8" s="186">
        <f>S8*T8</f>
        <v>6.6924201054815937E-4</v>
      </c>
    </row>
    <row r="9" spans="1:21" ht="15" x14ac:dyDescent="0.2">
      <c r="A9" s="63" t="s">
        <v>27</v>
      </c>
      <c r="B9" s="184" t="str">
        <f t="shared" si="2"/>
        <v>R-RTFT-Apt_D</v>
      </c>
      <c r="C9" s="184" t="str">
        <f t="shared" ref="C9:C14" si="4">"Residential "&amp;Q9&amp;" - "&amp;R9&amp;" retrofit"</f>
        <v>Residential Apt_D - Shallow retrofit</v>
      </c>
      <c r="D9" s="184" t="s">
        <v>13</v>
      </c>
      <c r="E9" s="184" t="s">
        <v>64</v>
      </c>
      <c r="F9" s="184" t="s">
        <v>188</v>
      </c>
      <c r="G9" s="184"/>
      <c r="H9" s="184"/>
      <c r="I9" s="184"/>
      <c r="J9" s="184" t="str">
        <f t="shared" ref="J9:J14" si="5">B9</f>
        <v>R-RTFT-Apt_D</v>
      </c>
      <c r="K9" s="184" t="str">
        <f>LEFT("RSDSH_"&amp;Q9,9)&amp;"-D"</f>
        <v>RSDSH_Apt-D</v>
      </c>
      <c r="L9" s="184">
        <v>2020</v>
      </c>
      <c r="M9" s="184">
        <v>50</v>
      </c>
      <c r="N9" s="184">
        <f t="shared" si="3"/>
        <v>4.7948563185053724E-3</v>
      </c>
      <c r="O9" s="185">
        <f>Data!O41/1000</f>
        <v>11.5335</v>
      </c>
      <c r="P9" s="186"/>
      <c r="Q9" s="186" t="s">
        <v>225</v>
      </c>
      <c r="R9" s="186" t="s">
        <v>101</v>
      </c>
      <c r="S9" s="186">
        <f>[1]ArchetypeDemand!$L$76</f>
        <v>1.3080483158481877E-2</v>
      </c>
      <c r="T9" s="187">
        <f>Data!R41</f>
        <v>0.36656568877551032</v>
      </c>
      <c r="U9" s="186">
        <f t="shared" ref="U9:U12" si="6">S9*T9</f>
        <v>4.7948563185053724E-3</v>
      </c>
    </row>
    <row r="10" spans="1:21" ht="15" x14ac:dyDescent="0.2">
      <c r="A10" s="68" t="s">
        <v>27</v>
      </c>
      <c r="B10" s="184" t="str">
        <f t="shared" si="2"/>
        <v>R-RTFT-Apt_E</v>
      </c>
      <c r="C10" s="184" t="str">
        <f t="shared" si="4"/>
        <v>Residential Apt_E - Deep retrofit</v>
      </c>
      <c r="D10" s="184" t="s">
        <v>13</v>
      </c>
      <c r="E10" s="184" t="s">
        <v>64</v>
      </c>
      <c r="F10" s="184" t="s">
        <v>188</v>
      </c>
      <c r="G10" s="184"/>
      <c r="H10" s="184"/>
      <c r="I10" s="184"/>
      <c r="J10" s="184" t="str">
        <f t="shared" si="5"/>
        <v>R-RTFT-Apt_E</v>
      </c>
      <c r="K10" s="184" t="str">
        <f>LEFT("RSDSH_"&amp;Q10,9)&amp;"-E"</f>
        <v>RSDSH_Apt-E</v>
      </c>
      <c r="L10" s="184">
        <v>2020</v>
      </c>
      <c r="M10" s="184">
        <v>50</v>
      </c>
      <c r="N10" s="184">
        <f t="shared" ref="N10:N12" si="7">U10</f>
        <v>9.2808418616751667E-3</v>
      </c>
      <c r="O10" s="185">
        <f>Data!O44/1000</f>
        <v>18.273600000000002</v>
      </c>
      <c r="P10" s="186"/>
      <c r="Q10" s="186" t="s">
        <v>226</v>
      </c>
      <c r="R10" s="186" t="s">
        <v>102</v>
      </c>
      <c r="S10" s="186">
        <f>[1]ArchetypeDemand!$L$81</f>
        <v>1.7026110267234832E-2</v>
      </c>
      <c r="T10" s="187">
        <f>Data!R44</f>
        <v>0.5450946643717729</v>
      </c>
      <c r="U10" s="186">
        <f t="shared" si="6"/>
        <v>9.2808418616751667E-3</v>
      </c>
    </row>
    <row r="11" spans="1:21" ht="15" x14ac:dyDescent="0.2">
      <c r="A11" s="63" t="s">
        <v>27</v>
      </c>
      <c r="B11" s="184" t="str">
        <f t="shared" si="2"/>
        <v>R-RTFT-Apt_F</v>
      </c>
      <c r="C11" s="184" t="str">
        <f t="shared" si="4"/>
        <v>Residential Apt_F - Deep retrofit</v>
      </c>
      <c r="D11" s="184" t="s">
        <v>13</v>
      </c>
      <c r="E11" s="184" t="s">
        <v>64</v>
      </c>
      <c r="F11" s="184" t="s">
        <v>188</v>
      </c>
      <c r="G11" s="184"/>
      <c r="H11" s="184"/>
      <c r="I11" s="184"/>
      <c r="J11" s="184" t="str">
        <f t="shared" si="5"/>
        <v>R-RTFT-Apt_F</v>
      </c>
      <c r="K11" s="184" t="str">
        <f>LEFT("RSDSH_"&amp;Q11,9)&amp;"-F"</f>
        <v>RSDSH_Apt-F</v>
      </c>
      <c r="L11" s="184">
        <v>2020</v>
      </c>
      <c r="M11" s="184">
        <v>50</v>
      </c>
      <c r="N11" s="184">
        <f t="shared" si="7"/>
        <v>1.4628662883294537E-2</v>
      </c>
      <c r="O11" s="185">
        <f>Data!O48/1000</f>
        <v>19.958400000000001</v>
      </c>
      <c r="P11" s="186"/>
      <c r="Q11" s="186" t="s">
        <v>227</v>
      </c>
      <c r="R11" s="186" t="s">
        <v>102</v>
      </c>
      <c r="S11" s="186">
        <f>[1]ArchetypeDemand!$L$86</f>
        <v>2.2522852866122413E-2</v>
      </c>
      <c r="T11" s="187">
        <f>Data!R48</f>
        <v>0.64950310559006208</v>
      </c>
      <c r="U11" s="186">
        <f t="shared" si="6"/>
        <v>1.4628662883294537E-2</v>
      </c>
    </row>
    <row r="12" spans="1:21" ht="15.75" thickBot="1" x14ac:dyDescent="0.25">
      <c r="A12" s="68" t="s">
        <v>27</v>
      </c>
      <c r="B12" s="195" t="str">
        <f t="shared" si="2"/>
        <v>R-RTFT-Apt_G</v>
      </c>
      <c r="C12" s="195" t="str">
        <f t="shared" si="4"/>
        <v>Residential Apt_G - Deep retrofit</v>
      </c>
      <c r="D12" s="195" t="s">
        <v>13</v>
      </c>
      <c r="E12" s="195" t="s">
        <v>64</v>
      </c>
      <c r="F12" s="195" t="s">
        <v>188</v>
      </c>
      <c r="G12" s="184"/>
      <c r="H12" s="195"/>
      <c r="I12" s="195"/>
      <c r="J12" s="195" t="str">
        <f t="shared" si="5"/>
        <v>R-RTFT-Apt_G</v>
      </c>
      <c r="K12" s="195" t="str">
        <f>LEFT("RSDSH_"&amp;Q12,9)&amp;"-G"</f>
        <v>RSDSH_Apt-G</v>
      </c>
      <c r="L12" s="195">
        <v>2020</v>
      </c>
      <c r="M12" s="195">
        <v>50</v>
      </c>
      <c r="N12" s="195">
        <f t="shared" si="7"/>
        <v>2.1717043475893594E-2</v>
      </c>
      <c r="O12" s="196">
        <f>Data!O53/1000</f>
        <v>19.958400000000001</v>
      </c>
      <c r="P12" s="186"/>
      <c r="Q12" s="197" t="s">
        <v>228</v>
      </c>
      <c r="R12" s="197" t="s">
        <v>102</v>
      </c>
      <c r="S12" s="197">
        <f>[1]ArchetypeDemand!$L$91</f>
        <v>3.2803286580099345E-2</v>
      </c>
      <c r="T12" s="198">
        <f>Data!R53</f>
        <v>0.66203864734299511</v>
      </c>
      <c r="U12" s="197">
        <f t="shared" si="6"/>
        <v>2.1717043475893594E-2</v>
      </c>
    </row>
    <row r="13" spans="1:21" ht="15" x14ac:dyDescent="0.2">
      <c r="A13" s="63" t="s">
        <v>27</v>
      </c>
      <c r="B13" s="202" t="str">
        <f t="shared" si="2"/>
        <v>R-RTFT-Att_B3</v>
      </c>
      <c r="C13" s="202" t="str">
        <f t="shared" si="4"/>
        <v>Residential Att_B3 - Shallow retrofit</v>
      </c>
      <c r="D13" s="202" t="s">
        <v>13</v>
      </c>
      <c r="E13" s="202" t="s">
        <v>64</v>
      </c>
      <c r="F13" s="202" t="s">
        <v>188</v>
      </c>
      <c r="G13" s="184"/>
      <c r="H13" s="202"/>
      <c r="I13" s="202"/>
      <c r="J13" s="202" t="str">
        <f t="shared" si="5"/>
        <v>R-RTFT-Att_B3</v>
      </c>
      <c r="K13" s="202" t="str">
        <f>LEFT("RSDSH_"&amp;Q13,9)&amp;"-AB"</f>
        <v>RSDSH_Att-AB</v>
      </c>
      <c r="L13" s="202">
        <v>2020</v>
      </c>
      <c r="M13" s="202">
        <v>50</v>
      </c>
      <c r="N13" s="202">
        <f>U13</f>
        <v>7.5821699232505875E-4</v>
      </c>
      <c r="O13" s="203">
        <f>Data!M39/1000</f>
        <v>9.0075000000000003</v>
      </c>
      <c r="P13" s="186"/>
      <c r="Q13" s="204" t="s">
        <v>229</v>
      </c>
      <c r="R13" s="204" t="s">
        <v>101</v>
      </c>
      <c r="S13" s="204">
        <f>[1]ArchetypeDemand!$L$66</f>
        <v>1.056312762758917E-2</v>
      </c>
      <c r="T13" s="205">
        <f>Data!P39</f>
        <v>7.1779592092092059E-2</v>
      </c>
      <c r="U13" s="204">
        <f>S13*T13</f>
        <v>7.5821699232505875E-4</v>
      </c>
    </row>
    <row r="14" spans="1:21" ht="15" x14ac:dyDescent="0.2">
      <c r="A14" s="68" t="s">
        <v>27</v>
      </c>
      <c r="B14" s="184" t="str">
        <f t="shared" si="2"/>
        <v>R-RTFT-Att_C</v>
      </c>
      <c r="C14" s="184" t="str">
        <f t="shared" si="4"/>
        <v>Residential Att_C - Shallow retrofit</v>
      </c>
      <c r="D14" s="184" t="s">
        <v>13</v>
      </c>
      <c r="E14" s="184" t="s">
        <v>64</v>
      </c>
      <c r="F14" s="184" t="s">
        <v>188</v>
      </c>
      <c r="G14" s="184"/>
      <c r="H14" s="184"/>
      <c r="I14" s="184"/>
      <c r="J14" s="184" t="str">
        <f t="shared" si="5"/>
        <v>R-RTFT-Att_C</v>
      </c>
      <c r="K14" s="184" t="str">
        <f>LEFT("RSDSH_"&amp;Q14,9)&amp;"-C"</f>
        <v>RSDSH_Att-C</v>
      </c>
      <c r="L14" s="184">
        <v>2020</v>
      </c>
      <c r="M14" s="184">
        <v>50</v>
      </c>
      <c r="N14" s="184">
        <f t="shared" ref="N14:N18" si="8">U14</f>
        <v>8.8482180697850338E-4</v>
      </c>
      <c r="O14" s="185">
        <f>Data!M39/1000</f>
        <v>9.0075000000000003</v>
      </c>
      <c r="P14" s="186"/>
      <c r="Q14" s="186" t="s">
        <v>230</v>
      </c>
      <c r="R14" s="186" t="s">
        <v>101</v>
      </c>
      <c r="S14" s="186">
        <f>[1]ArchetypeDemand!$L$71</f>
        <v>1.2326927211334543E-2</v>
      </c>
      <c r="T14" s="187">
        <f>Data!P39</f>
        <v>7.1779592092092059E-2</v>
      </c>
      <c r="U14" s="186">
        <f>S14*T14</f>
        <v>8.8482180697850338E-4</v>
      </c>
    </row>
    <row r="15" spans="1:21" ht="15" x14ac:dyDescent="0.2">
      <c r="A15" s="63" t="s">
        <v>27</v>
      </c>
      <c r="B15" s="184" t="str">
        <f t="shared" si="2"/>
        <v>R-RTFT-Att_D</v>
      </c>
      <c r="C15" s="184" t="str">
        <f t="shared" ref="C15:C20" si="9">"Residential "&amp;Q15&amp;" - "&amp;R15&amp;" retrofit"</f>
        <v>Residential Att_D - Shallow retrofit</v>
      </c>
      <c r="D15" s="184" t="s">
        <v>13</v>
      </c>
      <c r="E15" s="184" t="s">
        <v>64</v>
      </c>
      <c r="F15" s="184" t="s">
        <v>188</v>
      </c>
      <c r="G15" s="184"/>
      <c r="H15" s="184"/>
      <c r="I15" s="184"/>
      <c r="J15" s="184" t="str">
        <f t="shared" ref="J15:J20" si="10">B15</f>
        <v>R-RTFT-Att_D</v>
      </c>
      <c r="K15" s="184" t="str">
        <f>LEFT("RSDSH_"&amp;Q15,9)&amp;"-D"</f>
        <v>RSDSH_Att-D</v>
      </c>
      <c r="L15" s="184">
        <v>2020</v>
      </c>
      <c r="M15" s="184">
        <v>50</v>
      </c>
      <c r="N15" s="184">
        <f t="shared" si="8"/>
        <v>5.1655487686243003E-3</v>
      </c>
      <c r="O15" s="185">
        <f>Data!M41/1000</f>
        <v>12.815</v>
      </c>
      <c r="P15" s="186"/>
      <c r="Q15" s="186" t="s">
        <v>231</v>
      </c>
      <c r="R15" s="186" t="s">
        <v>101</v>
      </c>
      <c r="S15" s="186">
        <f>[1]ArchetypeDemand!$L$76</f>
        <v>1.3080483158481877E-2</v>
      </c>
      <c r="T15" s="187">
        <f>Data!P41</f>
        <v>0.39490504334121357</v>
      </c>
      <c r="U15" s="186">
        <f t="shared" ref="U15:U18" si="11">S15*T15</f>
        <v>5.1655487686243003E-3</v>
      </c>
    </row>
    <row r="16" spans="1:21" ht="15" x14ac:dyDescent="0.2">
      <c r="A16" s="68" t="s">
        <v>27</v>
      </c>
      <c r="B16" s="184" t="str">
        <f t="shared" si="2"/>
        <v>R-RTFT-Att_E</v>
      </c>
      <c r="C16" s="184" t="str">
        <f t="shared" si="9"/>
        <v>Residential Att_E - Deep retrofit</v>
      </c>
      <c r="D16" s="184" t="s">
        <v>13</v>
      </c>
      <c r="E16" s="184" t="s">
        <v>64</v>
      </c>
      <c r="F16" s="184" t="s">
        <v>188</v>
      </c>
      <c r="G16" s="184"/>
      <c r="H16" s="184"/>
      <c r="I16" s="184"/>
      <c r="J16" s="184" t="str">
        <f t="shared" si="10"/>
        <v>R-RTFT-Att_E</v>
      </c>
      <c r="K16" s="184" t="str">
        <f>LEFT("RSDSH_"&amp;Q16,9)&amp;"-E"</f>
        <v>RSDSH_Att-E</v>
      </c>
      <c r="L16" s="184">
        <v>2020</v>
      </c>
      <c r="M16" s="184">
        <v>50</v>
      </c>
      <c r="N16" s="184">
        <f t="shared" si="8"/>
        <v>9.3929668522173305E-3</v>
      </c>
      <c r="O16" s="185">
        <f>Data!M44/1000</f>
        <v>20.303999999999998</v>
      </c>
      <c r="P16" s="186"/>
      <c r="Q16" s="186" t="s">
        <v>232</v>
      </c>
      <c r="R16" s="186" t="s">
        <v>102</v>
      </c>
      <c r="S16" s="186">
        <f>[1]ArchetypeDemand!$L$81</f>
        <v>1.7026110267234832E-2</v>
      </c>
      <c r="T16" s="187">
        <f>Data!P44</f>
        <v>0.55168013743533795</v>
      </c>
      <c r="U16" s="186">
        <f t="shared" si="11"/>
        <v>9.3929668522173305E-3</v>
      </c>
    </row>
    <row r="17" spans="1:26" ht="15" x14ac:dyDescent="0.2">
      <c r="A17" s="63" t="s">
        <v>27</v>
      </c>
      <c r="B17" s="184" t="str">
        <f t="shared" si="2"/>
        <v>R-RTFT-Att_F</v>
      </c>
      <c r="C17" s="184" t="str">
        <f t="shared" si="9"/>
        <v>Residential Att_F - Deep retrofit</v>
      </c>
      <c r="D17" s="184" t="s">
        <v>13</v>
      </c>
      <c r="E17" s="184" t="s">
        <v>64</v>
      </c>
      <c r="F17" s="184" t="s">
        <v>188</v>
      </c>
      <c r="G17" s="184"/>
      <c r="H17" s="184"/>
      <c r="I17" s="184"/>
      <c r="J17" s="184" t="str">
        <f t="shared" si="10"/>
        <v>R-RTFT-Att_F</v>
      </c>
      <c r="K17" s="184" t="str">
        <f>LEFT("RSDSH_"&amp;Q17,9)&amp;"-F"</f>
        <v>RSDSH_Att-F</v>
      </c>
      <c r="L17" s="184">
        <v>2020</v>
      </c>
      <c r="M17" s="184">
        <v>50</v>
      </c>
      <c r="N17" s="184">
        <f>U17</f>
        <v>1.4727434391205585E-2</v>
      </c>
      <c r="O17" s="185">
        <f>Data!M48/1000</f>
        <v>22.175999999999998</v>
      </c>
      <c r="P17" s="186"/>
      <c r="Q17" s="186" t="s">
        <v>233</v>
      </c>
      <c r="R17" s="186" t="s">
        <v>102</v>
      </c>
      <c r="S17" s="186">
        <f>[1]ArchetypeDemand!$L$86</f>
        <v>2.2522852866122413E-2</v>
      </c>
      <c r="T17" s="187">
        <f>Data!P48</f>
        <v>0.65388849621966627</v>
      </c>
      <c r="U17" s="186">
        <f t="shared" si="11"/>
        <v>1.4727434391205585E-2</v>
      </c>
    </row>
    <row r="18" spans="1:26" ht="15.75" thickBot="1" x14ac:dyDescent="0.25">
      <c r="A18" s="68" t="s">
        <v>27</v>
      </c>
      <c r="B18" s="195" t="str">
        <f t="shared" si="2"/>
        <v>R-RTFT-Att_G</v>
      </c>
      <c r="C18" s="195" t="str">
        <f t="shared" si="9"/>
        <v>Residential Att_G - Deep retrofit</v>
      </c>
      <c r="D18" s="195" t="s">
        <v>13</v>
      </c>
      <c r="E18" s="195" t="s">
        <v>64</v>
      </c>
      <c r="F18" s="195" t="s">
        <v>188</v>
      </c>
      <c r="G18" s="184"/>
      <c r="H18" s="195"/>
      <c r="I18" s="195"/>
      <c r="J18" s="195" t="str">
        <f t="shared" si="10"/>
        <v>R-RTFT-Att_G</v>
      </c>
      <c r="K18" s="195" t="str">
        <f>LEFT("RSDSH_"&amp;Q18,9)&amp;"-G"</f>
        <v>RSDSH_Att-G</v>
      </c>
      <c r="L18" s="195">
        <v>2020</v>
      </c>
      <c r="M18" s="195">
        <v>50</v>
      </c>
      <c r="N18" s="195">
        <f t="shared" si="8"/>
        <v>2.1290335851398529E-2</v>
      </c>
      <c r="O18" s="196">
        <f>Data!M53/1000</f>
        <v>22.175999999999998</v>
      </c>
      <c r="P18" s="186"/>
      <c r="Q18" s="197" t="s">
        <v>234</v>
      </c>
      <c r="R18" s="197" t="s">
        <v>102</v>
      </c>
      <c r="S18" s="197">
        <f>[1]ArchetypeDemand!$L$91</f>
        <v>3.2803286580099345E-2</v>
      </c>
      <c r="T18" s="198">
        <f>Data!P53</f>
        <v>0.64903057196453795</v>
      </c>
      <c r="U18" s="197">
        <f t="shared" si="11"/>
        <v>2.1290335851398529E-2</v>
      </c>
    </row>
    <row r="19" spans="1:26" ht="15" x14ac:dyDescent="0.2">
      <c r="A19" s="63" t="s">
        <v>27</v>
      </c>
      <c r="B19" s="202" t="str">
        <f t="shared" si="2"/>
        <v>R-RTFT-Det_B3</v>
      </c>
      <c r="C19" s="202" t="str">
        <f t="shared" si="9"/>
        <v>Residential Det_B3 - Shallow retrofit</v>
      </c>
      <c r="D19" s="202" t="s">
        <v>13</v>
      </c>
      <c r="E19" s="202" t="s">
        <v>64</v>
      </c>
      <c r="F19" s="202" t="s">
        <v>188</v>
      </c>
      <c r="G19" s="184"/>
      <c r="H19" s="202"/>
      <c r="I19" s="202"/>
      <c r="J19" s="202" t="str">
        <f t="shared" si="10"/>
        <v>R-RTFT-Det_B3</v>
      </c>
      <c r="K19" s="202" t="str">
        <f>LEFT("RSDSH_"&amp;Q19,9)&amp;"-AB"</f>
        <v>RSDSH_Det-AB</v>
      </c>
      <c r="L19" s="202">
        <v>2020</v>
      </c>
      <c r="M19" s="202">
        <v>50</v>
      </c>
      <c r="N19" s="202">
        <f>U19</f>
        <v>8.7124448896018676E-4</v>
      </c>
      <c r="O19" s="203">
        <f>Data!N39/1000</f>
        <v>14.096500000000002</v>
      </c>
      <c r="P19" s="186"/>
      <c r="Q19" s="204" t="s">
        <v>235</v>
      </c>
      <c r="R19" s="204" t="s">
        <v>101</v>
      </c>
      <c r="S19" s="204">
        <f>[1]ArchetypeDemand!$L$66</f>
        <v>1.056312762758917E-2</v>
      </c>
      <c r="T19" s="205">
        <f>Data!Q39</f>
        <v>8.2479784366576991E-2</v>
      </c>
      <c r="U19" s="204">
        <f>S19*T19</f>
        <v>8.7124448896018676E-4</v>
      </c>
    </row>
    <row r="20" spans="1:26" ht="15" x14ac:dyDescent="0.2">
      <c r="A20" s="68" t="s">
        <v>27</v>
      </c>
      <c r="B20" s="184" t="str">
        <f t="shared" si="2"/>
        <v>R-RTFT-Det_C</v>
      </c>
      <c r="C20" s="184" t="str">
        <f t="shared" si="9"/>
        <v>Residential Det_C - Shallow retrofit</v>
      </c>
      <c r="D20" s="184" t="s">
        <v>13</v>
      </c>
      <c r="E20" s="184" t="s">
        <v>64</v>
      </c>
      <c r="F20" s="184" t="s">
        <v>188</v>
      </c>
      <c r="G20" s="184"/>
      <c r="H20" s="184"/>
      <c r="I20" s="184"/>
      <c r="J20" s="184" t="str">
        <f t="shared" si="10"/>
        <v>R-RTFT-Det_C</v>
      </c>
      <c r="K20" s="184" t="str">
        <f>LEFT("RSDSH_"&amp;Q20,9)&amp;"-C"</f>
        <v>RSDSH_Det-C</v>
      </c>
      <c r="L20" s="184">
        <v>2020</v>
      </c>
      <c r="M20" s="184">
        <v>50</v>
      </c>
      <c r="N20" s="184">
        <f t="shared" ref="N20:N24" si="12">U20</f>
        <v>1.0167222982933634E-3</v>
      </c>
      <c r="O20" s="185">
        <f>Data!N39/1000</f>
        <v>14.096500000000002</v>
      </c>
      <c r="P20" s="186"/>
      <c r="Q20" s="186" t="s">
        <v>236</v>
      </c>
      <c r="R20" s="186" t="s">
        <v>101</v>
      </c>
      <c r="S20" s="186">
        <f>[1]ArchetypeDemand!$L$71</f>
        <v>1.2326927211334543E-2</v>
      </c>
      <c r="T20" s="187">
        <f>Data!Q39</f>
        <v>8.2479784366576991E-2</v>
      </c>
      <c r="U20" s="186">
        <f>S20*T20</f>
        <v>1.0167222982933634E-3</v>
      </c>
    </row>
    <row r="21" spans="1:26" ht="15" x14ac:dyDescent="0.2">
      <c r="A21" s="63" t="s">
        <v>27</v>
      </c>
      <c r="B21" s="184" t="str">
        <f t="shared" si="2"/>
        <v>R-RTFT-Det_D</v>
      </c>
      <c r="C21" s="184" t="str">
        <f t="shared" ref="C21:C24" si="13">"Residential "&amp;Q21&amp;" - "&amp;R21&amp;" retrofit"</f>
        <v>Residential Det_D - Shallow retrofit</v>
      </c>
      <c r="D21" s="184" t="s">
        <v>13</v>
      </c>
      <c r="E21" s="184" t="s">
        <v>64</v>
      </c>
      <c r="F21" s="184" t="s">
        <v>188</v>
      </c>
      <c r="G21" s="184"/>
      <c r="H21" s="184"/>
      <c r="I21" s="184"/>
      <c r="J21" s="184" t="str">
        <f t="shared" ref="J21:J24" si="14">B21</f>
        <v>R-RTFT-Det_D</v>
      </c>
      <c r="K21" s="184" t="str">
        <f>LEFT("RSDSH_"&amp;Q21,9)&amp;"-D"</f>
        <v>RSDSH_Det-D</v>
      </c>
      <c r="L21" s="184">
        <v>2020</v>
      </c>
      <c r="M21" s="184">
        <v>50</v>
      </c>
      <c r="N21" s="184">
        <f t="shared" si="12"/>
        <v>5.2660659296241401E-3</v>
      </c>
      <c r="O21" s="185">
        <f>Data!N41/1000</f>
        <v>14.096500000000002</v>
      </c>
      <c r="P21" s="186"/>
      <c r="Q21" s="186" t="s">
        <v>237</v>
      </c>
      <c r="R21" s="186" t="s">
        <v>101</v>
      </c>
      <c r="S21" s="186">
        <f>[1]ArchetypeDemand!$L$76</f>
        <v>1.3080483158481877E-2</v>
      </c>
      <c r="T21" s="187">
        <f>Data!Q41</f>
        <v>0.40258955772665206</v>
      </c>
      <c r="U21" s="186">
        <f t="shared" ref="U21:U24" si="15">S21*T21</f>
        <v>5.2660659296241401E-3</v>
      </c>
    </row>
    <row r="22" spans="1:26" ht="15" x14ac:dyDescent="0.2">
      <c r="A22" s="68" t="s">
        <v>27</v>
      </c>
      <c r="B22" s="184" t="str">
        <f t="shared" si="2"/>
        <v>R-RTFT-Det_E</v>
      </c>
      <c r="C22" s="184" t="str">
        <f t="shared" si="13"/>
        <v>Residential Det_E - Deep retrofit</v>
      </c>
      <c r="D22" s="184" t="s">
        <v>13</v>
      </c>
      <c r="E22" s="184" t="s">
        <v>64</v>
      </c>
      <c r="F22" s="184" t="s">
        <v>188</v>
      </c>
      <c r="G22" s="184"/>
      <c r="H22" s="184"/>
      <c r="I22" s="184"/>
      <c r="J22" s="184" t="str">
        <f t="shared" si="14"/>
        <v>R-RTFT-Det_E</v>
      </c>
      <c r="K22" s="184" t="str">
        <f>LEFT("RSDSH_"&amp;Q22,9)&amp;"-E"</f>
        <v>RSDSH_Det-E</v>
      </c>
      <c r="L22" s="184">
        <v>2020</v>
      </c>
      <c r="M22" s="184">
        <v>50</v>
      </c>
      <c r="N22" s="184">
        <f t="shared" si="12"/>
        <v>9.4356152934719911E-3</v>
      </c>
      <c r="O22" s="185">
        <f>Data!N44/1000</f>
        <v>22.334400000000002</v>
      </c>
      <c r="P22" s="186"/>
      <c r="Q22" s="186" t="s">
        <v>238</v>
      </c>
      <c r="R22" s="186" t="s">
        <v>102</v>
      </c>
      <c r="S22" s="186">
        <f>[1]ArchetypeDemand!$L$81</f>
        <v>1.7026110267234832E-2</v>
      </c>
      <c r="T22" s="187">
        <f>Data!Q44</f>
        <v>0.55418502202643172</v>
      </c>
      <c r="U22" s="186">
        <f t="shared" si="15"/>
        <v>9.4356152934719911E-3</v>
      </c>
    </row>
    <row r="23" spans="1:26" ht="15" x14ac:dyDescent="0.2">
      <c r="A23" s="63" t="s">
        <v>27</v>
      </c>
      <c r="B23" s="184" t="str">
        <f t="shared" si="2"/>
        <v>R-RTFT-Det_F</v>
      </c>
      <c r="C23" s="184" t="str">
        <f t="shared" si="13"/>
        <v>Residential Det_F - Deep retrofit</v>
      </c>
      <c r="D23" s="184" t="s">
        <v>13</v>
      </c>
      <c r="E23" s="184" t="s">
        <v>64</v>
      </c>
      <c r="F23" s="184" t="s">
        <v>188</v>
      </c>
      <c r="G23" s="184"/>
      <c r="H23" s="184"/>
      <c r="I23" s="184"/>
      <c r="J23" s="184" t="str">
        <f t="shared" si="14"/>
        <v>R-RTFT-Det_F</v>
      </c>
      <c r="K23" s="184" t="str">
        <f>LEFT("RSDSH_"&amp;Q23,9)&amp;"-F"</f>
        <v>RSDSH_Det-F</v>
      </c>
      <c r="L23" s="184">
        <v>2020</v>
      </c>
      <c r="M23" s="184">
        <v>50</v>
      </c>
      <c r="N23" s="184">
        <f t="shared" si="12"/>
        <v>1.4628662883294537E-2</v>
      </c>
      <c r="O23" s="185">
        <f>Data!N48/1000</f>
        <v>24.393600000000003</v>
      </c>
      <c r="P23" s="186"/>
      <c r="Q23" s="186" t="s">
        <v>239</v>
      </c>
      <c r="R23" s="186" t="s">
        <v>102</v>
      </c>
      <c r="S23" s="186">
        <f>[1]ArchetypeDemand!$L$86</f>
        <v>2.2522852866122413E-2</v>
      </c>
      <c r="T23" s="187">
        <f>Data!R48</f>
        <v>0.64950310559006208</v>
      </c>
      <c r="U23" s="186">
        <f t="shared" si="15"/>
        <v>1.4628662883294537E-2</v>
      </c>
    </row>
    <row r="24" spans="1:26" ht="15.75" thickBot="1" x14ac:dyDescent="0.25">
      <c r="A24" s="68" t="s">
        <v>27</v>
      </c>
      <c r="B24" s="195" t="str">
        <f t="shared" si="2"/>
        <v>R-RTFT-Det_G</v>
      </c>
      <c r="C24" s="195" t="str">
        <f t="shared" si="13"/>
        <v>Residential Det_G - Deep retrofit</v>
      </c>
      <c r="D24" s="195" t="s">
        <v>13</v>
      </c>
      <c r="E24" s="195" t="s">
        <v>64</v>
      </c>
      <c r="F24" s="195" t="s">
        <v>188</v>
      </c>
      <c r="G24" s="184"/>
      <c r="H24" s="195"/>
      <c r="I24" s="195"/>
      <c r="J24" s="195" t="str">
        <f t="shared" si="14"/>
        <v>R-RTFT-Det_G</v>
      </c>
      <c r="K24" s="195" t="str">
        <f>LEFT("RSDSH_"&amp;Q24,9)&amp;"-G"</f>
        <v>RSDSH_Det-G</v>
      </c>
      <c r="L24" s="195">
        <v>2020</v>
      </c>
      <c r="M24" s="195">
        <v>50</v>
      </c>
      <c r="N24" s="195">
        <f t="shared" si="12"/>
        <v>2.1717043475893594E-2</v>
      </c>
      <c r="O24" s="196">
        <f>Data!N53/1000</f>
        <v>24.393600000000003</v>
      </c>
      <c r="P24" s="186"/>
      <c r="Q24" s="197" t="s">
        <v>240</v>
      </c>
      <c r="R24" s="197" t="s">
        <v>102</v>
      </c>
      <c r="S24" s="197">
        <f>[1]ArchetypeDemand!$L$91</f>
        <v>3.2803286580099345E-2</v>
      </c>
      <c r="T24" s="198">
        <f>Data!R53</f>
        <v>0.66203864734299511</v>
      </c>
      <c r="U24" s="197">
        <f t="shared" si="15"/>
        <v>2.1717043475893594E-2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A13" zoomScale="80" zoomScaleNormal="80" workbookViewId="0">
      <selection activeCell="A51" sqref="A51:XFD51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20" t="s">
        <v>167</v>
      </c>
      <c r="M2" s="221"/>
      <c r="N2" s="222"/>
      <c r="O2" s="220" t="s">
        <v>168</v>
      </c>
      <c r="P2" s="221"/>
      <c r="Q2" s="222"/>
      <c r="R2" s="220" t="s">
        <v>178</v>
      </c>
      <c r="S2" s="221"/>
      <c r="T2" s="222"/>
      <c r="AD2" s="102" t="s">
        <v>171</v>
      </c>
    </row>
    <row r="3" spans="3:42" ht="21.75" thickBot="1" x14ac:dyDescent="0.25">
      <c r="C3" s="219" t="s">
        <v>156</v>
      </c>
      <c r="D3" s="219"/>
      <c r="E3" s="219"/>
      <c r="F3" s="219"/>
      <c r="G3" s="219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15472.073727176739</v>
      </c>
      <c r="E5" s="77">
        <v>20378.706337556119</v>
      </c>
      <c r="F5" s="77">
        <v>9418.8988568067343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9537.7783975583752</v>
      </c>
      <c r="E6" s="82">
        <v>9433.9012004747347</v>
      </c>
      <c r="F6" s="82">
        <v>7459.2913438514906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17545.09295382088</v>
      </c>
      <c r="E7" s="87">
        <v>20090.949195825138</v>
      </c>
      <c r="F7" s="87">
        <v>14041.847426430093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49768.849685929476</v>
      </c>
      <c r="E8" s="82">
        <v>53466.210043981671</v>
      </c>
      <c r="F8" s="82">
        <v>19924.480375055824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282151.52747564798</v>
      </c>
      <c r="E9" s="87">
        <v>251318.93361374349</v>
      </c>
      <c r="F9" s="87">
        <v>58904.8034364337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187627.02237661046</v>
      </c>
      <c r="E10" s="82">
        <v>166667.79141279124</v>
      </c>
      <c r="F10" s="82">
        <v>43739.341649106158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101418.89596184672</v>
      </c>
      <c r="E11" s="87">
        <v>81396.697989555512</v>
      </c>
      <c r="F11" s="87">
        <v>25767.876472761334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50123.806027321167</v>
      </c>
      <c r="E12" s="82">
        <v>43241.005762967114</v>
      </c>
      <c r="F12" s="82">
        <v>12331.173226884033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52706.674394088106</v>
      </c>
      <c r="E13" s="96">
        <v>78435.533443104825</v>
      </c>
      <c r="F13" s="96">
        <v>15211.172212670604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f>SUM(D5:D13)</f>
        <v>766351.72099999979</v>
      </c>
      <c r="E14" s="108">
        <f t="shared" ref="E14:F14" si="7">SUM(E5:E13)</f>
        <v>724429.72899999993</v>
      </c>
      <c r="F14" s="108">
        <f t="shared" si="7"/>
        <v>206798.88499999998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42554.945078555997</v>
      </c>
      <c r="G18" s="108">
        <f t="shared" ref="G18:H18" si="8">SUM(E5:E7)</f>
        <v>49903.556733855992</v>
      </c>
      <c r="H18" s="108">
        <f t="shared" si="8"/>
        <v>30920.037627088317</v>
      </c>
      <c r="L18" s="100" t="s">
        <v>169</v>
      </c>
      <c r="N18" t="s">
        <v>204</v>
      </c>
      <c r="O18" s="75" t="s">
        <v>111</v>
      </c>
      <c r="P18" s="164">
        <f t="shared" ref="P18:P25" si="9">1-W4/$W$12</f>
        <v>0.82657317923529827</v>
      </c>
      <c r="Q18" s="165">
        <f t="shared" ref="Q18:Q24" si="10">1-W4/$W$11</f>
        <v>0.73202753715113</v>
      </c>
      <c r="R18" s="165">
        <f t="shared" ref="R18:R23" si="11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519547.39953818789</v>
      </c>
      <c r="G19" s="108">
        <f t="shared" ref="G19:H19" si="12">SUM(E8:E10)</f>
        <v>471452.93507051643</v>
      </c>
      <c r="H19" s="108">
        <f t="shared" si="12"/>
        <v>122568.62546059568</v>
      </c>
      <c r="O19" s="192" t="s">
        <v>114</v>
      </c>
      <c r="P19" s="164">
        <f t="shared" si="9"/>
        <v>0.79158454239957576</v>
      </c>
      <c r="Q19" s="165">
        <f t="shared" si="10"/>
        <v>0.67796443927935268</v>
      </c>
      <c r="R19" s="165">
        <f t="shared" si="11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204249.37638325599</v>
      </c>
      <c r="G20" s="108">
        <f t="shared" ref="G20:H20" si="13">SUM(E11:E13)</f>
        <v>203073.23719562744</v>
      </c>
      <c r="H20" s="108">
        <f t="shared" si="13"/>
        <v>53310.221912315974</v>
      </c>
      <c r="O20" s="194" t="s">
        <v>115</v>
      </c>
      <c r="P20" s="188">
        <f t="shared" si="9"/>
        <v>0.73294667697694738</v>
      </c>
      <c r="Q20" s="189">
        <f t="shared" si="10"/>
        <v>0.58735946166276198</v>
      </c>
      <c r="R20" s="189">
        <f t="shared" si="11"/>
        <v>0.49452624358065522</v>
      </c>
      <c r="S20" s="190">
        <f>1-W6/$W$9</f>
        <v>0.33024987953077123</v>
      </c>
      <c r="T20" s="190">
        <f>1-W6/$W$8</f>
        <v>4.1379012026721895E-2</v>
      </c>
      <c r="U20" s="19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766351.7209999999</v>
      </c>
      <c r="G21" s="66"/>
      <c r="O21" s="193" t="s">
        <v>116</v>
      </c>
      <c r="P21" s="165">
        <f t="shared" si="9"/>
        <v>0.67711162025267657</v>
      </c>
      <c r="Q21" s="165">
        <f t="shared" si="10"/>
        <v>0.50108527640274758</v>
      </c>
      <c r="R21" s="165">
        <f t="shared" si="11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9"/>
        <v>0.72141928210057427</v>
      </c>
      <c r="Q22" s="165">
        <f t="shared" si="10"/>
        <v>0.56954777381867572</v>
      </c>
      <c r="R22" s="165">
        <f t="shared" si="11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5.5529261450638807E-2</v>
      </c>
      <c r="G23" s="122">
        <f>G18/$E$14</f>
        <v>6.8886676976582226E-2</v>
      </c>
      <c r="H23" s="122">
        <f>H18/$F$14</f>
        <v>0.14951742910552115</v>
      </c>
      <c r="O23" s="80" t="s">
        <v>122</v>
      </c>
      <c r="P23" s="165">
        <f t="shared" si="9"/>
        <v>0.60126424040662463</v>
      </c>
      <c r="Q23" s="165">
        <f t="shared" si="10"/>
        <v>0.38388881804434616</v>
      </c>
      <c r="R23" s="166">
        <f t="shared" si="11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122">
        <f t="shared" ref="F24:F25" si="14">F19/$D$14</f>
        <v>0.67794902171060434</v>
      </c>
      <c r="G24" s="122">
        <f t="shared" ref="G24:G25" si="15">G19/$E$14</f>
        <v>0.65079181071338454</v>
      </c>
      <c r="H24" s="122">
        <f t="shared" ref="H24:H25" si="16">H19/$F$14</f>
        <v>0.59269480810109632</v>
      </c>
      <c r="O24" s="85" t="s">
        <v>125</v>
      </c>
      <c r="P24" s="165">
        <f t="shared" si="9"/>
        <v>0.47167717486503269</v>
      </c>
      <c r="Q24" s="166">
        <f t="shared" si="10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si="14"/>
        <v>0.26652171683875692</v>
      </c>
      <c r="G25" s="122">
        <f t="shared" si="15"/>
        <v>0.28032151231003311</v>
      </c>
      <c r="H25" s="122">
        <f t="shared" si="16"/>
        <v>0.25778776279338245</v>
      </c>
      <c r="O25" s="80" t="s">
        <v>127</v>
      </c>
      <c r="P25" s="166">
        <f t="shared" si="9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23" t="s">
        <v>155</v>
      </c>
      <c r="D29" s="224"/>
      <c r="E29" s="224"/>
      <c r="F29" s="224"/>
      <c r="G29" s="225"/>
      <c r="H29" s="223" t="s">
        <v>174</v>
      </c>
      <c r="I29" s="224"/>
      <c r="J29" s="224"/>
      <c r="K29" s="224"/>
      <c r="L29" s="225"/>
      <c r="M29" s="217" t="s">
        <v>182</v>
      </c>
      <c r="N29" s="218"/>
      <c r="O29" s="218"/>
      <c r="P29" s="217" t="s">
        <v>183</v>
      </c>
      <c r="Q29" s="218"/>
      <c r="R29" s="218"/>
      <c r="S29" s="217" t="s">
        <v>184</v>
      </c>
      <c r="T29" s="218"/>
      <c r="U29" s="218"/>
      <c r="V29" s="217" t="s">
        <v>184</v>
      </c>
      <c r="W29" s="218"/>
      <c r="X29" s="218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7">SUM(E31:F31)</f>
        <v>21064</v>
      </c>
      <c r="H31" s="109"/>
      <c r="I31" s="109"/>
      <c r="J31" s="109"/>
      <c r="K31" s="109"/>
      <c r="L31" s="109"/>
      <c r="M31" s="109">
        <f t="shared" ref="M31:M44" si="18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7"/>
        <v>30424</v>
      </c>
      <c r="H32" s="110"/>
      <c r="I32" s="110"/>
      <c r="J32" s="110"/>
      <c r="K32" s="110"/>
      <c r="L32" s="110"/>
      <c r="M32" s="110">
        <f t="shared" si="18"/>
        <v>30424</v>
      </c>
      <c r="N32" s="110">
        <f t="shared" ref="N32:N57" si="19">AVERAGE(G32*1.1,J32:K32)</f>
        <v>33466.400000000001</v>
      </c>
      <c r="O32" s="110">
        <f t="shared" ref="O32:O57" si="20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7"/>
        <v>30424</v>
      </c>
      <c r="H33" s="110"/>
      <c r="I33" s="110"/>
      <c r="J33" s="110"/>
      <c r="K33" s="110"/>
      <c r="L33" s="110"/>
      <c r="M33" s="110">
        <f t="shared" si="18"/>
        <v>30424</v>
      </c>
      <c r="N33" s="110">
        <f t="shared" si="19"/>
        <v>33466.400000000001</v>
      </c>
      <c r="O33" s="110">
        <f t="shared" si="20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7"/>
        <v>32297</v>
      </c>
      <c r="H34" s="110"/>
      <c r="I34" s="110"/>
      <c r="J34" s="110"/>
      <c r="K34" s="110"/>
      <c r="L34" s="110"/>
      <c r="M34" s="110">
        <f t="shared" si="18"/>
        <v>32297</v>
      </c>
      <c r="N34" s="110">
        <f t="shared" si="19"/>
        <v>35526.700000000004</v>
      </c>
      <c r="O34" s="110">
        <f t="shared" si="20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7"/>
        <v>34169</v>
      </c>
      <c r="H35" s="110"/>
      <c r="I35" s="110"/>
      <c r="J35" s="110"/>
      <c r="K35" s="110"/>
      <c r="L35" s="110"/>
      <c r="M35" s="110">
        <f t="shared" si="18"/>
        <v>34169</v>
      </c>
      <c r="N35" s="110">
        <f t="shared" si="19"/>
        <v>37585.9</v>
      </c>
      <c r="O35" s="110">
        <f t="shared" si="20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7"/>
        <v>36041</v>
      </c>
      <c r="H36" s="110"/>
      <c r="I36" s="110"/>
      <c r="J36" s="110"/>
      <c r="K36" s="110"/>
      <c r="L36" s="110"/>
      <c r="M36" s="110">
        <f t="shared" si="18"/>
        <v>36041</v>
      </c>
      <c r="N36" s="110">
        <f t="shared" si="19"/>
        <v>39645.100000000006</v>
      </c>
      <c r="O36" s="110">
        <f t="shared" si="20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7"/>
        <v>21064</v>
      </c>
      <c r="H37" s="111"/>
      <c r="I37" s="111"/>
      <c r="J37" s="111"/>
      <c r="K37" s="111"/>
      <c r="L37" s="111"/>
      <c r="M37" s="111">
        <f t="shared" si="18"/>
        <v>21064</v>
      </c>
      <c r="N37" s="111">
        <f t="shared" si="19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2155.8776533753853</v>
      </c>
      <c r="T37" s="111">
        <f>SUM(E6:E8)/SUM(E6:E13)*N37</f>
        <v>2731.2453287173885</v>
      </c>
      <c r="U37" s="111">
        <f>SUM(F6:F8)/SUM(F6:F13)*O37</f>
        <v>3978.7737999936576</v>
      </c>
      <c r="V37" s="116">
        <f>SUM(D6:D8)/SUM(D6:D13)*P37</f>
        <v>3.8538235738807589E-2</v>
      </c>
      <c r="W37" s="116">
        <f>SUM(E6:E8)/SUM(E6:E13)*Q37</f>
        <v>4.5342274618884251E-2</v>
      </c>
      <c r="X37" s="116">
        <f>SUM(F6:F8)/SUM(F6:F13)*R37</f>
        <v>7.4868583865827593E-2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7"/>
        <v>30424</v>
      </c>
      <c r="H38" s="109"/>
      <c r="I38" s="109"/>
      <c r="J38" s="109"/>
      <c r="K38" s="109"/>
      <c r="L38" s="109"/>
      <c r="M38" s="109">
        <f t="shared" si="18"/>
        <v>30424</v>
      </c>
      <c r="N38" s="109">
        <f t="shared" si="19"/>
        <v>33466.400000000001</v>
      </c>
      <c r="O38" s="109">
        <f t="shared" si="20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11432.162401919726</v>
      </c>
      <c r="T38" s="109">
        <f t="shared" ref="T38:U38" si="21">SUM(E9)/SUM(E6:E13)*N38</f>
        <v>11946.208000785055</v>
      </c>
      <c r="U38" s="109">
        <f t="shared" si="21"/>
        <v>8171.5871871879508</v>
      </c>
      <c r="V38" s="117">
        <f>SUM(D9)/SUM(D6:D13)*P38</f>
        <v>0.15830435465061807</v>
      </c>
      <c r="W38" s="117">
        <f>SUM(E9)/SUM(E6:E13)*Q38</f>
        <v>0.15542534609094846</v>
      </c>
      <c r="X38" s="117">
        <f>SUM(F9)/SUM(F6:F13)*R38</f>
        <v>0.11688125511605342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7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9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3384.6700905631055</v>
      </c>
      <c r="T39" s="111">
        <f>E9/SUM(E6:E13)*N39</f>
        <v>5031.9042706435866</v>
      </c>
      <c r="U39" s="111">
        <f>F9/SUM(F6:F13)*O39</f>
        <v>3441.9829675195106</v>
      </c>
      <c r="V39" s="116">
        <f>D9/SUM(D6:D13)*P39</f>
        <v>2.6971994278870277E-2</v>
      </c>
      <c r="W39" s="116">
        <f t="shared" ref="W39:X39" si="22">E9/SUM(E6:E13)*Q39</f>
        <v>2.9442086985843354E-2</v>
      </c>
      <c r="X39" s="116">
        <f t="shared" si="22"/>
        <v>1.6202273564329378E-2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7"/>
        <v>30424</v>
      </c>
      <c r="H40" s="110"/>
      <c r="I40" s="110"/>
      <c r="J40" s="110"/>
      <c r="K40" s="110"/>
      <c r="L40" s="110"/>
      <c r="M40" s="110">
        <f t="shared" si="18"/>
        <v>30424</v>
      </c>
      <c r="N40" s="110">
        <f t="shared" si="19"/>
        <v>33466.400000000001</v>
      </c>
      <c r="O40" s="110">
        <f t="shared" si="20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7602.2363231160143</v>
      </c>
      <c r="T40" s="109">
        <f>SUM(E10)/SUM(E6:E13)*N40</f>
        <v>7922.3959556852897</v>
      </c>
      <c r="U40" s="109">
        <f>SUM(F10)/SUM(F6:F13)*O40</f>
        <v>6067.7537814310308</v>
      </c>
      <c r="V40" s="117">
        <f>SUM(D10)/SUM(D6:D13)*P40</f>
        <v>0.15560950122968473</v>
      </c>
      <c r="W40" s="117">
        <f>SUM(E10)/SUM(E6:E13)*Q40</f>
        <v>0.14970346066399806</v>
      </c>
      <c r="X40" s="117">
        <f>SUM(F10)/SUM(F6:F13)*R40</f>
        <v>0.13130393418469363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7"/>
        <v>12815</v>
      </c>
      <c r="H41" s="109"/>
      <c r="I41" s="109"/>
      <c r="J41" s="109"/>
      <c r="K41" s="109"/>
      <c r="L41" s="109"/>
      <c r="M41" s="109">
        <f t="shared" si="18"/>
        <v>12815</v>
      </c>
      <c r="N41" s="109">
        <f t="shared" si="19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3202.1646884279426</v>
      </c>
      <c r="T41" s="109">
        <f t="shared" ref="T41:U41" si="23">SUM(E10)/SUM(E6:E13)*N41</f>
        <v>3337.0202528302325</v>
      </c>
      <c r="U41" s="109">
        <f t="shared" si="23"/>
        <v>2555.819902348102</v>
      </c>
      <c r="V41" s="117">
        <f>SUM(D10)/SUM(D6:D13)*P41</f>
        <v>9.8677408120900534E-2</v>
      </c>
      <c r="W41" s="117">
        <f t="shared" ref="W41:X41" si="24">SUM(E10)/SUM(E6:E13)*Q41</f>
        <v>9.5303763892583535E-2</v>
      </c>
      <c r="X41" s="117">
        <f t="shared" si="24"/>
        <v>8.1230839111318301E-2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7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8"/>
        <v>7536.333333333333</v>
      </c>
      <c r="N42" s="111">
        <f t="shared" si="19"/>
        <v>19569.95</v>
      </c>
      <c r="O42" s="111">
        <f t="shared" si="20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1883.1510324012836</v>
      </c>
      <c r="T42" s="111">
        <f>E10/SUM(E6:E13)*N42</f>
        <v>4632.7329122033843</v>
      </c>
      <c r="U42" s="111">
        <f>F10/SUM(F6:F13)*O42</f>
        <v>1657.1445625134904</v>
      </c>
      <c r="V42" s="116">
        <f>D10/SUM(D6:D13)*P42</f>
        <v>8.6985148229525189E-2</v>
      </c>
      <c r="W42" s="116">
        <f t="shared" ref="W42:X42" si="25">E10/SUM(E6:E13)*Q42</f>
        <v>8.2590641405322962E-2</v>
      </c>
      <c r="X42" s="116">
        <f t="shared" si="25"/>
        <v>7.3172573402951982E-2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7"/>
        <v>32297</v>
      </c>
      <c r="H43" s="110"/>
      <c r="I43" s="110"/>
      <c r="J43" s="110"/>
      <c r="K43" s="110"/>
      <c r="L43" s="110"/>
      <c r="M43" s="110">
        <f t="shared" si="18"/>
        <v>32297</v>
      </c>
      <c r="N43" s="110">
        <f t="shared" si="19"/>
        <v>35526.700000000004</v>
      </c>
      <c r="O43" s="110">
        <f t="shared" si="20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4362.2517866563512</v>
      </c>
      <c r="T43" s="109">
        <f t="shared" ref="T43" si="26">SUM(E$11)/SUM(E$6:E$13)*N43</f>
        <v>4107.3103757879071</v>
      </c>
      <c r="U43" s="109">
        <f t="shared" ref="U43" si="27">SUM(F$11)/SUM(F$6:F$13)*O43</f>
        <v>3794.7241279737277</v>
      </c>
      <c r="V43" s="117">
        <f>SUM(D$11)/SUM(D$6:D$13)*P43</f>
        <v>9.7314197405272987E-2</v>
      </c>
      <c r="W43" s="117">
        <f t="shared" ref="W43" si="28">SUM(E$11)/SUM(E$6:E$13)*Q43</f>
        <v>8.3896324072304435E-2</v>
      </c>
      <c r="X43" s="117">
        <f t="shared" ref="X43" si="29">SUM(F$11)/SUM(F$6:F$13)*R43</f>
        <v>9.234697345696842E-2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7"/>
        <v>20304</v>
      </c>
      <c r="H44" s="109"/>
      <c r="I44" s="109"/>
      <c r="J44" s="109"/>
      <c r="K44" s="109"/>
      <c r="L44" s="109"/>
      <c r="M44" s="109">
        <f t="shared" si="18"/>
        <v>20304</v>
      </c>
      <c r="N44" s="109">
        <f t="shared" si="19"/>
        <v>22334.400000000001</v>
      </c>
      <c r="O44" s="109">
        <f t="shared" si="20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2742.3958967170497</v>
      </c>
      <c r="T44" s="109">
        <f t="shared" ref="T44:U44" si="30">SUM(E$11)/SUM(E$6:E$13)*N44</f>
        <v>2582.1231033841427</v>
      </c>
      <c r="U44" s="109">
        <f t="shared" si="30"/>
        <v>2385.6110070402383</v>
      </c>
      <c r="V44" s="117">
        <f>SUM(D$11)/SUM(D$6:D$13)*P44</f>
        <v>7.4513659633715965E-2</v>
      </c>
      <c r="W44" s="117">
        <f t="shared" ref="W44:X44" si="31">SUM(E$11)/SUM(E$6:E$13)*Q44</f>
        <v>6.4070400320756282E-2</v>
      </c>
      <c r="X44" s="117">
        <f t="shared" si="31"/>
        <v>7.1161885518135765E-2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7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2">AVERAGE(G45:I45)</f>
        <v>19363</v>
      </c>
      <c r="N45" s="110">
        <f t="shared" si="19"/>
        <v>15409.3</v>
      </c>
      <c r="O45" s="110">
        <f t="shared" si="20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2615.298056941107</v>
      </c>
      <c r="T45" s="109">
        <f t="shared" ref="T45" si="33">SUM(E$11)/SUM(E$6:E$13)*N45</f>
        <v>1781.4989226026787</v>
      </c>
      <c r="U45" s="109">
        <f t="shared" ref="U45" si="34">SUM(F$11)/SUM(F$6:F$13)*O45</f>
        <v>1636.2302444859317</v>
      </c>
      <c r="V45" s="117">
        <f>SUM(D$11)/SUM(D$6:D$13)*P45</f>
        <v>6.9831066763315575E-2</v>
      </c>
      <c r="W45" s="117">
        <f t="shared" ref="W45" si="35">SUM(E$11)/SUM(E$6:E$13)*Q45</f>
        <v>5.9437113518890035E-2</v>
      </c>
      <c r="X45" s="117">
        <f t="shared" ref="X45" si="36">SUM(F$11)/SUM(F$6:F$13)*R45</f>
        <v>6.7752568250727771E-2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7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2"/>
        <v>12682.5</v>
      </c>
      <c r="N46" s="111">
        <f t="shared" si="19"/>
        <v>10160.5</v>
      </c>
      <c r="O46" s="111">
        <f t="shared" si="20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1712.9844345997824</v>
      </c>
      <c r="T46" s="111">
        <f>E11/SUM(E6:E13)*N46</f>
        <v>1174.67502113039</v>
      </c>
      <c r="U46" s="111">
        <f>F11/SUM(F6:F13)*O46</f>
        <v>1546.8168295747014</v>
      </c>
      <c r="V46" s="116">
        <f>D11/SUM(D6:D13)*P46</f>
        <v>3.4994684514341713E-2</v>
      </c>
      <c r="W46" s="116">
        <f t="shared" ref="W46:X46" si="37">E11/SUM(E6:E13)*Q46</f>
        <v>2.9337023697179571E-2</v>
      </c>
      <c r="X46" s="116">
        <f t="shared" si="37"/>
        <v>3.6794477883422452E-2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7"/>
        <v>34169</v>
      </c>
      <c r="H47" s="110"/>
      <c r="I47" s="110"/>
      <c r="J47" s="110"/>
      <c r="K47" s="110"/>
      <c r="L47" s="110"/>
      <c r="M47" s="110">
        <f t="shared" si="32"/>
        <v>34169</v>
      </c>
      <c r="N47" s="110">
        <f t="shared" si="19"/>
        <v>37585.9</v>
      </c>
      <c r="O47" s="110">
        <f t="shared" si="20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2280.8985892319106</v>
      </c>
      <c r="T47" s="109">
        <f t="shared" ref="T47" si="38">SUM(E$12)/SUM(E$6:E$13)*N47</f>
        <v>2308.4294549566052</v>
      </c>
      <c r="U47" s="109">
        <f t="shared" ref="U47" si="39">SUM(F$12)/SUM(F$6:F$13)*O47</f>
        <v>1921.2154160116083</v>
      </c>
      <c r="V47" s="117">
        <f>SUM(D$12)/SUM(D$6:D$13)*P47</f>
        <v>5.2348892601926177E-2</v>
      </c>
      <c r="W47" s="117">
        <f t="shared" ref="W47" si="40">SUM(E$12)/SUM(E$6:E$13)*Q47</f>
        <v>4.8257406950146416E-2</v>
      </c>
      <c r="X47" s="117">
        <f t="shared" ref="X47" si="41">SUM(F$12)/SUM(F$6:F$13)*R47</f>
        <v>4.8388466845630869E-2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7"/>
        <v>22176</v>
      </c>
      <c r="H48" s="109"/>
      <c r="I48" s="109"/>
      <c r="J48" s="109"/>
      <c r="K48" s="109"/>
      <c r="L48" s="109"/>
      <c r="M48" s="109">
        <f t="shared" si="32"/>
        <v>22176</v>
      </c>
      <c r="N48" s="109">
        <f t="shared" si="19"/>
        <v>24393.600000000002</v>
      </c>
      <c r="O48" s="109">
        <f t="shared" si="20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1480.3244787616509</v>
      </c>
      <c r="T48" s="109">
        <f t="shared" ref="T48:U48" si="42">SUM(E$12)/SUM(E$6:E$13)*N48</f>
        <v>1498.1922676437027</v>
      </c>
      <c r="U48" s="109">
        <f t="shared" si="42"/>
        <v>1246.8867413583491</v>
      </c>
      <c r="V48" s="117">
        <f>SUM(D$12)/SUM(D$6:D$13)*P48</f>
        <v>4.3649312199432591E-2</v>
      </c>
      <c r="W48" s="117">
        <f t="shared" ref="W48:X48" si="43">SUM(E$12)/SUM(E$6:E$13)*Q48</f>
        <v>4.0030868653687851E-2</v>
      </c>
      <c r="X48" s="117">
        <f t="shared" si="43"/>
        <v>4.0577241203268805E-2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7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2"/>
        <v>13399</v>
      </c>
      <c r="N49" s="110">
        <f t="shared" si="19"/>
        <v>26376.400000000001</v>
      </c>
      <c r="O49" s="110">
        <f t="shared" si="20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894.42945936721503</v>
      </c>
      <c r="T49" s="109">
        <f t="shared" ref="T49:T50" si="44">SUM(E$12)/SUM(E$6:E$13)*N49</f>
        <v>1619.9707516839401</v>
      </c>
      <c r="U49" s="109">
        <f t="shared" ref="U49:U50" si="45">SUM(F$12)/SUM(F$6:F$13)*O49</f>
        <v>888.27185876529575</v>
      </c>
      <c r="V49" s="117">
        <f>SUM(D$12)/SUM(D$6:D$13)*P49</f>
        <v>4.1862661657399811E-2</v>
      </c>
      <c r="W49" s="117">
        <f t="shared" ref="W49:W50" si="46">SUM(E$12)/SUM(E$6:E$13)*Q49</f>
        <v>3.8108339757093442E-2</v>
      </c>
      <c r="X49" s="117">
        <f t="shared" ref="X49:X50" si="47">SUM(F$12)/SUM(F$6:F$13)*R49</f>
        <v>3.9320180267811942E-2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7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2"/>
        <v>10146.5</v>
      </c>
      <c r="N50" s="110">
        <f t="shared" si="19"/>
        <v>15711.150000000001</v>
      </c>
      <c r="O50" s="110">
        <f t="shared" si="20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677.31386741319852</v>
      </c>
      <c r="T50" s="109">
        <f t="shared" si="44"/>
        <v>964.93848574176673</v>
      </c>
      <c r="U50" s="109">
        <f t="shared" si="45"/>
        <v>634.96987599927104</v>
      </c>
      <c r="V50" s="117">
        <f>SUM(D$12)/SUM(D$6:D$13)*P50</f>
        <v>2.857078620501427E-2</v>
      </c>
      <c r="W50" s="117">
        <f t="shared" si="46"/>
        <v>2.5618654799750264E-2</v>
      </c>
      <c r="X50" s="117">
        <f t="shared" si="47"/>
        <v>2.7905517746048429E-2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7"/>
        <v>8660</v>
      </c>
      <c r="H51" s="111">
        <v>1000</v>
      </c>
      <c r="I51" s="111"/>
      <c r="J51" s="111"/>
      <c r="K51" s="111"/>
      <c r="L51" s="111"/>
      <c r="M51" s="111">
        <f t="shared" si="32"/>
        <v>4830</v>
      </c>
      <c r="N51" s="111">
        <f t="shared" si="19"/>
        <v>9526</v>
      </c>
      <c r="O51" s="111">
        <f t="shared" si="20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322.41915730604137</v>
      </c>
      <c r="T51" s="111">
        <f>E12/SUM(E6:E13)*N51</f>
        <v>585.0624566105007</v>
      </c>
      <c r="U51" s="111">
        <f>F12/SUM(F6:F13)*O51</f>
        <v>486.9245662050551</v>
      </c>
      <c r="V51" s="116">
        <f>D12/SUM(D6:D13)*P51</f>
        <v>1.5218510278777514E-2</v>
      </c>
      <c r="W51" s="116">
        <f t="shared" ref="W51:X51" si="48">E12/SUM(E6:E13)*Q51</f>
        <v>1.344559532603397E-2</v>
      </c>
      <c r="X51" s="116">
        <f t="shared" si="48"/>
        <v>1.4338900983817031E-2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7"/>
        <v>36041</v>
      </c>
      <c r="H52" s="110"/>
      <c r="I52" s="110"/>
      <c r="J52" s="110"/>
      <c r="K52" s="110"/>
      <c r="L52" s="110"/>
      <c r="M52" s="110">
        <f t="shared" si="32"/>
        <v>36041</v>
      </c>
      <c r="N52" s="110">
        <f t="shared" si="19"/>
        <v>39645.100000000006</v>
      </c>
      <c r="O52" s="110">
        <f t="shared" si="20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7"/>
        <v>22176</v>
      </c>
      <c r="H53" s="109"/>
      <c r="I53" s="109"/>
      <c r="J53" s="109"/>
      <c r="K53" s="109"/>
      <c r="L53" s="109"/>
      <c r="M53" s="109">
        <f t="shared" si="32"/>
        <v>22176</v>
      </c>
      <c r="N53" s="109">
        <f t="shared" si="19"/>
        <v>24393.600000000002</v>
      </c>
      <c r="O53" s="109">
        <f t="shared" si="20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1556.6052637176085</v>
      </c>
      <c r="T53" s="109">
        <f t="shared" ref="T53:U53" si="49">SUM(E$13)/SUM(E$6:E$13)*N48</f>
        <v>2717.5942751454008</v>
      </c>
      <c r="U53" s="109">
        <f t="shared" si="49"/>
        <v>1538.1025473834977</v>
      </c>
      <c r="V53" s="117">
        <f>SUM(D$13)/SUM(D$6:D$13)*P53</f>
        <v>4.5557557929006579E-2</v>
      </c>
      <c r="W53" s="117">
        <f t="shared" ref="W53:X53" si="50">SUM(E$13)/SUM(E$6:E$13)*Q53</f>
        <v>7.2564406831507527E-2</v>
      </c>
      <c r="X53" s="117">
        <f t="shared" si="50"/>
        <v>5.1020288697720552E-2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7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2"/>
        <v>19649</v>
      </c>
      <c r="N54" s="110">
        <f t="shared" si="19"/>
        <v>17377.800000000003</v>
      </c>
      <c r="O54" s="110">
        <f t="shared" si="20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940.51920673485915</v>
      </c>
      <c r="T54" s="109">
        <f t="shared" ref="T54:T56" si="51">SUM(E$13)/SUM(E$6:E$13)*N49</f>
        <v>2938.4901629503288</v>
      </c>
      <c r="U54" s="109">
        <f t="shared" ref="U54:U56" si="52">SUM(F$13)/SUM(F$6:F$13)*O49</f>
        <v>1095.7316036960901</v>
      </c>
      <c r="V54" s="117">
        <f t="shared" ref="V54:V56" si="53">SUM(D$13)/SUM(D$6:D$13)*P54</f>
        <v>4.3652472553751862E-2</v>
      </c>
      <c r="W54" s="117">
        <f t="shared" ref="W54:W56" si="54">SUM(E$13)/SUM(E$6:E$13)*Q54</f>
        <v>6.907276803375445E-2</v>
      </c>
      <c r="X54" s="117">
        <f t="shared" ref="X54:X56" si="55">SUM(F$13)/SUM(F$6:F$13)*R54</f>
        <v>4.9525094922424191E-2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7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2"/>
        <v>18864.333333333332</v>
      </c>
      <c r="N55" s="110">
        <f t="shared" si="19"/>
        <v>21853.15</v>
      </c>
      <c r="O55" s="110">
        <f t="shared" si="20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712.21569752483379</v>
      </c>
      <c r="T55" s="109">
        <f t="shared" si="51"/>
        <v>1750.3169395230987</v>
      </c>
      <c r="U55" s="109">
        <f t="shared" si="52"/>
        <v>783.26984431826475</v>
      </c>
      <c r="V55" s="117">
        <f t="shared" si="53"/>
        <v>2.9479495276821064E-2</v>
      </c>
      <c r="W55" s="117">
        <f t="shared" si="54"/>
        <v>4.6389380207426861E-2</v>
      </c>
      <c r="X55" s="117">
        <f t="shared" si="55"/>
        <v>3.5948082171290856E-2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7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2"/>
        <v>12830</v>
      </c>
      <c r="N56" s="110">
        <f t="shared" si="19"/>
        <v>17208.666666666668</v>
      </c>
      <c r="O56" s="110">
        <f t="shared" si="20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339.03334342334279</v>
      </c>
      <c r="T56" s="109">
        <f t="shared" si="51"/>
        <v>1061.2538971301933</v>
      </c>
      <c r="U56" s="109">
        <f t="shared" si="52"/>
        <v>600.64791036891643</v>
      </c>
      <c r="V56" s="117">
        <f t="shared" si="53"/>
        <v>1.524211365405692E-2</v>
      </c>
      <c r="W56" s="117">
        <f t="shared" si="54"/>
        <v>2.4281038001972562E-2</v>
      </c>
      <c r="X56" s="117">
        <f t="shared" si="55"/>
        <v>1.9811457157685314E-2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2"/>
        <v>2128</v>
      </c>
      <c r="N57" s="112">
        <f t="shared" si="19"/>
        <v>1600</v>
      </c>
      <c r="O57" s="112">
        <f t="shared" si="20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149.37121217492202</v>
      </c>
      <c r="T57" s="111">
        <f>E13/SUM(E6:E13)*N57</f>
        <v>178.24965729669424</v>
      </c>
      <c r="U57" s="111">
        <f>F13/SUM(F6:F13)*O57</f>
        <v>84.771965794945856</v>
      </c>
      <c r="V57" s="116">
        <f>D13/SUM(D6:D13)*P57</f>
        <v>-9.8521266588241329E-4</v>
      </c>
      <c r="W57" s="116">
        <f t="shared" ref="W57:X57" si="56">E13/SUM(E6:E13)*Q57</f>
        <v>-1.3844530588856169E-4</v>
      </c>
      <c r="X57" s="116">
        <f t="shared" si="56"/>
        <v>2.7562493385017966E-3</v>
      </c>
    </row>
    <row r="59" spans="3:24" x14ac:dyDescent="0.2">
      <c r="S59" s="120">
        <f>SUM(S37,S39,S42,S46,S51,S57)</f>
        <v>9608.4735804205193</v>
      </c>
      <c r="T59" s="120">
        <f t="shared" ref="T59:U59" si="57">SUM(T37,T39,T42,T46,T51,T57)</f>
        <v>14333.869646601945</v>
      </c>
      <c r="U59" s="120">
        <f t="shared" si="57"/>
        <v>11196.414691601361</v>
      </c>
      <c r="V59" s="119">
        <f>SUM(V37,V39,V42,V46,V51,V57)</f>
        <v>0.20172336037443986</v>
      </c>
      <c r="W59" s="119">
        <f t="shared" ref="W59:X59" si="58">SUM(W37,W39,W42,W46,W51,W57)</f>
        <v>0.2000191767273756</v>
      </c>
      <c r="X59" s="119">
        <f t="shared" si="58"/>
        <v>0.21813305903885022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22294.679797673529</v>
      </c>
      <c r="T60" s="167" cm="1">
        <f t="array" ref="T60">T38+AVERAGE(T40:T41)+AVERAGE(T43:T45)+AVERAGE(T47:T50+AVERAGE(T53:T56))</f>
        <v>24114.356797661487</v>
      </c>
      <c r="U60" s="167" cm="1">
        <f t="array" ref="U60">U38+AVERAGE(U40:U41)+AVERAGE(U43:U45)+AVERAGE(U47:U50+AVERAGE(U53:U56))</f>
        <v>17266.169771719473</v>
      </c>
      <c r="V60" s="121" cm="1">
        <f t="array" ref="V60">V38+AVERAGE(V40:V41)+AVERAGE(V43:V45)+AVERAGE(V47:V50+AVERAGE(V53:V56))</f>
        <v>0.44109160694603122</v>
      </c>
      <c r="W60" s="121" cm="1">
        <f t="array" ref="W60">W38+AVERAGE(W40:W41)+AVERAGE(W43:W45)+AVERAGE(W47:W50+AVERAGE(W53:W56))</f>
        <v>0.43814428681539097</v>
      </c>
      <c r="X60" s="121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2022-01-14T12:21:09Z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591518580913543</vt:r8>
  </property>
</Properties>
</file>