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A0E9B3C4-10BB-4759-9CE0-3853A3F0D29E}" xr6:coauthVersionLast="47" xr6:coauthVersionMax="47" xr10:uidLastSave="{00000000-0000-0000-0000-000000000000}"/>
  <bookViews>
    <workbookView xWindow="-120" yWindow="-120" windowWidth="29040" windowHeight="15720" firstSheet="4" activeTab="4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71" i="24" l="1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I6" i="48" s="1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<sst xmlns="http://schemas.openxmlformats.org/spreadsheetml/2006/main" count="69056" uniqueCount="973">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</sst>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835" t="s">
        <v>876</v>
      </c>
      <c r="B16" s="835"/>
      <c r="C16" s="835"/>
      <c r="D16" s="835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834" t="s">
        <v>891</v>
      </c>
      <c r="C19" s="834"/>
      <c r="D19" s="834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834" t="s">
        <v>892</v>
      </c>
      <c r="C20" s="834"/>
      <c r="D20" s="834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834" t="s">
        <v>887</v>
      </c>
      <c r="C23" s="834"/>
      <c r="D23" s="834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834" t="s">
        <v>888</v>
      </c>
      <c r="C24" s="834"/>
      <c r="D24" s="834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834" t="s">
        <v>889</v>
      </c>
      <c r="C25" s="834"/>
      <c r="D25" s="834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834" t="s">
        <v>887</v>
      </c>
      <c r="C26" s="834"/>
      <c r="D26" s="834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834" t="s">
        <v>890</v>
      </c>
      <c r="C27" s="834"/>
      <c r="D27" s="834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836" t="s">
        <v>883</v>
      </c>
      <c r="C30" s="834"/>
      <c r="D30" s="834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834" t="s">
        <v>885</v>
      </c>
      <c r="C31" s="834"/>
      <c r="D31" s="834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837" t="s">
        <v>2</v>
      </c>
      <c r="C2" s="838"/>
      <c r="D2" s="838"/>
      <c r="E2" s="839"/>
      <c r="G2" s="837" t="s">
        <v>3</v>
      </c>
      <c r="H2" s="839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837" t="s">
        <v>11</v>
      </c>
      <c r="H11" s="839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840" t="s">
        <v>604</v>
      </c>
      <c r="H18" s="841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842" t="s">
        <v>602</v>
      </c>
      <c r="C27" s="843"/>
      <c r="D27" s="843"/>
      <c r="E27" s="843"/>
      <c r="F27" s="843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837" t="s">
        <v>610</v>
      </c>
      <c r="C46" s="838"/>
      <c r="D46" s="838"/>
      <c r="E46" s="839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topLeftCell="A47" workbookViewId="0">
      <selection activeCell="C86" sqref="C86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847" t="s">
        <v>23</v>
      </c>
      <c r="B1" s="848"/>
      <c r="C1" s="848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844" t="s">
        <v>25</v>
      </c>
      <c r="B7" s="845"/>
      <c r="C7" s="84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844" t="s">
        <v>26</v>
      </c>
      <c r="B28" s="845"/>
      <c r="C28" s="846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844" t="s">
        <v>39</v>
      </c>
      <c r="B35" s="845"/>
      <c r="C35" s="846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844" t="s">
        <v>47</v>
      </c>
      <c r="B39" s="845"/>
      <c r="C39" s="846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844" t="s">
        <v>66</v>
      </c>
      <c r="B49" s="845"/>
      <c r="C49" s="846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844" t="s">
        <v>68</v>
      </c>
      <c r="B62" s="845"/>
      <c r="C62" s="846"/>
    </row>
    <row r="63" spans="1:3">
      <c r="A63" s="844" t="s">
        <v>69</v>
      </c>
      <c r="B63" s="845"/>
      <c r="C63" s="846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844" t="s">
        <v>76</v>
      </c>
      <c r="B70" s="845"/>
      <c r="C70" s="846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844" t="s">
        <v>487</v>
      </c>
      <c r="B76" s="845"/>
      <c r="C76" s="846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844" t="s">
        <v>716</v>
      </c>
      <c r="B84" s="845"/>
      <c r="C84" s="846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abSelected="1" topLeftCell="A52" workbookViewId="0">
      <selection activeCell="C85" sqref="C85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913"/>
      <c r="C2" s="914">
        <f>SUM(D2:G2)</f>
        <v>0</v>
      </c>
      <c r="D2" s="915">
        <v>0</v>
      </c>
      <c r="E2" s="916"/>
      <c r="F2" s="917"/>
      <c r="G2" s="917"/>
      <c r="H2" s="918">
        <f>SUM(I2:K2)</f>
        <v>815.92434898628403</v>
      </c>
      <c r="I2" s="919">
        <v>688.22034898628408</v>
      </c>
      <c r="J2" s="920">
        <v>127.70399999999999</v>
      </c>
      <c r="K2" s="921"/>
      <c r="L2" s="918">
        <f>SUM(M2:Z2)</f>
        <v>0</v>
      </c>
      <c r="M2" s="919"/>
      <c r="N2" s="922"/>
      <c r="O2" s="923"/>
      <c r="P2" s="923"/>
      <c r="Q2" s="923"/>
      <c r="R2" s="923"/>
      <c r="S2" s="923"/>
      <c r="T2" s="923"/>
      <c r="U2" s="923"/>
      <c r="V2" s="923"/>
      <c r="W2" s="917"/>
      <c r="X2" s="917"/>
      <c r="Y2" s="917"/>
      <c r="Z2" s="921"/>
      <c r="AA2" s="918">
        <v>2751.9191872187112</v>
      </c>
      <c r="AB2" s="924">
        <f>SUM(AC2:AM2)</f>
        <v>1334.658297317769</v>
      </c>
      <c r="AC2" s="925">
        <v>59.691708987970003</v>
      </c>
      <c r="AD2" s="921">
        <v>743.01992281532614</v>
      </c>
      <c r="AE2" s="921">
        <v>248.90859762015592</v>
      </c>
      <c r="AF2" s="921">
        <v>139.99992739520798</v>
      </c>
      <c r="AG2" s="921">
        <v>33.531818868055431</v>
      </c>
      <c r="AH2" s="921">
        <v>16.813132576534866</v>
      </c>
      <c r="AI2" s="921">
        <v>31.064467987392003</v>
      </c>
      <c r="AJ2" s="921">
        <v>2.6691993220799999</v>
      </c>
      <c r="AK2" s="919">
        <v>1.8899880806415161</v>
      </c>
      <c r="AL2" s="919">
        <v>13.54608560366562</v>
      </c>
      <c r="AM2" s="917">
        <v>43.523448060739646</v>
      </c>
      <c r="AN2" s="926">
        <v>145.43710297949829</v>
      </c>
      <c r="AO2" s="926"/>
      <c r="AP2" s="924"/>
      <c r="AQ2" s="927">
        <f>C2+H2+L2+AA2+AB2+AN2+AO2+AP2</f>
        <v>5047.9389365022625</v>
      </c>
    </row>
    <row r="3" spans="1:45" ht="12.75" customHeight="1">
      <c r="A3" s="530" t="s">
        <v>121</v>
      </c>
      <c r="B3" s="928"/>
      <c r="C3" s="929">
        <f>SUM(D3:G3)</f>
        <v>903.49466255082825</v>
      </c>
      <c r="D3" s="930">
        <v>829.57460107090037</v>
      </c>
      <c r="E3" s="931">
        <v>61.722867734674637</v>
      </c>
      <c r="F3" s="932"/>
      <c r="G3" s="932">
        <v>12.197193745253209</v>
      </c>
      <c r="H3" s="933">
        <f>SUM(I3:K3)</f>
        <v>0</v>
      </c>
      <c r="I3" s="934"/>
      <c r="J3" s="935"/>
      <c r="K3" s="936"/>
      <c r="L3" s="933">
        <f>SUM(M3:Z3)</f>
        <v>9138.5577999094057</v>
      </c>
      <c r="M3" s="934">
        <v>3053.4742963851995</v>
      </c>
      <c r="N3" s="934">
        <v>16.633377499200002</v>
      </c>
      <c r="O3" s="936">
        <v>0</v>
      </c>
      <c r="P3" s="936">
        <v>564.2364083333332</v>
      </c>
      <c r="Q3" s="936">
        <v>369.14638715136005</v>
      </c>
      <c r="R3" s="936">
        <v>1542.2444022448799</v>
      </c>
      <c r="S3" s="936">
        <v>82.827948630790956</v>
      </c>
      <c r="T3" s="936">
        <v>157.5463640726893</v>
      </c>
      <c r="U3" s="936">
        <v>2932.6955801163149</v>
      </c>
      <c r="V3" s="936">
        <v>166.37647928144222</v>
      </c>
      <c r="W3" s="932">
        <v>7.5616539426795564</v>
      </c>
      <c r="X3" s="932">
        <v>200.83222211696253</v>
      </c>
      <c r="Y3" s="932">
        <v>1.2281470084248403</v>
      </c>
      <c r="Z3" s="936">
        <v>43.754533126130625</v>
      </c>
      <c r="AA3" s="933">
        <v>1728.338063506957</v>
      </c>
      <c r="AB3" s="937">
        <f>SUM(AC3:AM3)</f>
        <v>151.93355907200862</v>
      </c>
      <c r="AC3" s="938"/>
      <c r="AD3" s="936"/>
      <c r="AE3" s="936">
        <v>24.282116302936618</v>
      </c>
      <c r="AF3" s="936"/>
      <c r="AG3" s="936"/>
      <c r="AH3" s="936"/>
      <c r="AI3" s="936">
        <v>104.81441230492801</v>
      </c>
      <c r="AJ3" s="936">
        <v>22.837030464144</v>
      </c>
      <c r="AK3" s="934"/>
      <c r="AL3" s="934"/>
      <c r="AM3" s="932"/>
      <c r="AN3" s="939"/>
      <c r="AO3" s="939">
        <v>139.45061680000001</v>
      </c>
      <c r="AP3" s="937"/>
      <c r="AQ3" s="940">
        <f t="shared" ref="AQ3:AQ20" si="0">C3+H3+L3+AA3+AB3+AN3+AO3+AP3</f>
        <v>12061.7747018392</v>
      </c>
    </row>
    <row r="4" spans="1:45" ht="12.75" customHeight="1">
      <c r="A4" s="530" t="s">
        <v>122</v>
      </c>
      <c r="B4" s="928"/>
      <c r="C4" s="929">
        <f>SUM(D4:G4)</f>
        <v>15.186580890896002</v>
      </c>
      <c r="D4" s="930">
        <v>0</v>
      </c>
      <c r="E4" s="941">
        <v>14.097722162000002</v>
      </c>
      <c r="F4" s="932"/>
      <c r="G4" s="932">
        <v>1.0888587288959999</v>
      </c>
      <c r="H4" s="933">
        <f>SUM(I4:K4)</f>
        <v>7.0330680000000001</v>
      </c>
      <c r="I4" s="934"/>
      <c r="J4" s="935"/>
      <c r="K4" s="936">
        <v>7.0330680000000001</v>
      </c>
      <c r="L4" s="933">
        <f>SUM(M4:Z4)</f>
        <v>1717.0624747879344</v>
      </c>
      <c r="M4" s="934">
        <v>0</v>
      </c>
      <c r="N4" s="934">
        <v>0</v>
      </c>
      <c r="O4" s="936"/>
      <c r="P4" s="936">
        <v>364.52221864444448</v>
      </c>
      <c r="Q4" s="936">
        <v>21.672508399360005</v>
      </c>
      <c r="R4" s="936">
        <v>156.29379915984001</v>
      </c>
      <c r="S4" s="936">
        <v>986.60611760112999</v>
      </c>
      <c r="T4" s="936">
        <v>35.289733288720633</v>
      </c>
      <c r="U4" s="936">
        <v>102.14625414775992</v>
      </c>
      <c r="V4" s="936">
        <v>2.9088437938490893E-3</v>
      </c>
      <c r="W4" s="932">
        <v>36.297317128453038</v>
      </c>
      <c r="X4" s="932">
        <v>5.4694689952000006</v>
      </c>
      <c r="Y4" s="932">
        <v>1.8500297569930473E-2</v>
      </c>
      <c r="Z4" s="936">
        <v>8.7436482816626366</v>
      </c>
      <c r="AA4" s="933">
        <v>0</v>
      </c>
      <c r="AB4" s="937">
        <f>SUM(AC4:AM4)</f>
        <v>9.4476585178560004</v>
      </c>
      <c r="AC4" s="938"/>
      <c r="AD4" s="936"/>
      <c r="AE4" s="936">
        <v>0.41264639999999991</v>
      </c>
      <c r="AF4" s="936"/>
      <c r="AG4" s="936"/>
      <c r="AH4" s="936"/>
      <c r="AI4" s="936">
        <v>9.0350121178560006</v>
      </c>
      <c r="AJ4" s="936">
        <v>0</v>
      </c>
      <c r="AK4" s="934"/>
      <c r="AL4" s="934"/>
      <c r="AM4" s="932"/>
      <c r="AN4" s="939"/>
      <c r="AO4" s="939">
        <v>141.83539077999998</v>
      </c>
      <c r="AP4" s="937"/>
      <c r="AQ4" s="940">
        <f t="shared" si="0"/>
        <v>1890.5651729766864</v>
      </c>
    </row>
    <row r="5" spans="1:45" ht="12.75" customHeight="1">
      <c r="A5" s="530" t="s">
        <v>123</v>
      </c>
      <c r="B5" s="928"/>
      <c r="C5" s="929">
        <f>SUM(D5:G5)</f>
        <v>0</v>
      </c>
      <c r="D5" s="930"/>
      <c r="E5" s="941"/>
      <c r="F5" s="932"/>
      <c r="G5" s="932"/>
      <c r="H5" s="933">
        <f>SUM(I5:K5)</f>
        <v>0</v>
      </c>
      <c r="I5" s="934"/>
      <c r="J5" s="935"/>
      <c r="K5" s="936"/>
      <c r="L5" s="933">
        <f>SUM(M5:Z5)</f>
        <v>172.71258946798309</v>
      </c>
      <c r="M5" s="934"/>
      <c r="N5" s="934"/>
      <c r="O5" s="936"/>
      <c r="P5" s="936"/>
      <c r="Q5" s="936"/>
      <c r="R5" s="936"/>
      <c r="S5" s="936">
        <v>15.730078096892656</v>
      </c>
      <c r="T5" s="936"/>
      <c r="U5" s="936">
        <v>156.98251137109042</v>
      </c>
      <c r="V5" s="936"/>
      <c r="W5" s="932"/>
      <c r="X5" s="932"/>
      <c r="Y5" s="932"/>
      <c r="Z5" s="936"/>
      <c r="AA5" s="933"/>
      <c r="AB5" s="937">
        <f>SUM(AC5:AM5)</f>
        <v>0</v>
      </c>
      <c r="AC5" s="938"/>
      <c r="AD5" s="936"/>
      <c r="AE5" s="936"/>
      <c r="AF5" s="936"/>
      <c r="AG5" s="936"/>
      <c r="AH5" s="936"/>
      <c r="AI5" s="936"/>
      <c r="AJ5" s="936"/>
      <c r="AK5" s="934"/>
      <c r="AL5" s="934"/>
      <c r="AM5" s="932"/>
      <c r="AN5" s="939"/>
      <c r="AO5" s="939"/>
      <c r="AP5" s="937"/>
      <c r="AQ5" s="940">
        <f t="shared" si="0"/>
        <v>172.71258946798309</v>
      </c>
    </row>
    <row r="6" spans="1:45" ht="12.75" customHeight="1" thickBot="1">
      <c r="A6" s="531" t="s">
        <v>124</v>
      </c>
      <c r="B6" s="942"/>
      <c r="C6" s="929">
        <f>SUM(D6:G6)</f>
        <v>-101.25634942971131</v>
      </c>
      <c r="D6" s="943">
        <v>-101.869888772661</v>
      </c>
      <c r="E6" s="932">
        <v>-0.8079766727235479</v>
      </c>
      <c r="F6" s="944"/>
      <c r="G6" s="944">
        <v>1.4215160156732278</v>
      </c>
      <c r="H6" s="945">
        <f>SUM(I6:K6)</f>
        <v>-122.93905189963694</v>
      </c>
      <c r="I6" s="946">
        <v>-136.53826589963694</v>
      </c>
      <c r="J6" s="947">
        <v>0</v>
      </c>
      <c r="K6" s="946">
        <v>13.599214000000003</v>
      </c>
      <c r="L6" s="945">
        <f>SUM(M6:Z6)</f>
        <v>151.33981188504902</v>
      </c>
      <c r="M6" s="934">
        <v>38.730964773999993</v>
      </c>
      <c r="N6" s="934">
        <v>-8.8751519999999999</v>
      </c>
      <c r="O6" s="936"/>
      <c r="P6" s="936">
        <v>-9.6980083333333713</v>
      </c>
      <c r="Q6" s="936">
        <v>12.883201938880001</v>
      </c>
      <c r="R6" s="936">
        <v>82.12024884504001</v>
      </c>
      <c r="S6" s="936">
        <v>23.637599999999999</v>
      </c>
      <c r="T6" s="936">
        <v>1.4659197380156652</v>
      </c>
      <c r="U6" s="936">
        <v>8.3874136006762399</v>
      </c>
      <c r="V6" s="936">
        <v>3.2040911090633046</v>
      </c>
      <c r="W6" s="944">
        <v>-0.51646778729281662</v>
      </c>
      <c r="X6" s="944">
        <v>0</v>
      </c>
      <c r="Y6" s="944">
        <v>0</v>
      </c>
      <c r="Z6" s="946">
        <v>0</v>
      </c>
      <c r="AA6" s="945">
        <v>0</v>
      </c>
      <c r="AB6" s="948">
        <f>SUM(AC6:AM6)</f>
        <v>4.4601014379600006</v>
      </c>
      <c r="AC6" s="949"/>
      <c r="AD6" s="950"/>
      <c r="AE6" s="950">
        <v>0.26707427819999968</v>
      </c>
      <c r="AF6" s="950"/>
      <c r="AG6" s="950"/>
      <c r="AH6" s="950"/>
      <c r="AI6" s="950">
        <v>1.7828522013120007</v>
      </c>
      <c r="AJ6" s="950">
        <v>2.4101749584479997</v>
      </c>
      <c r="AK6" s="946"/>
      <c r="AL6" s="946"/>
      <c r="AM6" s="944"/>
      <c r="AN6" s="951"/>
      <c r="AO6" s="951"/>
      <c r="AP6" s="948"/>
      <c r="AQ6" s="952">
        <f t="shared" si="0"/>
        <v>-68.395488006339221</v>
      </c>
    </row>
    <row r="7" spans="1:45" s="5" customFormat="1" ht="12.75" customHeight="1">
      <c r="A7" s="532" t="s">
        <v>125</v>
      </c>
      <c r="B7" s="953"/>
      <c r="C7" s="954">
        <f t="shared" ref="C7:AP7" si="1">C2+C3-C4-C5+C6</f>
        <v>787.05173223022086</v>
      </c>
      <c r="D7" s="955">
        <f t="shared" si="1"/>
        <v>727.70471229823943</v>
      </c>
      <c r="E7" s="956">
        <f t="shared" si="1"/>
        <v>46.817168899951085</v>
      </c>
      <c r="F7" s="956">
        <f t="shared" si="1"/>
        <v>0</v>
      </c>
      <c r="G7" s="956">
        <f t="shared" si="1"/>
        <v>12.529851032030438</v>
      </c>
      <c r="H7" s="957">
        <f t="shared" si="1"/>
        <v>685.95222908664709</v>
      </c>
      <c r="I7" s="955">
        <f t="shared" si="1"/>
        <v>551.68208308664714</v>
      </c>
      <c r="J7" s="958">
        <f t="shared" si="1"/>
        <v>127.70399999999999</v>
      </c>
      <c r="K7" s="956">
        <f t="shared" si="1"/>
        <v>6.5661460000000034</v>
      </c>
      <c r="L7" s="957">
        <f t="shared" si="1"/>
        <v>7400.1225475385372</v>
      </c>
      <c r="M7" s="955">
        <f t="shared" si="1"/>
        <v>3092.2052611591994</v>
      </c>
      <c r="N7" s="955">
        <f t="shared" si="1"/>
        <v>7.7582254992000017</v>
      </c>
      <c r="O7" s="956">
        <f t="shared" si="1"/>
        <v>0</v>
      </c>
      <c r="P7" s="956">
        <f t="shared" si="1"/>
        <v>190.01618135555535</v>
      </c>
      <c r="Q7" s="956">
        <f t="shared" si="1"/>
        <v>360.35708069088003</v>
      </c>
      <c r="R7" s="956">
        <f t="shared" si="1"/>
        <v>1468.0708519300797</v>
      </c>
      <c r="S7" s="956">
        <f t="shared" si="1"/>
        <v>-895.87064706723163</v>
      </c>
      <c r="T7" s="956">
        <f t="shared" si="1"/>
        <v>123.72255052198433</v>
      </c>
      <c r="U7" s="956">
        <f t="shared" si="1"/>
        <v>2681.9542281981408</v>
      </c>
      <c r="V7" s="956">
        <f t="shared" si="1"/>
        <v>169.57766154671168</v>
      </c>
      <c r="W7" s="956">
        <f t="shared" si="1"/>
        <v>-29.252130973066301</v>
      </c>
      <c r="X7" s="956">
        <f t="shared" si="1"/>
        <v>195.36275312176252</v>
      </c>
      <c r="Y7" s="956">
        <f t="shared" si="1"/>
        <v>1.2096467108549098</v>
      </c>
      <c r="Z7" s="956">
        <f t="shared" si="1"/>
        <v>35.010884844467988</v>
      </c>
      <c r="AA7" s="957">
        <f t="shared" si="1"/>
        <v>4480.2572507256682</v>
      </c>
      <c r="AB7" s="957">
        <f t="shared" si="1"/>
        <v>1481.6042993098815</v>
      </c>
      <c r="AC7" s="955">
        <f t="shared" si="1"/>
        <v>59.691708987970003</v>
      </c>
      <c r="AD7" s="956">
        <f t="shared" si="1"/>
        <v>743.01992281532614</v>
      </c>
      <c r="AE7" s="956">
        <f t="shared" si="1"/>
        <v>273.04514180129252</v>
      </c>
      <c r="AF7" s="956">
        <f t="shared" si="1"/>
        <v>139.99992739520798</v>
      </c>
      <c r="AG7" s="956">
        <f t="shared" si="1"/>
        <v>33.531818868055431</v>
      </c>
      <c r="AH7" s="956">
        <f t="shared" si="1"/>
        <v>16.813132576534866</v>
      </c>
      <c r="AI7" s="956">
        <f t="shared" si="1"/>
        <v>128.62672037577602</v>
      </c>
      <c r="AJ7" s="956">
        <f t="shared" si="1"/>
        <v>27.916404744672001</v>
      </c>
      <c r="AK7" s="959">
        <f t="shared" si="1"/>
        <v>1.8899880806415161</v>
      </c>
      <c r="AL7" s="959">
        <f t="shared" si="1"/>
        <v>13.54608560366562</v>
      </c>
      <c r="AM7" s="955">
        <f t="shared" si="1"/>
        <v>43.523448060739646</v>
      </c>
      <c r="AN7" s="957">
        <f t="shared" si="1"/>
        <v>145.43710297949829</v>
      </c>
      <c r="AO7" s="957">
        <f t="shared" si="1"/>
        <v>-2.3847739799999772</v>
      </c>
      <c r="AP7" s="960">
        <f t="shared" si="1"/>
        <v>0</v>
      </c>
      <c r="AQ7" s="961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962"/>
      <c r="C8" s="963">
        <f t="shared" ref="C8:AP8" si="2">C7-C27</f>
        <v>787.05173223022086</v>
      </c>
      <c r="D8" s="964">
        <f t="shared" si="2"/>
        <v>727.70471229823943</v>
      </c>
      <c r="E8" s="965">
        <f t="shared" si="2"/>
        <v>46.817168899951085</v>
      </c>
      <c r="F8" s="966">
        <f t="shared" si="2"/>
        <v>0</v>
      </c>
      <c r="G8" s="966">
        <f t="shared" si="2"/>
        <v>12.529851032030438</v>
      </c>
      <c r="H8" s="967">
        <f t="shared" si="2"/>
        <v>685.95222908664709</v>
      </c>
      <c r="I8" s="964">
        <f t="shared" si="2"/>
        <v>551.68208308664714</v>
      </c>
      <c r="J8" s="968">
        <f t="shared" si="2"/>
        <v>127.70399999999999</v>
      </c>
      <c r="K8" s="965">
        <f t="shared" si="2"/>
        <v>6.5661460000000034</v>
      </c>
      <c r="L8" s="967">
        <f t="shared" si="2"/>
        <v>7168.5392628614518</v>
      </c>
      <c r="M8" s="964">
        <f t="shared" si="2"/>
        <v>3092.2052611591994</v>
      </c>
      <c r="N8" s="964">
        <f t="shared" si="2"/>
        <v>7.7582254992000017</v>
      </c>
      <c r="O8" s="965">
        <f t="shared" si="2"/>
        <v>0</v>
      </c>
      <c r="P8" s="965">
        <f t="shared" si="2"/>
        <v>190.01618135555535</v>
      </c>
      <c r="Q8" s="965">
        <f t="shared" si="2"/>
        <v>360.35708069088003</v>
      </c>
      <c r="R8" s="965">
        <f t="shared" si="2"/>
        <v>1468.0708519300797</v>
      </c>
      <c r="S8" s="965">
        <f t="shared" si="2"/>
        <v>-895.87064706723163</v>
      </c>
      <c r="T8" s="965">
        <f t="shared" si="2"/>
        <v>123.72255052198433</v>
      </c>
      <c r="U8" s="965">
        <f t="shared" si="2"/>
        <v>2681.9542281981408</v>
      </c>
      <c r="V8" s="965">
        <f t="shared" si="2"/>
        <v>169.57766154671168</v>
      </c>
      <c r="W8" s="966">
        <f t="shared" si="2"/>
        <v>-29.252130973066301</v>
      </c>
      <c r="X8" s="966">
        <f t="shared" si="2"/>
        <v>0</v>
      </c>
      <c r="Y8" s="966">
        <f t="shared" si="2"/>
        <v>0</v>
      </c>
      <c r="Z8" s="965">
        <f t="shared" si="2"/>
        <v>0</v>
      </c>
      <c r="AA8" s="967">
        <f t="shared" si="2"/>
        <v>4480.2572507256682</v>
      </c>
      <c r="AB8" s="969">
        <f t="shared" si="2"/>
        <v>1481.6042993098815</v>
      </c>
      <c r="AC8" s="964">
        <f t="shared" si="2"/>
        <v>59.691708987970003</v>
      </c>
      <c r="AD8" s="965">
        <f t="shared" si="2"/>
        <v>743.01992281532614</v>
      </c>
      <c r="AE8" s="965">
        <f t="shared" si="2"/>
        <v>273.04514180129252</v>
      </c>
      <c r="AF8" s="965">
        <f t="shared" si="2"/>
        <v>139.99992739520798</v>
      </c>
      <c r="AG8" s="965">
        <f t="shared" si="2"/>
        <v>33.531818868055431</v>
      </c>
      <c r="AH8" s="965">
        <f t="shared" si="2"/>
        <v>16.813132576534866</v>
      </c>
      <c r="AI8" s="965">
        <f t="shared" si="2"/>
        <v>128.62672037577602</v>
      </c>
      <c r="AJ8" s="965">
        <f t="shared" si="2"/>
        <v>27.916404744672001</v>
      </c>
      <c r="AK8" s="970">
        <f t="shared" si="2"/>
        <v>1.8899880806415161</v>
      </c>
      <c r="AL8" s="970">
        <f t="shared" si="2"/>
        <v>13.54608560366562</v>
      </c>
      <c r="AM8" s="964">
        <f t="shared" si="2"/>
        <v>43.523448060739646</v>
      </c>
      <c r="AN8" s="967">
        <f t="shared" si="2"/>
        <v>145.43710297949829</v>
      </c>
      <c r="AO8" s="967">
        <f t="shared" si="2"/>
        <v>-2.3847739799999772</v>
      </c>
      <c r="AP8" s="964">
        <f t="shared" si="2"/>
        <v>0</v>
      </c>
      <c r="AQ8" s="971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953"/>
      <c r="C9" s="954">
        <f t="shared" ref="C9:AP9" si="3">SUM(C10:C14)</f>
        <v>489.13419536754503</v>
      </c>
      <c r="D9" s="959">
        <f t="shared" si="3"/>
        <v>489.13419536754503</v>
      </c>
      <c r="E9" s="956">
        <f t="shared" si="3"/>
        <v>0</v>
      </c>
      <c r="F9" s="972">
        <f t="shared" si="3"/>
        <v>0</v>
      </c>
      <c r="G9" s="972">
        <f t="shared" si="3"/>
        <v>0</v>
      </c>
      <c r="H9" s="957">
        <f t="shared" si="3"/>
        <v>541.02658367795425</v>
      </c>
      <c r="I9" s="959">
        <f t="shared" si="3"/>
        <v>541.02658367795425</v>
      </c>
      <c r="J9" s="958">
        <f t="shared" si="3"/>
        <v>0</v>
      </c>
      <c r="K9" s="956">
        <f t="shared" si="3"/>
        <v>0</v>
      </c>
      <c r="L9" s="957">
        <f t="shared" si="3"/>
        <v>3165.7216476484605</v>
      </c>
      <c r="M9" s="956">
        <f t="shared" si="3"/>
        <v>3092.2052611591994</v>
      </c>
      <c r="N9" s="956">
        <f t="shared" ref="N9" si="4">SUM(N10:N14)</f>
        <v>38.786602361842682</v>
      </c>
      <c r="O9" s="956">
        <f t="shared" si="3"/>
        <v>0</v>
      </c>
      <c r="P9" s="956">
        <f t="shared" si="3"/>
        <v>0</v>
      </c>
      <c r="Q9" s="956">
        <f t="shared" si="3"/>
        <v>0</v>
      </c>
      <c r="R9" s="956">
        <f t="shared" si="3"/>
        <v>0</v>
      </c>
      <c r="S9" s="956">
        <f t="shared" si="3"/>
        <v>25.868327226603597</v>
      </c>
      <c r="T9" s="956">
        <f t="shared" si="3"/>
        <v>0.63499472294399995</v>
      </c>
      <c r="U9" s="956">
        <f t="shared" si="3"/>
        <v>8.2264621778709284</v>
      </c>
      <c r="V9" s="956">
        <f t="shared" si="3"/>
        <v>0</v>
      </c>
      <c r="W9" s="972">
        <f t="shared" si="3"/>
        <v>0</v>
      </c>
      <c r="X9" s="972">
        <f t="shared" si="3"/>
        <v>0</v>
      </c>
      <c r="Y9" s="972">
        <f t="shared" si="3"/>
        <v>0</v>
      </c>
      <c r="Z9" s="956">
        <f t="shared" si="3"/>
        <v>0</v>
      </c>
      <c r="AA9" s="957">
        <f t="shared" si="3"/>
        <v>2501.2994242635782</v>
      </c>
      <c r="AB9" s="955">
        <f t="shared" si="3"/>
        <v>215.90352917717644</v>
      </c>
      <c r="AC9" s="973">
        <f t="shared" si="3"/>
        <v>0</v>
      </c>
      <c r="AD9" s="956">
        <f t="shared" si="3"/>
        <v>0</v>
      </c>
      <c r="AE9" s="956">
        <f t="shared" si="3"/>
        <v>76.028615684916531</v>
      </c>
      <c r="AF9" s="956">
        <f t="shared" ref="AF9" si="5">SUM(AF10:AF14)</f>
        <v>99.30702317107577</v>
      </c>
      <c r="AG9" s="956">
        <f t="shared" si="3"/>
        <v>33.531818868055431</v>
      </c>
      <c r="AH9" s="956">
        <f t="shared" si="3"/>
        <v>7.0360714531287174</v>
      </c>
      <c r="AI9" s="956">
        <f t="shared" si="3"/>
        <v>0</v>
      </c>
      <c r="AJ9" s="956">
        <f t="shared" ref="AJ9" si="6">SUM(AJ10:AJ14)</f>
        <v>0</v>
      </c>
      <c r="AK9" s="959">
        <f t="shared" si="3"/>
        <v>0</v>
      </c>
      <c r="AL9" s="959">
        <f t="shared" ref="AL9" si="7">SUM(AL10:AL14)</f>
        <v>0</v>
      </c>
      <c r="AM9" s="972">
        <f t="shared" si="3"/>
        <v>0</v>
      </c>
      <c r="AN9" s="957">
        <f t="shared" si="3"/>
        <v>90.714163374524205</v>
      </c>
      <c r="AO9" s="957">
        <f t="shared" si="3"/>
        <v>54.38453208</v>
      </c>
      <c r="AP9" s="955">
        <f t="shared" si="3"/>
        <v>0</v>
      </c>
      <c r="AQ9" s="974">
        <f t="shared" si="0"/>
        <v>7058.184075589239</v>
      </c>
      <c r="AR9" s="1"/>
      <c r="AS9" s="4"/>
    </row>
    <row r="10" spans="1:45" ht="12.75" customHeight="1">
      <c r="A10" s="534" t="s">
        <v>128</v>
      </c>
      <c r="B10" s="975"/>
      <c r="C10" s="976">
        <f>SUM(D10:G10)</f>
        <v>489.13419536754503</v>
      </c>
      <c r="D10" s="977">
        <v>489.13419536754503</v>
      </c>
      <c r="E10" s="978"/>
      <c r="F10" s="979"/>
      <c r="G10" s="979"/>
      <c r="H10" s="980">
        <f>SUM(I10:K10)</f>
        <v>467.10845991760607</v>
      </c>
      <c r="I10" s="977">
        <v>467.10845991760607</v>
      </c>
      <c r="J10" s="981">
        <v>0</v>
      </c>
      <c r="K10" s="978"/>
      <c r="L10" s="980">
        <f>SUM(M10:Z10)</f>
        <v>34.094789404474525</v>
      </c>
      <c r="M10" s="978"/>
      <c r="N10" s="978"/>
      <c r="O10" s="978"/>
      <c r="P10" s="978"/>
      <c r="Q10" s="978"/>
      <c r="R10" s="978"/>
      <c r="S10" s="978">
        <v>25.868327226603597</v>
      </c>
      <c r="T10" s="978"/>
      <c r="U10" s="978">
        <v>8.2264621778709284</v>
      </c>
      <c r="V10" s="978"/>
      <c r="W10" s="979"/>
      <c r="X10" s="979"/>
      <c r="Y10" s="979"/>
      <c r="Z10" s="978"/>
      <c r="AA10" s="980">
        <v>2187.6033883210698</v>
      </c>
      <c r="AB10" s="982">
        <f>SUM(AC10:AM10)</f>
        <v>205.30590173319058</v>
      </c>
      <c r="AC10" s="983"/>
      <c r="AD10" s="978"/>
      <c r="AE10" s="978">
        <v>72.467059694059387</v>
      </c>
      <c r="AF10" s="978">
        <v>99.30702317107577</v>
      </c>
      <c r="AG10" s="978">
        <v>33.531818868055431</v>
      </c>
      <c r="AH10" s="978"/>
      <c r="AI10" s="978"/>
      <c r="AJ10" s="978"/>
      <c r="AK10" s="977"/>
      <c r="AL10" s="977"/>
      <c r="AM10" s="979"/>
      <c r="AN10" s="984">
        <v>90.714163374524205</v>
      </c>
      <c r="AO10" s="980"/>
      <c r="AP10" s="982"/>
      <c r="AQ10" s="985">
        <f t="shared" si="0"/>
        <v>3473.9608981184101</v>
      </c>
    </row>
    <row r="11" spans="1:45" ht="12.75" customHeight="1">
      <c r="A11" s="530" t="s">
        <v>129</v>
      </c>
      <c r="B11" s="928"/>
      <c r="C11" s="929">
        <f>SUM(D11:G11)</f>
        <v>0</v>
      </c>
      <c r="D11" s="934">
        <v>0</v>
      </c>
      <c r="E11" s="936"/>
      <c r="F11" s="932"/>
      <c r="G11" s="932"/>
      <c r="H11" s="933">
        <f>SUM(I11:K11)</f>
        <v>5.8425469182429177</v>
      </c>
      <c r="I11" s="934">
        <v>5.8425469182429177</v>
      </c>
      <c r="J11" s="935"/>
      <c r="K11" s="936"/>
      <c r="L11" s="933">
        <f>SUM(M11:Z11)</f>
        <v>0.63499472294399995</v>
      </c>
      <c r="M11" s="936"/>
      <c r="N11" s="986"/>
      <c r="O11" s="986">
        <v>0</v>
      </c>
      <c r="P11" s="936"/>
      <c r="Q11" s="936"/>
      <c r="R11" s="936"/>
      <c r="S11" s="936">
        <v>0</v>
      </c>
      <c r="T11" s="936">
        <v>0.63499472294399995</v>
      </c>
      <c r="U11" s="936">
        <v>0</v>
      </c>
      <c r="V11" s="936"/>
      <c r="W11" s="932"/>
      <c r="X11" s="932"/>
      <c r="Y11" s="932"/>
      <c r="Z11" s="936"/>
      <c r="AA11" s="933">
        <v>272.96145103491432</v>
      </c>
      <c r="AB11" s="937">
        <f>SUM(AC11:AM11)</f>
        <v>10.597627443985861</v>
      </c>
      <c r="AC11" s="938"/>
      <c r="AD11" s="936"/>
      <c r="AE11" s="936">
        <v>3.5615559908571428</v>
      </c>
      <c r="AF11" s="936"/>
      <c r="AG11" s="936"/>
      <c r="AH11" s="936">
        <v>7.0360714531287174</v>
      </c>
      <c r="AI11" s="936"/>
      <c r="AJ11" s="936"/>
      <c r="AK11" s="934"/>
      <c r="AL11" s="934"/>
      <c r="AM11" s="932"/>
      <c r="AN11" s="939"/>
      <c r="AO11" s="939"/>
      <c r="AP11" s="937"/>
      <c r="AQ11" s="940">
        <f t="shared" si="0"/>
        <v>290.03662012008709</v>
      </c>
    </row>
    <row r="12" spans="1:45" ht="12.75" customHeight="1">
      <c r="A12" s="530" t="s">
        <v>130</v>
      </c>
      <c r="B12" s="928"/>
      <c r="C12" s="929"/>
      <c r="D12" s="934"/>
      <c r="E12" s="936"/>
      <c r="F12" s="932"/>
      <c r="G12" s="932"/>
      <c r="H12" s="933"/>
      <c r="I12" s="934"/>
      <c r="J12" s="935"/>
      <c r="K12" s="936"/>
      <c r="L12" s="933"/>
      <c r="M12" s="936"/>
      <c r="N12" s="986"/>
      <c r="O12" s="986"/>
      <c r="P12" s="936"/>
      <c r="Q12" s="936"/>
      <c r="R12" s="936"/>
      <c r="S12" s="936"/>
      <c r="T12" s="936"/>
      <c r="U12" s="936"/>
      <c r="V12" s="936"/>
      <c r="W12" s="932"/>
      <c r="X12" s="932"/>
      <c r="Y12" s="932"/>
      <c r="Z12" s="936"/>
      <c r="AA12" s="933"/>
      <c r="AB12" s="937"/>
      <c r="AC12" s="938"/>
      <c r="AD12" s="936"/>
      <c r="AE12" s="936"/>
      <c r="AF12" s="936"/>
      <c r="AG12" s="936"/>
      <c r="AH12" s="936"/>
      <c r="AI12" s="936"/>
      <c r="AJ12" s="936"/>
      <c r="AK12" s="934"/>
      <c r="AL12" s="934"/>
      <c r="AM12" s="932"/>
      <c r="AN12" s="939"/>
      <c r="AO12" s="939">
        <v>42.942060079999997</v>
      </c>
      <c r="AP12" s="937"/>
      <c r="AQ12" s="940">
        <f t="shared" si="0"/>
        <v>42.942060079999997</v>
      </c>
    </row>
    <row r="13" spans="1:45" ht="12.75" customHeight="1">
      <c r="A13" s="530" t="s">
        <v>131</v>
      </c>
      <c r="B13" s="928"/>
      <c r="C13" s="929">
        <f>SUM(D13:G13)</f>
        <v>0</v>
      </c>
      <c r="D13" s="934"/>
      <c r="E13" s="932"/>
      <c r="F13" s="932"/>
      <c r="G13" s="932"/>
      <c r="H13" s="933">
        <f>SUM(I13:K13)</f>
        <v>68.075576842105264</v>
      </c>
      <c r="I13" s="934">
        <v>68.075576842105264</v>
      </c>
      <c r="J13" s="935"/>
      <c r="K13" s="936"/>
      <c r="L13" s="933">
        <f>SUM(M13:Z13)</f>
        <v>0</v>
      </c>
      <c r="M13" s="936"/>
      <c r="N13" s="936"/>
      <c r="O13" s="936"/>
      <c r="P13" s="936"/>
      <c r="Q13" s="936"/>
      <c r="R13" s="936"/>
      <c r="S13" s="936"/>
      <c r="T13" s="936"/>
      <c r="U13" s="936"/>
      <c r="V13" s="936"/>
      <c r="W13" s="932"/>
      <c r="X13" s="932"/>
      <c r="Y13" s="932"/>
      <c r="Z13" s="936"/>
      <c r="AA13" s="933"/>
      <c r="AB13" s="937">
        <f>SUM(AC13:AM13)</f>
        <v>0</v>
      </c>
      <c r="AC13" s="938"/>
      <c r="AD13" s="936"/>
      <c r="AE13" s="936"/>
      <c r="AF13" s="936"/>
      <c r="AG13" s="936"/>
      <c r="AH13" s="936"/>
      <c r="AI13" s="936"/>
      <c r="AJ13" s="936"/>
      <c r="AK13" s="934"/>
      <c r="AL13" s="934"/>
      <c r="AM13" s="932"/>
      <c r="AN13" s="939"/>
      <c r="AO13" s="939"/>
      <c r="AP13" s="937"/>
      <c r="AQ13" s="940">
        <f t="shared" si="0"/>
        <v>68.075576842105264</v>
      </c>
    </row>
    <row r="14" spans="1:45" ht="12.75" customHeight="1">
      <c r="A14" s="535" t="s">
        <v>132</v>
      </c>
      <c r="B14" s="987"/>
      <c r="C14" s="988">
        <f>SUM(D14:G14)</f>
        <v>0</v>
      </c>
      <c r="D14" s="989"/>
      <c r="E14" s="990"/>
      <c r="F14" s="991"/>
      <c r="G14" s="991"/>
      <c r="H14" s="992">
        <f>SUM(I14:K14)</f>
        <v>0</v>
      </c>
      <c r="I14" s="989"/>
      <c r="J14" s="993"/>
      <c r="K14" s="990"/>
      <c r="L14" s="992">
        <f>SUM(M14:Z14)</f>
        <v>3130.991863521042</v>
      </c>
      <c r="M14" s="990">
        <v>3092.2052611591994</v>
      </c>
      <c r="N14" s="990">
        <v>38.786602361842682</v>
      </c>
      <c r="O14" s="990"/>
      <c r="P14" s="990"/>
      <c r="Q14" s="990"/>
      <c r="R14" s="990"/>
      <c r="S14" s="990"/>
      <c r="T14" s="990"/>
      <c r="U14" s="990"/>
      <c r="V14" s="990"/>
      <c r="W14" s="991"/>
      <c r="X14" s="991"/>
      <c r="Y14" s="991"/>
      <c r="Z14" s="990"/>
      <c r="AA14" s="992">
        <v>40.734584907594211</v>
      </c>
      <c r="AB14" s="994">
        <f>SUM(AC14:AM14)</f>
        <v>0</v>
      </c>
      <c r="AC14" s="995"/>
      <c r="AD14" s="990"/>
      <c r="AE14" s="990"/>
      <c r="AF14" s="990"/>
      <c r="AG14" s="990"/>
      <c r="AH14" s="990"/>
      <c r="AI14" s="990"/>
      <c r="AJ14" s="990"/>
      <c r="AK14" s="989"/>
      <c r="AL14" s="989"/>
      <c r="AM14" s="991"/>
      <c r="AN14" s="996"/>
      <c r="AO14" s="996">
        <v>11.442471999999999</v>
      </c>
      <c r="AP14" s="994"/>
      <c r="AQ14" s="997">
        <f t="shared" si="0"/>
        <v>3183.1689204286363</v>
      </c>
    </row>
    <row r="15" spans="1:45" s="5" customFormat="1" ht="12.75" customHeight="1">
      <c r="A15" s="536" t="s">
        <v>133</v>
      </c>
      <c r="B15" s="998"/>
      <c r="C15" s="999">
        <f t="shared" ref="C15:AP15" si="8">SUM(C16:C20)</f>
        <v>0</v>
      </c>
      <c r="D15" s="1000">
        <f t="shared" si="8"/>
        <v>0</v>
      </c>
      <c r="E15" s="1001">
        <f t="shared" si="8"/>
        <v>0</v>
      </c>
      <c r="F15" s="1002">
        <f t="shared" si="8"/>
        <v>0</v>
      </c>
      <c r="G15" s="1002">
        <f t="shared" si="8"/>
        <v>0</v>
      </c>
      <c r="H15" s="1003">
        <f t="shared" si="8"/>
        <v>64.671797999999995</v>
      </c>
      <c r="I15" s="1000">
        <f t="shared" si="8"/>
        <v>0</v>
      </c>
      <c r="J15" s="1004">
        <f t="shared" si="8"/>
        <v>0</v>
      </c>
      <c r="K15" s="1001">
        <f t="shared" si="8"/>
        <v>64.671797999999995</v>
      </c>
      <c r="L15" s="1003">
        <f t="shared" si="8"/>
        <v>3166.7858692089685</v>
      </c>
      <c r="M15" s="1001">
        <f t="shared" si="8"/>
        <v>0</v>
      </c>
      <c r="N15" s="1001">
        <f t="shared" si="8"/>
        <v>0</v>
      </c>
      <c r="O15" s="1001">
        <f t="shared" si="8"/>
        <v>90.017983923640699</v>
      </c>
      <c r="P15" s="1001">
        <f t="shared" si="8"/>
        <v>640.53679657777786</v>
      </c>
      <c r="Q15" s="1001">
        <f t="shared" si="8"/>
        <v>226.77459106847999</v>
      </c>
      <c r="R15" s="1001">
        <f t="shared" si="8"/>
        <v>0</v>
      </c>
      <c r="S15" s="1001">
        <f t="shared" si="8"/>
        <v>960.95017928079096</v>
      </c>
      <c r="T15" s="1001">
        <f t="shared" si="8"/>
        <v>64.797462901984332</v>
      </c>
      <c r="U15" s="1001">
        <f t="shared" si="8"/>
        <v>1146.9502117491124</v>
      </c>
      <c r="V15" s="1001">
        <f t="shared" si="8"/>
        <v>0</v>
      </c>
      <c r="W15" s="1002">
        <f t="shared" si="8"/>
        <v>36.758643707182323</v>
      </c>
      <c r="X15" s="1002">
        <f t="shared" si="8"/>
        <v>0</v>
      </c>
      <c r="Y15" s="1002">
        <f t="shared" si="8"/>
        <v>0</v>
      </c>
      <c r="Z15" s="1001">
        <f t="shared" si="8"/>
        <v>0</v>
      </c>
      <c r="AA15" s="1003">
        <f t="shared" si="8"/>
        <v>0</v>
      </c>
      <c r="AB15" s="1005">
        <f t="shared" si="8"/>
        <v>0</v>
      </c>
      <c r="AC15" s="1006">
        <f t="shared" si="8"/>
        <v>0</v>
      </c>
      <c r="AD15" s="1001">
        <f t="shared" si="8"/>
        <v>0</v>
      </c>
      <c r="AE15" s="1001">
        <f t="shared" si="8"/>
        <v>0</v>
      </c>
      <c r="AF15" s="1001">
        <f t="shared" si="8"/>
        <v>0</v>
      </c>
      <c r="AG15" s="1007">
        <f t="shared" si="8"/>
        <v>0</v>
      </c>
      <c r="AH15" s="1007">
        <f t="shared" si="8"/>
        <v>0</v>
      </c>
      <c r="AI15" s="1007">
        <f t="shared" si="8"/>
        <v>0</v>
      </c>
      <c r="AJ15" s="1007">
        <f t="shared" si="8"/>
        <v>0</v>
      </c>
      <c r="AK15" s="1000">
        <f t="shared" si="8"/>
        <v>0</v>
      </c>
      <c r="AL15" s="1000">
        <f t="shared" si="8"/>
        <v>0</v>
      </c>
      <c r="AM15" s="1002">
        <f t="shared" si="8"/>
        <v>0</v>
      </c>
      <c r="AN15" s="1003">
        <f t="shared" si="8"/>
        <v>0</v>
      </c>
      <c r="AO15" s="1003">
        <f t="shared" si="8"/>
        <v>1873.361490524092</v>
      </c>
      <c r="AP15" s="1005">
        <f t="shared" si="8"/>
        <v>0</v>
      </c>
      <c r="AQ15" s="1008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975"/>
      <c r="C16" s="976">
        <f>SUM(D16:G16)</f>
        <v>0</v>
      </c>
      <c r="D16" s="977"/>
      <c r="E16" s="978"/>
      <c r="F16" s="979"/>
      <c r="G16" s="979"/>
      <c r="H16" s="980">
        <f>SUM(I16:K16)</f>
        <v>0</v>
      </c>
      <c r="I16" s="977"/>
      <c r="J16" s="978"/>
      <c r="K16" s="978"/>
      <c r="L16" s="980">
        <f>SUM(M16:Z16)</f>
        <v>0</v>
      </c>
      <c r="M16" s="978"/>
      <c r="N16" s="978"/>
      <c r="O16" s="978"/>
      <c r="P16" s="978"/>
      <c r="Q16" s="978"/>
      <c r="R16" s="978"/>
      <c r="S16" s="978"/>
      <c r="T16" s="978"/>
      <c r="U16" s="978"/>
      <c r="V16" s="978"/>
      <c r="W16" s="979"/>
      <c r="X16" s="979"/>
      <c r="Y16" s="979"/>
      <c r="Z16" s="978"/>
      <c r="AA16" s="980"/>
      <c r="AB16" s="982">
        <f>SUM(AC16:AL16)</f>
        <v>0</v>
      </c>
      <c r="AC16" s="983"/>
      <c r="AD16" s="978"/>
      <c r="AE16" s="978"/>
      <c r="AF16" s="978"/>
      <c r="AG16" s="986"/>
      <c r="AH16" s="986"/>
      <c r="AI16" s="986"/>
      <c r="AJ16" s="986"/>
      <c r="AK16" s="977"/>
      <c r="AL16" s="977"/>
      <c r="AM16" s="979"/>
      <c r="AN16" s="984"/>
      <c r="AO16" s="984">
        <v>1667.7865923774164</v>
      </c>
      <c r="AP16" s="982"/>
      <c r="AQ16" s="1009">
        <f>C16+H16+L16+AA16+AO16+AP16</f>
        <v>1667.7865923774164</v>
      </c>
    </row>
    <row r="17" spans="1:45" ht="12.75" customHeight="1">
      <c r="A17" s="530" t="s">
        <v>129</v>
      </c>
      <c r="B17" s="928"/>
      <c r="C17" s="929">
        <f>SUM(D17:G17)</f>
        <v>0</v>
      </c>
      <c r="D17" s="934"/>
      <c r="E17" s="936"/>
      <c r="F17" s="932"/>
      <c r="G17" s="932"/>
      <c r="H17" s="933">
        <f>SUM(I17:K17)</f>
        <v>0</v>
      </c>
      <c r="I17" s="934"/>
      <c r="J17" s="936"/>
      <c r="K17" s="936"/>
      <c r="L17" s="933">
        <f>SUM(M17:Z17)</f>
        <v>0</v>
      </c>
      <c r="M17" s="936"/>
      <c r="N17" s="936"/>
      <c r="O17" s="936"/>
      <c r="P17" s="936"/>
      <c r="Q17" s="936"/>
      <c r="R17" s="936"/>
      <c r="S17" s="936"/>
      <c r="T17" s="936"/>
      <c r="U17" s="936"/>
      <c r="V17" s="936"/>
      <c r="W17" s="932"/>
      <c r="X17" s="932"/>
      <c r="Y17" s="932"/>
      <c r="Z17" s="936"/>
      <c r="AA17" s="933"/>
      <c r="AB17" s="937">
        <f>SUM(AC17:AL17)</f>
        <v>0</v>
      </c>
      <c r="AC17" s="938"/>
      <c r="AD17" s="936"/>
      <c r="AE17" s="936"/>
      <c r="AF17" s="936"/>
      <c r="AG17" s="936"/>
      <c r="AH17" s="936"/>
      <c r="AI17" s="936"/>
      <c r="AJ17" s="936"/>
      <c r="AK17" s="934"/>
      <c r="AL17" s="934"/>
      <c r="AM17" s="932"/>
      <c r="AN17" s="939"/>
      <c r="AO17" s="1010">
        <v>185.14395873624346</v>
      </c>
      <c r="AP17" s="937"/>
      <c r="AQ17" s="940">
        <f>C17+H17+L17+AA17+AO17+AP17</f>
        <v>185.14395873624346</v>
      </c>
    </row>
    <row r="18" spans="1:45" ht="12.75" customHeight="1">
      <c r="A18" s="530" t="s">
        <v>134</v>
      </c>
      <c r="B18" s="928"/>
      <c r="C18" s="929"/>
      <c r="D18" s="934"/>
      <c r="E18" s="936"/>
      <c r="F18" s="932"/>
      <c r="G18" s="932"/>
      <c r="H18" s="933"/>
      <c r="I18" s="934"/>
      <c r="J18" s="936"/>
      <c r="K18" s="936"/>
      <c r="L18" s="933"/>
      <c r="M18" s="936"/>
      <c r="N18" s="936"/>
      <c r="O18" s="936"/>
      <c r="P18" s="936"/>
      <c r="Q18" s="936"/>
      <c r="R18" s="936"/>
      <c r="S18" s="936"/>
      <c r="T18" s="936"/>
      <c r="U18" s="936"/>
      <c r="V18" s="936"/>
      <c r="W18" s="932"/>
      <c r="X18" s="932"/>
      <c r="Y18" s="932"/>
      <c r="Z18" s="936"/>
      <c r="AA18" s="933"/>
      <c r="AB18" s="937"/>
      <c r="AC18" s="938"/>
      <c r="AD18" s="936"/>
      <c r="AE18" s="936"/>
      <c r="AF18" s="936"/>
      <c r="AG18" s="936"/>
      <c r="AH18" s="936"/>
      <c r="AI18" s="936"/>
      <c r="AJ18" s="936"/>
      <c r="AK18" s="934"/>
      <c r="AL18" s="934"/>
      <c r="AM18" s="932"/>
      <c r="AN18" s="939"/>
      <c r="AO18" s="939">
        <v>20.430939410432</v>
      </c>
      <c r="AP18" s="937"/>
      <c r="AQ18" s="940">
        <f t="shared" si="0"/>
        <v>20.430939410432</v>
      </c>
    </row>
    <row r="19" spans="1:45" ht="12.75" customHeight="1">
      <c r="A19" s="530" t="s">
        <v>131</v>
      </c>
      <c r="B19" s="928"/>
      <c r="C19" s="929"/>
      <c r="D19" s="1"/>
      <c r="E19" s="936"/>
      <c r="F19" s="932"/>
      <c r="G19" s="932"/>
      <c r="H19" s="933">
        <f>SUM(I19:K19)</f>
        <v>64.671797999999995</v>
      </c>
      <c r="I19" s="934"/>
      <c r="J19" s="936"/>
      <c r="K19" s="936">
        <v>64.671797999999995</v>
      </c>
      <c r="L19" s="933">
        <f>SUM(M19:Z19)</f>
        <v>0</v>
      </c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2"/>
      <c r="X19" s="932"/>
      <c r="Y19" s="932"/>
      <c r="Z19" s="936"/>
      <c r="AA19" s="933"/>
      <c r="AB19" s="937">
        <f>SUM(AC19:AL19)</f>
        <v>0</v>
      </c>
      <c r="AC19" s="938"/>
      <c r="AD19" s="936"/>
      <c r="AE19" s="936"/>
      <c r="AF19" s="936"/>
      <c r="AG19" s="936"/>
      <c r="AH19" s="936"/>
      <c r="AI19" s="936"/>
      <c r="AJ19" s="936"/>
      <c r="AK19" s="934"/>
      <c r="AL19" s="934"/>
      <c r="AM19" s="932"/>
      <c r="AN19" s="939"/>
      <c r="AO19" s="939"/>
      <c r="AP19" s="937"/>
      <c r="AQ19" s="940">
        <f t="shared" si="0"/>
        <v>64.671797999999995</v>
      </c>
    </row>
    <row r="20" spans="1:45" ht="12.75" customHeight="1">
      <c r="A20" s="535" t="s">
        <v>135</v>
      </c>
      <c r="B20" s="987"/>
      <c r="C20" s="988"/>
      <c r="D20" s="989"/>
      <c r="E20" s="990"/>
      <c r="F20" s="991"/>
      <c r="G20" s="991"/>
      <c r="H20" s="992">
        <f>SUM(I20:K20)</f>
        <v>0</v>
      </c>
      <c r="I20" s="989"/>
      <c r="J20" s="990"/>
      <c r="K20" s="990"/>
      <c r="L20" s="992">
        <f>SUM(M20:Z20)</f>
        <v>3166.7858692089685</v>
      </c>
      <c r="M20" s="990"/>
      <c r="N20" s="990"/>
      <c r="O20" s="990">
        <v>90.017983923640699</v>
      </c>
      <c r="P20" s="990">
        <v>640.53679657777786</v>
      </c>
      <c r="Q20" s="990">
        <v>226.77459106847999</v>
      </c>
      <c r="R20" s="990">
        <v>0</v>
      </c>
      <c r="S20" s="990">
        <v>960.95017928079096</v>
      </c>
      <c r="T20" s="990">
        <v>64.797462901984332</v>
      </c>
      <c r="U20" s="990">
        <v>1146.9502117491124</v>
      </c>
      <c r="V20" s="990"/>
      <c r="W20" s="991">
        <v>36.758643707182323</v>
      </c>
      <c r="X20" s="991"/>
      <c r="Y20" s="991"/>
      <c r="Z20" s="990"/>
      <c r="AA20" s="992"/>
      <c r="AB20" s="994">
        <f>SUM(AC20:AL20)</f>
        <v>0</v>
      </c>
      <c r="AC20" s="995"/>
      <c r="AD20" s="990"/>
      <c r="AE20" s="990"/>
      <c r="AF20" s="990"/>
      <c r="AG20" s="990"/>
      <c r="AH20" s="990"/>
      <c r="AI20" s="990"/>
      <c r="AJ20" s="990"/>
      <c r="AK20" s="989"/>
      <c r="AL20" s="989"/>
      <c r="AM20" s="991"/>
      <c r="AN20" s="996"/>
      <c r="AO20" s="996"/>
      <c r="AP20" s="994"/>
      <c r="AQ20" s="997">
        <f t="shared" si="0"/>
        <v>3166.7858692089685</v>
      </c>
    </row>
    <row r="21" spans="1:45" ht="12.75" customHeight="1">
      <c r="A21" s="537" t="s">
        <v>136</v>
      </c>
      <c r="B21" s="1011"/>
      <c r="C21" s="1012">
        <f>SUM(C22:C24)</f>
        <v>22.240061570656763</v>
      </c>
      <c r="D21" s="1013">
        <f>SUM(D22:D24)</f>
        <v>-17.141361188350004</v>
      </c>
      <c r="E21" s="1014">
        <f>SUM(E22:E24)</f>
        <v>39.381422759006767</v>
      </c>
      <c r="F21" s="1015">
        <f>SUM(F22:F24)</f>
        <v>0</v>
      </c>
      <c r="G21" s="1015">
        <f>SUM(G22:G24)</f>
        <v>0</v>
      </c>
      <c r="H21" s="1016">
        <f>SUM(I21:K21)</f>
        <v>0</v>
      </c>
      <c r="I21" s="1013">
        <f>SUM(I22:I24)</f>
        <v>0</v>
      </c>
      <c r="J21" s="1014">
        <f>SUM(J22:J24)</f>
        <v>0</v>
      </c>
      <c r="K21" s="1014">
        <f>SUM(K22:K24)</f>
        <v>0</v>
      </c>
      <c r="L21" s="1016">
        <f>SUM(M21:Z21)</f>
        <v>-24.684016341344112</v>
      </c>
      <c r="M21" s="1014">
        <f t="shared" ref="M21:AQ21" si="9">SUM(M22:M24)</f>
        <v>0</v>
      </c>
      <c r="N21" s="1014">
        <f t="shared" si="9"/>
        <v>30.880435114089789</v>
      </c>
      <c r="O21" s="1014">
        <f t="shared" si="9"/>
        <v>0</v>
      </c>
      <c r="P21" s="1014">
        <f t="shared" si="9"/>
        <v>-31.331710700000009</v>
      </c>
      <c r="Q21" s="1014">
        <f t="shared" si="9"/>
        <v>361.91080481920005</v>
      </c>
      <c r="R21" s="1014">
        <f t="shared" si="9"/>
        <v>-361.12225342559998</v>
      </c>
      <c r="S21" s="1014">
        <f t="shared" si="9"/>
        <v>-0.17168420677966101</v>
      </c>
      <c r="T21" s="1014">
        <f t="shared" si="9"/>
        <v>0</v>
      </c>
      <c r="U21" s="1014">
        <f t="shared" si="9"/>
        <v>-2.6095463715975598</v>
      </c>
      <c r="V21" s="1014">
        <f t="shared" si="9"/>
        <v>-22.240061570656767</v>
      </c>
      <c r="W21" s="1015">
        <f t="shared" si="9"/>
        <v>0</v>
      </c>
      <c r="X21" s="1015">
        <f t="shared" si="9"/>
        <v>0</v>
      </c>
      <c r="Y21" s="1015">
        <f t="shared" si="9"/>
        <v>0</v>
      </c>
      <c r="Z21" s="1014">
        <f t="shared" si="9"/>
        <v>0</v>
      </c>
      <c r="AA21" s="1016">
        <f t="shared" si="9"/>
        <v>0</v>
      </c>
      <c r="AB21" s="1017">
        <f t="shared" si="9"/>
        <v>-804.60161988393759</v>
      </c>
      <c r="AC21" s="1018">
        <f t="shared" si="9"/>
        <v>-59.691708987970003</v>
      </c>
      <c r="AD21" s="1014">
        <f t="shared" si="9"/>
        <v>-743.01992281532614</v>
      </c>
      <c r="AE21" s="1014">
        <f t="shared" si="9"/>
        <v>0</v>
      </c>
      <c r="AF21" s="1014">
        <f t="shared" si="9"/>
        <v>0</v>
      </c>
      <c r="AG21" s="1019">
        <f t="shared" si="9"/>
        <v>0</v>
      </c>
      <c r="AH21" s="1019">
        <f t="shared" si="9"/>
        <v>0</v>
      </c>
      <c r="AI21" s="1019">
        <f t="shared" si="9"/>
        <v>0</v>
      </c>
      <c r="AJ21" s="1019">
        <f t="shared" si="9"/>
        <v>0</v>
      </c>
      <c r="AK21" s="1013">
        <f t="shared" si="9"/>
        <v>-1.8899880806415161</v>
      </c>
      <c r="AL21" s="1019">
        <f t="shared" si="9"/>
        <v>0</v>
      </c>
      <c r="AM21" s="1015">
        <f t="shared" si="9"/>
        <v>0</v>
      </c>
      <c r="AN21" s="1020">
        <f t="shared" si="9"/>
        <v>0</v>
      </c>
      <c r="AO21" s="1016">
        <f t="shared" si="9"/>
        <v>804.60161988393759</v>
      </c>
      <c r="AP21" s="1017">
        <f t="shared" si="9"/>
        <v>0</v>
      </c>
      <c r="AQ21" s="1021">
        <f t="shared" si="9"/>
        <v>-2.4439547706873483</v>
      </c>
    </row>
    <row r="22" spans="1:45" ht="12.75" customHeight="1">
      <c r="A22" s="534" t="s">
        <v>137</v>
      </c>
      <c r="B22" s="975"/>
      <c r="C22" s="1022"/>
      <c r="D22" s="1023"/>
      <c r="E22" s="1024"/>
      <c r="F22" s="979"/>
      <c r="G22" s="979"/>
      <c r="H22" s="980"/>
      <c r="I22" s="1025"/>
      <c r="J22" s="978"/>
      <c r="K22" s="978"/>
      <c r="L22" s="980"/>
      <c r="M22" s="978"/>
      <c r="N22" s="978"/>
      <c r="O22" s="978"/>
      <c r="P22" s="978"/>
      <c r="Q22" s="978"/>
      <c r="R22" s="978"/>
      <c r="S22" s="978"/>
      <c r="T22" s="978"/>
      <c r="U22" s="978"/>
      <c r="V22" s="978"/>
      <c r="W22" s="979"/>
      <c r="X22" s="979"/>
      <c r="Y22" s="979"/>
      <c r="Z22" s="978"/>
      <c r="AA22" s="980"/>
      <c r="AB22" s="982">
        <f>SUM(AC22:AM22)</f>
        <v>-804.60161988393759</v>
      </c>
      <c r="AC22" s="983">
        <f>-AC2</f>
        <v>-59.691708987970003</v>
      </c>
      <c r="AD22" s="978">
        <f>-AD2</f>
        <v>-743.01992281532614</v>
      </c>
      <c r="AE22" s="978"/>
      <c r="AF22" s="978"/>
      <c r="AG22" s="986"/>
      <c r="AH22" s="986"/>
      <c r="AI22" s="986"/>
      <c r="AJ22" s="986"/>
      <c r="AK22" s="977">
        <v>-1.8899880806415161</v>
      </c>
      <c r="AL22" s="986"/>
      <c r="AM22" s="979"/>
      <c r="AN22" s="984"/>
      <c r="AO22" s="980">
        <f>-(C22+H22+L22+AA22+AB22)</f>
        <v>804.60161988393759</v>
      </c>
      <c r="AP22" s="982"/>
      <c r="AQ22" s="1009">
        <f>C22+H22+L22+AA22+AB22+AN22+AO22+AP22</f>
        <v>0</v>
      </c>
    </row>
    <row r="23" spans="1:45" ht="12.75" customHeight="1">
      <c r="A23" s="11" t="s">
        <v>138</v>
      </c>
      <c r="B23" s="998"/>
      <c r="C23" s="1026"/>
      <c r="D23" s="1027"/>
      <c r="E23" s="1001"/>
      <c r="F23" s="1028"/>
      <c r="G23" s="1028"/>
      <c r="H23" s="1003"/>
      <c r="I23" s="1029"/>
      <c r="J23" s="1030"/>
      <c r="K23" s="1030"/>
      <c r="L23" s="1003"/>
      <c r="M23" s="1030"/>
      <c r="N23" s="1030"/>
      <c r="O23" s="1030"/>
      <c r="P23" s="1030"/>
      <c r="Q23" s="1030"/>
      <c r="R23" s="1030"/>
      <c r="S23" s="1030"/>
      <c r="T23" s="1030"/>
      <c r="U23" s="1030"/>
      <c r="V23" s="1030"/>
      <c r="W23" s="1028"/>
      <c r="X23" s="1028"/>
      <c r="Y23" s="1028"/>
      <c r="Z23" s="1030"/>
      <c r="AA23" s="1003"/>
      <c r="AB23" s="1005"/>
      <c r="AC23" s="1031"/>
      <c r="AD23" s="1030"/>
      <c r="AE23" s="1030"/>
      <c r="AF23" s="1030"/>
      <c r="AG23" s="1030"/>
      <c r="AH23" s="1030"/>
      <c r="AI23" s="1030"/>
      <c r="AJ23" s="1030"/>
      <c r="AK23" s="1032"/>
      <c r="AL23" s="1032"/>
      <c r="AM23" s="1028"/>
      <c r="AN23" s="1033"/>
      <c r="AO23" s="1003"/>
      <c r="AP23" s="1005"/>
      <c r="AQ23" s="1034">
        <f>C23+H23+L23+AA23+AB23+AN23+AO23+AP23</f>
        <v>0</v>
      </c>
    </row>
    <row r="24" spans="1:45" ht="12.75" customHeight="1" thickBot="1">
      <c r="A24" s="531" t="s">
        <v>139</v>
      </c>
      <c r="B24" s="942"/>
      <c r="C24" s="1035">
        <f>SUM(D24:G24)</f>
        <v>22.240061570656763</v>
      </c>
      <c r="D24" s="1036">
        <v>-17.141361188350004</v>
      </c>
      <c r="E24" s="950">
        <f>-D24-V24</f>
        <v>39.381422759006767</v>
      </c>
      <c r="F24" s="944"/>
      <c r="G24" s="944"/>
      <c r="H24" s="945"/>
      <c r="I24" s="1037"/>
      <c r="J24" s="950"/>
      <c r="K24" s="950"/>
      <c r="L24" s="945">
        <f>SUM(N24:Z24)</f>
        <v>-24.684016341344112</v>
      </c>
      <c r="M24" s="950"/>
      <c r="N24" s="950">
        <v>30.880435114089789</v>
      </c>
      <c r="O24" s="950"/>
      <c r="P24" s="950">
        <v>-31.331710700000009</v>
      </c>
      <c r="Q24" s="950">
        <v>361.91080481920005</v>
      </c>
      <c r="R24" s="950">
        <v>-361.12225342559998</v>
      </c>
      <c r="S24" s="950">
        <v>-0.17168420677966101</v>
      </c>
      <c r="T24" s="950"/>
      <c r="U24" s="950">
        <v>-2.6095463715975598</v>
      </c>
      <c r="V24" s="944">
        <v>-22.240061570656767</v>
      </c>
      <c r="W24" s="944">
        <v>0</v>
      </c>
      <c r="X24" s="944"/>
      <c r="Y24" s="944"/>
      <c r="Z24" s="950"/>
      <c r="AA24" s="945"/>
      <c r="AB24" s="945">
        <f>SUM(AC24:AM24)</f>
        <v>0</v>
      </c>
      <c r="AC24" s="949"/>
      <c r="AD24" s="950"/>
      <c r="AE24" s="950"/>
      <c r="AF24" s="950"/>
      <c r="AG24" s="950"/>
      <c r="AH24" s="950"/>
      <c r="AI24" s="950"/>
      <c r="AJ24" s="950"/>
      <c r="AK24" s="946"/>
      <c r="AL24" s="946"/>
      <c r="AM24" s="944"/>
      <c r="AN24" s="951"/>
      <c r="AO24" s="945"/>
      <c r="AP24" s="948"/>
      <c r="AQ24" s="952">
        <f>C24+H24+L24+AA24+AB24+AN24+AO24+AP24</f>
        <v>-2.4439547706873483</v>
      </c>
    </row>
    <row r="25" spans="1:45" ht="12.75" customHeight="1" thickBot="1">
      <c r="A25" s="536" t="s">
        <v>140</v>
      </c>
      <c r="B25" s="998"/>
      <c r="C25" s="999">
        <f>SUM(D25:G25)</f>
        <v>0</v>
      </c>
      <c r="D25" s="1000"/>
      <c r="E25" s="1001"/>
      <c r="F25" s="1028"/>
      <c r="G25" s="1028"/>
      <c r="H25" s="1003">
        <f>SUM(I25:K25)</f>
        <v>10.28324833984202</v>
      </c>
      <c r="I25" s="1028">
        <v>10.28324833984202</v>
      </c>
      <c r="J25" s="1038"/>
      <c r="K25" s="1030"/>
      <c r="L25" s="1003">
        <f>SUM(O25:Z25)</f>
        <v>98.284657617035819</v>
      </c>
      <c r="M25" s="1030"/>
      <c r="N25" s="1030"/>
      <c r="O25" s="1030">
        <v>95.274692021714102</v>
      </c>
      <c r="P25" s="1030"/>
      <c r="Q25" s="1030"/>
      <c r="R25" s="1030"/>
      <c r="S25" s="1030">
        <v>0</v>
      </c>
      <c r="T25" s="1030">
        <v>4.1693256233877908E-3</v>
      </c>
      <c r="U25" s="1030">
        <v>3.0057962696983291</v>
      </c>
      <c r="V25" s="1030"/>
      <c r="W25" s="1028"/>
      <c r="X25" s="1028"/>
      <c r="Y25" s="1028"/>
      <c r="Z25" s="1030"/>
      <c r="AA25" s="1003">
        <v>57.528599543766255</v>
      </c>
      <c r="AB25" s="1005">
        <f>SUM(AC25:AI25)</f>
        <v>0</v>
      </c>
      <c r="AC25" s="1006"/>
      <c r="AD25" s="1030"/>
      <c r="AE25" s="1030"/>
      <c r="AF25" s="1030"/>
      <c r="AG25" s="1030"/>
      <c r="AH25" s="1030"/>
      <c r="AI25" s="1030"/>
      <c r="AJ25" s="1030"/>
      <c r="AK25" s="1032"/>
      <c r="AL25" s="1032"/>
      <c r="AM25" s="1028"/>
      <c r="AN25" s="1033"/>
      <c r="AO25" s="1003">
        <v>259.46681438260055</v>
      </c>
      <c r="AP25" s="1005"/>
      <c r="AQ25" s="1034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1039"/>
      <c r="C26" s="1040">
        <f t="shared" ref="C26:AP26" si="10">C7-C9+C15+C21-C25</f>
        <v>320.15759843333262</v>
      </c>
      <c r="D26" s="1041">
        <f t="shared" si="10"/>
        <v>221.42915574234439</v>
      </c>
      <c r="E26" s="1042">
        <f t="shared" si="10"/>
        <v>86.198591658957852</v>
      </c>
      <c r="F26" s="1042">
        <f t="shared" si="10"/>
        <v>0</v>
      </c>
      <c r="G26" s="1042">
        <f t="shared" si="10"/>
        <v>12.529851032030438</v>
      </c>
      <c r="H26" s="1043">
        <f t="shared" si="10"/>
        <v>199.31419506885081</v>
      </c>
      <c r="I26" s="1041">
        <f t="shared" si="10"/>
        <v>0.37225106885087023</v>
      </c>
      <c r="J26" s="1044">
        <f t="shared" si="10"/>
        <v>127.70399999999999</v>
      </c>
      <c r="K26" s="1042">
        <f t="shared" si="10"/>
        <v>71.237943999999999</v>
      </c>
      <c r="L26" s="1043">
        <f t="shared" si="10"/>
        <v>7278.2180951406654</v>
      </c>
      <c r="M26" s="1042">
        <f t="shared" si="10"/>
        <v>0</v>
      </c>
      <c r="N26" s="1042">
        <f t="shared" si="10"/>
        <v>-0.14794174855289199</v>
      </c>
      <c r="O26" s="1042">
        <f t="shared" si="10"/>
        <v>-5.2567080980734033</v>
      </c>
      <c r="P26" s="1042">
        <f t="shared" si="10"/>
        <v>799.22126723333315</v>
      </c>
      <c r="Q26" s="1042">
        <f t="shared" si="10"/>
        <v>949.04247657856001</v>
      </c>
      <c r="R26" s="1042">
        <f t="shared" si="10"/>
        <v>1106.9485985044798</v>
      </c>
      <c r="S26" s="1042">
        <f t="shared" si="10"/>
        <v>39.03952078017609</v>
      </c>
      <c r="T26" s="1042">
        <f t="shared" si="10"/>
        <v>187.88084937540125</v>
      </c>
      <c r="U26" s="1042">
        <f t="shared" si="10"/>
        <v>3815.0626351280866</v>
      </c>
      <c r="V26" s="1042">
        <f t="shared" si="10"/>
        <v>147.33759997605492</v>
      </c>
      <c r="W26" s="1042">
        <f t="shared" si="10"/>
        <v>7.506512734116022</v>
      </c>
      <c r="X26" s="1042">
        <f t="shared" si="10"/>
        <v>195.36275312176252</v>
      </c>
      <c r="Y26" s="1042">
        <f t="shared" si="10"/>
        <v>1.2096467108549098</v>
      </c>
      <c r="Z26" s="1042">
        <f t="shared" si="10"/>
        <v>35.010884844467988</v>
      </c>
      <c r="AA26" s="1043">
        <f t="shared" si="10"/>
        <v>1921.4292269183238</v>
      </c>
      <c r="AB26" s="1045">
        <f t="shared" si="10"/>
        <v>461.09915024876761</v>
      </c>
      <c r="AC26" s="973">
        <f t="shared" si="10"/>
        <v>0</v>
      </c>
      <c r="AD26" s="956">
        <f t="shared" si="10"/>
        <v>0</v>
      </c>
      <c r="AE26" s="956">
        <f t="shared" si="10"/>
        <v>197.01652611637599</v>
      </c>
      <c r="AF26" s="956">
        <f t="shared" si="10"/>
        <v>40.692904224132207</v>
      </c>
      <c r="AG26" s="956">
        <f t="shared" si="10"/>
        <v>0</v>
      </c>
      <c r="AH26" s="956">
        <f t="shared" si="10"/>
        <v>9.7770611234061491</v>
      </c>
      <c r="AI26" s="956">
        <f t="shared" si="10"/>
        <v>128.62672037577602</v>
      </c>
      <c r="AJ26" s="956">
        <f t="shared" si="10"/>
        <v>27.916404744672001</v>
      </c>
      <c r="AK26" s="959">
        <f t="shared" si="10"/>
        <v>0</v>
      </c>
      <c r="AL26" s="959">
        <f t="shared" si="10"/>
        <v>13.54608560366562</v>
      </c>
      <c r="AM26" s="1046">
        <f t="shared" si="10"/>
        <v>43.523448060739646</v>
      </c>
      <c r="AN26" s="1043">
        <f t="shared" si="10"/>
        <v>54.722939604974087</v>
      </c>
      <c r="AO26" s="1043">
        <f t="shared" si="10"/>
        <v>2361.7269899654289</v>
      </c>
      <c r="AP26" s="1045">
        <f t="shared" si="10"/>
        <v>0</v>
      </c>
      <c r="AQ26" s="1047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953"/>
      <c r="C27" s="954">
        <f t="shared" ref="C27:V27" si="11">C28</f>
        <v>0</v>
      </c>
      <c r="D27" s="959">
        <f t="shared" si="11"/>
        <v>0</v>
      </c>
      <c r="E27" s="956">
        <f t="shared" si="11"/>
        <v>0</v>
      </c>
      <c r="F27" s="972">
        <f t="shared" si="11"/>
        <v>0</v>
      </c>
      <c r="G27" s="972">
        <f t="shared" si="11"/>
        <v>0</v>
      </c>
      <c r="H27" s="957">
        <f t="shared" si="11"/>
        <v>0</v>
      </c>
      <c r="I27" s="959">
        <f t="shared" si="11"/>
        <v>0</v>
      </c>
      <c r="J27" s="958">
        <f t="shared" si="11"/>
        <v>0</v>
      </c>
      <c r="K27" s="956">
        <f t="shared" si="11"/>
        <v>0</v>
      </c>
      <c r="L27" s="957">
        <f t="shared" si="11"/>
        <v>231.58328467708543</v>
      </c>
      <c r="M27" s="956">
        <f t="shared" si="11"/>
        <v>0</v>
      </c>
      <c r="N27" s="956">
        <f t="shared" si="11"/>
        <v>0</v>
      </c>
      <c r="O27" s="956">
        <f t="shared" si="11"/>
        <v>0</v>
      </c>
      <c r="P27" s="956">
        <f t="shared" si="11"/>
        <v>0</v>
      </c>
      <c r="Q27" s="956">
        <f t="shared" si="11"/>
        <v>0</v>
      </c>
      <c r="R27" s="956">
        <f t="shared" si="11"/>
        <v>0</v>
      </c>
      <c r="S27" s="956">
        <f t="shared" si="11"/>
        <v>0</v>
      </c>
      <c r="T27" s="956">
        <f t="shared" si="11"/>
        <v>0</v>
      </c>
      <c r="U27" s="956">
        <f t="shared" si="11"/>
        <v>0</v>
      </c>
      <c r="V27" s="956">
        <f t="shared" si="11"/>
        <v>0</v>
      </c>
      <c r="W27" s="972"/>
      <c r="X27" s="972">
        <f t="shared" ref="X27:AQ27" si="12">X28</f>
        <v>195.36275312176252</v>
      </c>
      <c r="Y27" s="972">
        <f t="shared" si="12"/>
        <v>1.2096467108549098</v>
      </c>
      <c r="Z27" s="956">
        <f t="shared" si="12"/>
        <v>35.010884844467988</v>
      </c>
      <c r="AA27" s="957">
        <f t="shared" si="12"/>
        <v>0</v>
      </c>
      <c r="AB27" s="955">
        <f t="shared" si="12"/>
        <v>0</v>
      </c>
      <c r="AC27" s="973">
        <f t="shared" si="12"/>
        <v>0</v>
      </c>
      <c r="AD27" s="956">
        <f t="shared" si="12"/>
        <v>0</v>
      </c>
      <c r="AE27" s="956">
        <f t="shared" si="12"/>
        <v>0</v>
      </c>
      <c r="AF27" s="956">
        <f t="shared" si="12"/>
        <v>0</v>
      </c>
      <c r="AG27" s="956">
        <f t="shared" si="12"/>
        <v>0</v>
      </c>
      <c r="AH27" s="956">
        <f t="shared" si="12"/>
        <v>0</v>
      </c>
      <c r="AI27" s="956">
        <f t="shared" si="12"/>
        <v>0</v>
      </c>
      <c r="AJ27" s="956">
        <f t="shared" si="12"/>
        <v>0</v>
      </c>
      <c r="AK27" s="959">
        <f t="shared" si="12"/>
        <v>0</v>
      </c>
      <c r="AL27" s="959">
        <f t="shared" si="12"/>
        <v>0</v>
      </c>
      <c r="AM27" s="972">
        <f t="shared" si="12"/>
        <v>0</v>
      </c>
      <c r="AN27" s="957">
        <f t="shared" si="12"/>
        <v>0</v>
      </c>
      <c r="AO27" s="957">
        <f t="shared" si="12"/>
        <v>0</v>
      </c>
      <c r="AP27" s="955">
        <f t="shared" si="12"/>
        <v>0</v>
      </c>
      <c r="AQ27" s="961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1048"/>
      <c r="C28" s="1049">
        <f>SUM(D28:G28)</f>
        <v>0</v>
      </c>
      <c r="D28" s="1013"/>
      <c r="E28" s="1014"/>
      <c r="F28" s="1015"/>
      <c r="G28" s="1015"/>
      <c r="H28" s="1020">
        <f>SUM(I28:K28)</f>
        <v>0</v>
      </c>
      <c r="I28" s="1013"/>
      <c r="J28" s="1050"/>
      <c r="K28" s="1014"/>
      <c r="L28" s="1020">
        <f>SUM(M28:Z28)</f>
        <v>231.58328467708543</v>
      </c>
      <c r="M28" s="1014"/>
      <c r="N28" s="1014"/>
      <c r="O28" s="1014"/>
      <c r="P28" s="1014"/>
      <c r="Q28" s="1014"/>
      <c r="R28" s="1014"/>
      <c r="S28" s="1014"/>
      <c r="T28" s="1014"/>
      <c r="U28" s="1014"/>
      <c r="V28" s="1014"/>
      <c r="W28" s="1015"/>
      <c r="X28" s="1015">
        <f>X26</f>
        <v>195.36275312176252</v>
      </c>
      <c r="Y28" s="1015">
        <f>Y26</f>
        <v>1.2096467108549098</v>
      </c>
      <c r="Z28" s="1014">
        <f>Z26</f>
        <v>35.010884844467988</v>
      </c>
      <c r="AA28" s="1020">
        <v>0</v>
      </c>
      <c r="AB28" s="1051">
        <f>SUM(AC28:AI28)</f>
        <v>0</v>
      </c>
      <c r="AC28" s="1018"/>
      <c r="AD28" s="1014"/>
      <c r="AE28" s="1014"/>
      <c r="AF28" s="1014"/>
      <c r="AG28" s="1014"/>
      <c r="AH28" s="1014"/>
      <c r="AI28" s="1014"/>
      <c r="AJ28" s="1014"/>
      <c r="AK28" s="1013"/>
      <c r="AL28" s="1013"/>
      <c r="AM28" s="1015"/>
      <c r="AN28" s="1020"/>
      <c r="AO28" s="1020"/>
      <c r="AP28" s="1051"/>
      <c r="AQ28" s="1021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953"/>
      <c r="C29" s="954">
        <f t="shared" ref="C29:AQ29" si="14">C30+C45+C56+C58+C65+C70+C71</f>
        <v>322.73713313616526</v>
      </c>
      <c r="D29" s="959">
        <f t="shared" si="14"/>
        <v>221.25198906014759</v>
      </c>
      <c r="E29" s="956">
        <f t="shared" si="14"/>
        <v>89.647280058277374</v>
      </c>
      <c r="F29" s="972">
        <f t="shared" si="14"/>
        <v>0</v>
      </c>
      <c r="G29" s="972">
        <f t="shared" si="14"/>
        <v>11.837385289740231</v>
      </c>
      <c r="H29" s="957">
        <f t="shared" si="14"/>
        <v>197.36847005356</v>
      </c>
      <c r="I29" s="959">
        <f t="shared" si="14"/>
        <v>0.82966372355999995</v>
      </c>
      <c r="J29" s="1052">
        <f t="shared" si="14"/>
        <v>127.70399999999999</v>
      </c>
      <c r="K29" s="959">
        <f t="shared" si="14"/>
        <v>68.834806329999992</v>
      </c>
      <c r="L29" s="957">
        <f t="shared" si="14"/>
        <v>7044.2916862331467</v>
      </c>
      <c r="M29" s="956">
        <f t="shared" si="14"/>
        <v>0</v>
      </c>
      <c r="N29" s="956">
        <f t="shared" si="14"/>
        <v>0</v>
      </c>
      <c r="O29" s="956">
        <f t="shared" si="14"/>
        <v>0</v>
      </c>
      <c r="P29" s="956">
        <f t="shared" si="14"/>
        <v>824.24502392197087</v>
      </c>
      <c r="Q29" s="956">
        <f t="shared" si="14"/>
        <v>934.32541284991999</v>
      </c>
      <c r="R29" s="956">
        <f t="shared" si="14"/>
        <v>1102.8442060797599</v>
      </c>
      <c r="S29" s="956">
        <f t="shared" si="14"/>
        <v>31.039400915077643</v>
      </c>
      <c r="T29" s="956">
        <f t="shared" si="14"/>
        <v>181.32381570558746</v>
      </c>
      <c r="U29" s="956">
        <f t="shared" si="14"/>
        <v>3824.001555864289</v>
      </c>
      <c r="V29" s="956">
        <f t="shared" si="14"/>
        <v>146.51227089654276</v>
      </c>
      <c r="W29" s="972">
        <f t="shared" si="14"/>
        <v>0</v>
      </c>
      <c r="X29" s="972">
        <f t="shared" si="14"/>
        <v>0</v>
      </c>
      <c r="Y29" s="972">
        <f t="shared" si="14"/>
        <v>0</v>
      </c>
      <c r="Z29" s="959">
        <f t="shared" si="14"/>
        <v>0</v>
      </c>
      <c r="AA29" s="1043">
        <f t="shared" si="14"/>
        <v>1961.7039372255224</v>
      </c>
      <c r="AB29" s="955">
        <f t="shared" si="14"/>
        <v>463.5152964293224</v>
      </c>
      <c r="AC29" s="973">
        <f t="shared" si="14"/>
        <v>0</v>
      </c>
      <c r="AD29" s="956">
        <f t="shared" si="14"/>
        <v>0</v>
      </c>
      <c r="AE29" s="956">
        <f t="shared" si="14"/>
        <v>201.73619537368276</v>
      </c>
      <c r="AF29" s="956">
        <f t="shared" si="14"/>
        <v>40.692904224132199</v>
      </c>
      <c r="AG29" s="956">
        <f t="shared" si="14"/>
        <v>0</v>
      </c>
      <c r="AH29" s="956">
        <f t="shared" si="14"/>
        <v>9.7770611234061491</v>
      </c>
      <c r="AI29" s="956">
        <f t="shared" si="14"/>
        <v>126.96834918892804</v>
      </c>
      <c r="AJ29" s="956">
        <f t="shared" si="14"/>
        <v>27.271252854767994</v>
      </c>
      <c r="AK29" s="955">
        <f t="shared" si="14"/>
        <v>0</v>
      </c>
      <c r="AL29" s="955">
        <f t="shared" si="14"/>
        <v>13.546085603665619</v>
      </c>
      <c r="AM29" s="955">
        <f t="shared" si="14"/>
        <v>43.523448060739653</v>
      </c>
      <c r="AN29" s="955">
        <f t="shared" si="14"/>
        <v>54.722939604974094</v>
      </c>
      <c r="AO29" s="957">
        <f t="shared" si="14"/>
        <v>2397.4208343089181</v>
      </c>
      <c r="AP29" s="955">
        <f t="shared" si="14"/>
        <v>0</v>
      </c>
      <c r="AQ29" s="1047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1053"/>
      <c r="C30" s="1054">
        <f>SUM(C31:C44)</f>
        <v>105.42502802800003</v>
      </c>
      <c r="D30" s="1055">
        <v>105.4245493</v>
      </c>
      <c r="E30" s="1055">
        <v>0</v>
      </c>
      <c r="F30" s="1056"/>
      <c r="G30" s="1056"/>
      <c r="H30" s="1057">
        <f>SUM(H31:H44)</f>
        <v>0.82966372355999995</v>
      </c>
      <c r="I30" s="1058">
        <f t="shared" ref="I30:K30" si="15">SUM(I31:I44)</f>
        <v>0.82966372355999995</v>
      </c>
      <c r="J30" s="1055">
        <f t="shared" si="15"/>
        <v>0</v>
      </c>
      <c r="K30" s="1055">
        <f t="shared" si="15"/>
        <v>0</v>
      </c>
      <c r="L30" s="1057">
        <f>SUM(L31:L44)</f>
        <v>333.21700779482637</v>
      </c>
      <c r="M30" s="1055">
        <f>SUM(M31:M44)</f>
        <v>0</v>
      </c>
      <c r="N30" s="1055">
        <f>SUM(N31:N44)</f>
        <v>0</v>
      </c>
      <c r="O30" s="1055">
        <f>SUM(O31:O44)</f>
        <v>0</v>
      </c>
      <c r="P30" s="1055">
        <f>SUM(P31:P44)</f>
        <v>0</v>
      </c>
      <c r="Q30" s="1055">
        <v>5.8273117756492638</v>
      </c>
      <c r="R30" s="1055">
        <f>SUM(R31:R44)</f>
        <v>0</v>
      </c>
      <c r="S30" s="1055">
        <v>30.396553446461994</v>
      </c>
      <c r="T30" s="1055">
        <v>55.10581048870722</v>
      </c>
      <c r="U30" s="1055">
        <v>100.77893291075623</v>
      </c>
      <c r="V30" s="1055">
        <v>141.10839917325163</v>
      </c>
      <c r="W30" s="1055">
        <f>SUM(W31:W44)</f>
        <v>0</v>
      </c>
      <c r="X30" s="1055">
        <f>SUM(X31:X44)</f>
        <v>0</v>
      </c>
      <c r="Y30" s="1055">
        <f>SUM(Y31:Y44)</f>
        <v>0</v>
      </c>
      <c r="Z30" s="1055">
        <f>SUM(Z31:Z44)</f>
        <v>0</v>
      </c>
      <c r="AA30" s="1057">
        <v>1006.4294471460221</v>
      </c>
      <c r="AB30" s="1059">
        <f t="shared" ref="AB30:AN30" si="16">SUM(AB31:AB44)</f>
        <v>198.81521058080656</v>
      </c>
      <c r="AC30" s="1060">
        <f t="shared" si="16"/>
        <v>0</v>
      </c>
      <c r="AD30" s="1055">
        <f t="shared" si="16"/>
        <v>0</v>
      </c>
      <c r="AE30" s="1055">
        <f t="shared" si="16"/>
        <v>153.96698996806381</v>
      </c>
      <c r="AF30" s="1055">
        <f t="shared" si="16"/>
        <v>40.692904224132199</v>
      </c>
      <c r="AG30" s="1055">
        <f t="shared" si="16"/>
        <v>0</v>
      </c>
      <c r="AH30" s="1055">
        <f t="shared" si="16"/>
        <v>4.1553163886105651</v>
      </c>
      <c r="AI30" s="1055">
        <f t="shared" si="16"/>
        <v>0</v>
      </c>
      <c r="AJ30" s="1055">
        <f t="shared" si="16"/>
        <v>0</v>
      </c>
      <c r="AK30" s="1055">
        <f t="shared" si="16"/>
        <v>0</v>
      </c>
      <c r="AL30" s="1055">
        <f t="shared" si="16"/>
        <v>0</v>
      </c>
      <c r="AM30" s="1061">
        <f t="shared" si="16"/>
        <v>0</v>
      </c>
      <c r="AN30" s="1058">
        <f t="shared" si="16"/>
        <v>54.722939604974094</v>
      </c>
      <c r="AO30" s="1057">
        <v>562.37095164267794</v>
      </c>
      <c r="AP30" s="1059">
        <f>SUM(AP31:AP44)</f>
        <v>0</v>
      </c>
      <c r="AQ30" s="974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1062" t="s">
        <v>147</v>
      </c>
      <c r="C31" s="1063">
        <f t="shared" ref="C31:C43" si="18">SUM(D31:G31)</f>
        <v>0</v>
      </c>
      <c r="D31" s="983">
        <v>0</v>
      </c>
      <c r="E31" s="1064"/>
      <c r="F31" s="1064"/>
      <c r="G31" s="1065"/>
      <c r="H31" s="1066">
        <f t="shared" ref="H31:H43" si="19">SUM(I31:K31)</f>
        <v>0</v>
      </c>
      <c r="I31" s="1067"/>
      <c r="J31" s="1068"/>
      <c r="K31" s="986"/>
      <c r="L31" s="1066">
        <f t="shared" ref="L31:L43" si="20">SUM(M31:Z31)</f>
        <v>15.076944231866809</v>
      </c>
      <c r="M31" s="986"/>
      <c r="N31" s="986"/>
      <c r="O31" s="986"/>
      <c r="P31" s="1069"/>
      <c r="Q31" s="1025">
        <v>0.252</v>
      </c>
      <c r="R31" s="1064"/>
      <c r="S31" s="1025">
        <v>0</v>
      </c>
      <c r="T31" s="1025">
        <v>9.0944231866809708E-2</v>
      </c>
      <c r="U31" s="1025">
        <v>14.734</v>
      </c>
      <c r="V31" s="1025">
        <v>0</v>
      </c>
      <c r="W31" s="1064"/>
      <c r="X31" s="1067"/>
      <c r="Y31" s="1069"/>
      <c r="Z31" s="986"/>
      <c r="AA31" s="984">
        <v>11.321518316813064</v>
      </c>
      <c r="AB31" s="1070">
        <f t="shared" ref="AB31:AB43" si="21">SUM(AC31:AM31)</f>
        <v>0</v>
      </c>
      <c r="AC31" s="1071"/>
      <c r="AD31" s="986"/>
      <c r="AE31" s="986"/>
      <c r="AF31" s="986"/>
      <c r="AG31" s="986"/>
      <c r="AH31" s="986"/>
      <c r="AI31" s="986"/>
      <c r="AJ31" s="986"/>
      <c r="AK31" s="977"/>
      <c r="AL31" s="979"/>
      <c r="AM31" s="986"/>
      <c r="AN31" s="984"/>
      <c r="AO31" s="984">
        <v>18.942945216847264</v>
      </c>
      <c r="AP31" s="1070"/>
      <c r="AQ31" s="985">
        <f t="shared" si="13"/>
        <v>45.341407765527137</v>
      </c>
    </row>
    <row r="32" spans="1:45" ht="12.75" customHeight="1">
      <c r="A32" s="541" t="s">
        <v>148</v>
      </c>
      <c r="B32" s="1072" t="s">
        <v>149</v>
      </c>
      <c r="C32" s="929">
        <f t="shared" si="18"/>
        <v>18.505815952000003</v>
      </c>
      <c r="D32" s="938">
        <v>18.505815952000003</v>
      </c>
      <c r="E32" s="1073"/>
      <c r="F32" s="1073"/>
      <c r="G32" s="1074"/>
      <c r="H32" s="933">
        <f t="shared" si="19"/>
        <v>0.82966372355999995</v>
      </c>
      <c r="I32" s="934">
        <v>0.82966372355999995</v>
      </c>
      <c r="J32" s="935"/>
      <c r="K32" s="936"/>
      <c r="L32" s="933">
        <f t="shared" si="20"/>
        <v>65.081234617624631</v>
      </c>
      <c r="M32" s="936"/>
      <c r="N32" s="936"/>
      <c r="O32" s="936"/>
      <c r="P32" s="1069"/>
      <c r="Q32" s="1073">
        <v>1.514</v>
      </c>
      <c r="R32" s="1073"/>
      <c r="S32" s="1073">
        <v>22.968462416696998</v>
      </c>
      <c r="T32" s="1073">
        <v>29.49577220092764</v>
      </c>
      <c r="U32" s="1073">
        <v>11.103</v>
      </c>
      <c r="V32" s="1073">
        <v>0</v>
      </c>
      <c r="W32" s="1073"/>
      <c r="X32" s="934"/>
      <c r="Y32" s="932"/>
      <c r="Z32" s="936"/>
      <c r="AA32" s="939">
        <v>272.71139495674981</v>
      </c>
      <c r="AB32" s="937">
        <f t="shared" si="21"/>
        <v>27.983335383690566</v>
      </c>
      <c r="AC32" s="938"/>
      <c r="AD32" s="936"/>
      <c r="AE32" s="936">
        <v>23.828018995080001</v>
      </c>
      <c r="AF32" s="936"/>
      <c r="AG32" s="986"/>
      <c r="AH32" s="986">
        <v>4.1553163886105651</v>
      </c>
      <c r="AI32" s="986"/>
      <c r="AJ32" s="986"/>
      <c r="AK32" s="934"/>
      <c r="AL32" s="932"/>
      <c r="AM32" s="936"/>
      <c r="AN32" s="939"/>
      <c r="AO32" s="939">
        <v>95.275088867672153</v>
      </c>
      <c r="AP32" s="937"/>
      <c r="AQ32" s="940">
        <f t="shared" si="13"/>
        <v>480.38653350129721</v>
      </c>
    </row>
    <row r="33" spans="1:45" ht="12.75" customHeight="1">
      <c r="A33" s="541" t="s">
        <v>150</v>
      </c>
      <c r="B33" s="1075" t="s">
        <v>151</v>
      </c>
      <c r="C33" s="929">
        <f t="shared" si="18"/>
        <v>0</v>
      </c>
      <c r="D33" s="938">
        <v>0</v>
      </c>
      <c r="E33" s="1073"/>
      <c r="F33" s="1073"/>
      <c r="G33" s="1074"/>
      <c r="H33" s="933">
        <f t="shared" si="19"/>
        <v>0</v>
      </c>
      <c r="I33" s="934"/>
      <c r="J33" s="935"/>
      <c r="K33" s="936"/>
      <c r="L33" s="933">
        <f t="shared" si="20"/>
        <v>4.2587599630269795</v>
      </c>
      <c r="M33" s="936"/>
      <c r="N33" s="936"/>
      <c r="O33" s="936"/>
      <c r="P33" s="1069"/>
      <c r="Q33" s="1073">
        <v>7.6999999999999999E-2</v>
      </c>
      <c r="R33" s="1073"/>
      <c r="S33" s="1073">
        <v>0</v>
      </c>
      <c r="T33" s="1073">
        <v>3.9077599630269795</v>
      </c>
      <c r="U33" s="1073">
        <v>0.27400000000000002</v>
      </c>
      <c r="V33" s="1073">
        <v>0</v>
      </c>
      <c r="W33" s="1073"/>
      <c r="X33" s="934"/>
      <c r="Y33" s="932"/>
      <c r="Z33" s="936"/>
      <c r="AA33" s="939">
        <v>3.3044502133205622</v>
      </c>
      <c r="AB33" s="937">
        <f t="shared" si="21"/>
        <v>0</v>
      </c>
      <c r="AC33" s="938"/>
      <c r="AD33" s="936"/>
      <c r="AE33" s="936"/>
      <c r="AF33" s="936"/>
      <c r="AG33" s="986"/>
      <c r="AH33" s="986"/>
      <c r="AI33" s="986"/>
      <c r="AJ33" s="986"/>
      <c r="AK33" s="934"/>
      <c r="AL33" s="932"/>
      <c r="AM33" s="936"/>
      <c r="AN33" s="939"/>
      <c r="AO33" s="939">
        <v>2.6521774464642336</v>
      </c>
      <c r="AP33" s="937"/>
      <c r="AQ33" s="940">
        <f t="shared" si="13"/>
        <v>10.215387622811775</v>
      </c>
    </row>
    <row r="34" spans="1:45" ht="12.75" customHeight="1">
      <c r="A34" s="541" t="s">
        <v>152</v>
      </c>
      <c r="B34" s="1075" t="s">
        <v>153</v>
      </c>
      <c r="C34" s="929">
        <f t="shared" si="18"/>
        <v>0</v>
      </c>
      <c r="D34" s="938">
        <v>0</v>
      </c>
      <c r="E34" s="1073"/>
      <c r="F34" s="1073"/>
      <c r="G34" s="1074"/>
      <c r="H34" s="933">
        <f t="shared" si="19"/>
        <v>0</v>
      </c>
      <c r="I34" s="934"/>
      <c r="J34" s="935"/>
      <c r="K34" s="936"/>
      <c r="L34" s="933">
        <f t="shared" si="20"/>
        <v>3.2131895506092896</v>
      </c>
      <c r="M34" s="936"/>
      <c r="N34" s="936"/>
      <c r="O34" s="936"/>
      <c r="P34" s="1069"/>
      <c r="Q34" s="1073">
        <v>0.17699999999999999</v>
      </c>
      <c r="R34" s="1073"/>
      <c r="S34" s="1073">
        <v>0</v>
      </c>
      <c r="T34" s="1073">
        <v>0.60818955060928981</v>
      </c>
      <c r="U34" s="1073">
        <v>2.4279999999999999</v>
      </c>
      <c r="V34" s="1073">
        <v>0</v>
      </c>
      <c r="W34" s="1073"/>
      <c r="X34" s="934"/>
      <c r="Y34" s="932"/>
      <c r="Z34" s="936"/>
      <c r="AA34" s="939">
        <v>9.6605545809524642</v>
      </c>
      <c r="AB34" s="937">
        <f t="shared" si="21"/>
        <v>127.91319688416</v>
      </c>
      <c r="AC34" s="938"/>
      <c r="AD34" s="936"/>
      <c r="AE34" s="936">
        <v>127.91319688416</v>
      </c>
      <c r="AF34" s="936"/>
      <c r="AG34" s="986"/>
      <c r="AH34" s="986"/>
      <c r="AI34" s="986"/>
      <c r="AJ34" s="986"/>
      <c r="AK34" s="934"/>
      <c r="AL34" s="932"/>
      <c r="AM34" s="936"/>
      <c r="AN34" s="939"/>
      <c r="AO34" s="939">
        <v>24.722008913423029</v>
      </c>
      <c r="AP34" s="937"/>
      <c r="AQ34" s="940">
        <f t="shared" si="13"/>
        <v>165.50894992914479</v>
      </c>
    </row>
    <row r="35" spans="1:45" ht="12.75" customHeight="1">
      <c r="A35" s="541" t="s">
        <v>154</v>
      </c>
      <c r="B35" s="1075" t="s">
        <v>155</v>
      </c>
      <c r="C35" s="929">
        <f t="shared" si="18"/>
        <v>0</v>
      </c>
      <c r="D35" s="938">
        <v>0</v>
      </c>
      <c r="E35" s="1073"/>
      <c r="F35" s="1073"/>
      <c r="G35" s="1074"/>
      <c r="H35" s="933">
        <f t="shared" si="19"/>
        <v>0</v>
      </c>
      <c r="I35" s="934"/>
      <c r="J35" s="935"/>
      <c r="K35" s="936"/>
      <c r="L35" s="933">
        <f t="shared" si="20"/>
        <v>1.6055046049530732</v>
      </c>
      <c r="M35" s="936"/>
      <c r="N35" s="936"/>
      <c r="O35" s="936"/>
      <c r="P35" s="1069"/>
      <c r="Q35" s="1073">
        <v>9.6000000000000002E-2</v>
      </c>
      <c r="R35" s="1073"/>
      <c r="S35" s="1073">
        <v>0</v>
      </c>
      <c r="T35" s="1073">
        <v>0.62950460495307337</v>
      </c>
      <c r="U35" s="1073">
        <v>0.88</v>
      </c>
      <c r="V35" s="1073">
        <v>0</v>
      </c>
      <c r="W35" s="1073"/>
      <c r="X35" s="934"/>
      <c r="Y35" s="932"/>
      <c r="Z35" s="936"/>
      <c r="AA35" s="939">
        <v>14.125994102315383</v>
      </c>
      <c r="AB35" s="937">
        <f t="shared" si="21"/>
        <v>0</v>
      </c>
      <c r="AC35" s="938"/>
      <c r="AD35" s="936"/>
      <c r="AE35" s="936"/>
      <c r="AF35" s="936"/>
      <c r="AG35" s="986"/>
      <c r="AH35" s="986"/>
      <c r="AI35" s="986"/>
      <c r="AJ35" s="986"/>
      <c r="AK35" s="934"/>
      <c r="AL35" s="932"/>
      <c r="AM35" s="936"/>
      <c r="AN35" s="939"/>
      <c r="AO35" s="939">
        <v>10.336268211589791</v>
      </c>
      <c r="AP35" s="937"/>
      <c r="AQ35" s="940">
        <f t="shared" si="13"/>
        <v>26.067766918858247</v>
      </c>
    </row>
    <row r="36" spans="1:45" ht="12.75" customHeight="1">
      <c r="A36" s="541" t="s">
        <v>156</v>
      </c>
      <c r="B36" s="1075" t="s">
        <v>157</v>
      </c>
      <c r="C36" s="929">
        <f t="shared" si="18"/>
        <v>0</v>
      </c>
      <c r="D36" s="1071">
        <v>0</v>
      </c>
      <c r="E36" s="1073"/>
      <c r="F36" s="1073"/>
      <c r="G36" s="1074"/>
      <c r="H36" s="933">
        <f t="shared" si="19"/>
        <v>0</v>
      </c>
      <c r="I36" s="934"/>
      <c r="J36" s="935"/>
      <c r="K36" s="936"/>
      <c r="L36" s="933">
        <f t="shared" si="20"/>
        <v>21.418897222529047</v>
      </c>
      <c r="M36" s="936"/>
      <c r="N36" s="936"/>
      <c r="O36" s="936"/>
      <c r="P36" s="1069"/>
      <c r="Q36" s="1064">
        <v>0.30599999999999994</v>
      </c>
      <c r="R36" s="1073"/>
      <c r="S36" s="1064">
        <v>2.7458233928999998</v>
      </c>
      <c r="T36" s="1064">
        <v>3.9702841224354111</v>
      </c>
      <c r="U36" s="1064">
        <v>4.5789999999999997</v>
      </c>
      <c r="V36" s="1064">
        <v>9.8177897071936346</v>
      </c>
      <c r="W36" s="1073"/>
      <c r="X36" s="934"/>
      <c r="Y36" s="932"/>
      <c r="Z36" s="936"/>
      <c r="AA36" s="1076">
        <v>129.58450822372785</v>
      </c>
      <c r="AB36" s="937">
        <f t="shared" si="21"/>
        <v>0</v>
      </c>
      <c r="AC36" s="938"/>
      <c r="AD36" s="936"/>
      <c r="AE36" s="936">
        <v>0</v>
      </c>
      <c r="AF36" s="936"/>
      <c r="AG36" s="986"/>
      <c r="AH36" s="986"/>
      <c r="AI36" s="986"/>
      <c r="AJ36" s="986"/>
      <c r="AK36" s="1067"/>
      <c r="AL36" s="1069"/>
      <c r="AM36" s="936"/>
      <c r="AN36" s="1076"/>
      <c r="AO36" s="1076">
        <v>76.140196178045755</v>
      </c>
      <c r="AP36" s="937"/>
      <c r="AQ36" s="940">
        <f t="shared" si="13"/>
        <v>227.14360162430265</v>
      </c>
    </row>
    <row r="37" spans="1:45" ht="12.75" customHeight="1">
      <c r="A37" s="541" t="s">
        <v>158</v>
      </c>
      <c r="B37" s="1075" t="s">
        <v>159</v>
      </c>
      <c r="C37" s="929">
        <f t="shared" si="18"/>
        <v>0</v>
      </c>
      <c r="D37" s="938">
        <v>0</v>
      </c>
      <c r="E37" s="1073"/>
      <c r="F37" s="1073"/>
      <c r="G37" s="1074"/>
      <c r="H37" s="933">
        <f t="shared" si="19"/>
        <v>0</v>
      </c>
      <c r="I37" s="934"/>
      <c r="J37" s="935"/>
      <c r="K37" s="936"/>
      <c r="L37" s="933">
        <f t="shared" si="20"/>
        <v>4.1927665829180274</v>
      </c>
      <c r="M37" s="936"/>
      <c r="N37" s="936"/>
      <c r="O37" s="936"/>
      <c r="P37" s="1069"/>
      <c r="Q37" s="1073">
        <v>0.53500000000000003</v>
      </c>
      <c r="R37" s="1073"/>
      <c r="S37" s="1073">
        <v>0</v>
      </c>
      <c r="T37" s="1073">
        <v>2.1897665829180273</v>
      </c>
      <c r="U37" s="1073">
        <v>1.468</v>
      </c>
      <c r="V37" s="1073">
        <v>0</v>
      </c>
      <c r="W37" s="1073"/>
      <c r="X37" s="934"/>
      <c r="Y37" s="932"/>
      <c r="Z37" s="936"/>
      <c r="AA37" s="939">
        <v>17.456036015436883</v>
      </c>
      <c r="AB37" s="937">
        <f t="shared" si="21"/>
        <v>0</v>
      </c>
      <c r="AC37" s="938"/>
      <c r="AD37" s="936"/>
      <c r="AE37" s="936"/>
      <c r="AF37" s="936"/>
      <c r="AG37" s="986"/>
      <c r="AH37" s="986"/>
      <c r="AI37" s="986"/>
      <c r="AJ37" s="986"/>
      <c r="AK37" s="934"/>
      <c r="AL37" s="932"/>
      <c r="AM37" s="936"/>
      <c r="AN37" s="939"/>
      <c r="AO37" s="939">
        <v>25.06049692993675</v>
      </c>
      <c r="AP37" s="937"/>
      <c r="AQ37" s="940">
        <f t="shared" si="13"/>
        <v>46.709299528291666</v>
      </c>
    </row>
    <row r="38" spans="1:45" ht="12.75" customHeight="1">
      <c r="A38" s="541" t="s">
        <v>160</v>
      </c>
      <c r="B38" s="1075" t="s">
        <v>161</v>
      </c>
      <c r="C38" s="929">
        <f t="shared" si="18"/>
        <v>86.919212076000022</v>
      </c>
      <c r="D38" s="938">
        <v>86.919212076000022</v>
      </c>
      <c r="E38" s="1073"/>
      <c r="F38" s="1073"/>
      <c r="G38" s="1074"/>
      <c r="H38" s="933">
        <f t="shared" si="19"/>
        <v>0</v>
      </c>
      <c r="I38" s="934"/>
      <c r="J38" s="935"/>
      <c r="K38" s="936"/>
      <c r="L38" s="933">
        <f t="shared" si="20"/>
        <v>160.32357118657256</v>
      </c>
      <c r="M38" s="936"/>
      <c r="N38" s="936"/>
      <c r="O38" s="936"/>
      <c r="P38" s="1069"/>
      <c r="Q38" s="1073">
        <v>1.1439999999999999</v>
      </c>
      <c r="R38" s="1073"/>
      <c r="S38" s="1073">
        <v>0</v>
      </c>
      <c r="T38" s="1073">
        <v>2.6359617205145627</v>
      </c>
      <c r="U38" s="1073">
        <v>25.253</v>
      </c>
      <c r="V38" s="1073">
        <v>131.29060946605799</v>
      </c>
      <c r="W38" s="1073"/>
      <c r="X38" s="934"/>
      <c r="Y38" s="932"/>
      <c r="Z38" s="936"/>
      <c r="AA38" s="939">
        <v>46.760404850906049</v>
      </c>
      <c r="AB38" s="937">
        <f t="shared" si="21"/>
        <v>42.918678312955997</v>
      </c>
      <c r="AC38" s="938"/>
      <c r="AD38" s="936"/>
      <c r="AE38" s="936">
        <v>2.2257740888237998</v>
      </c>
      <c r="AF38" s="936">
        <v>40.692904224132199</v>
      </c>
      <c r="AG38" s="986"/>
      <c r="AH38" s="986"/>
      <c r="AI38" s="986"/>
      <c r="AJ38" s="986"/>
      <c r="AK38" s="934"/>
      <c r="AL38" s="932"/>
      <c r="AM38" s="936"/>
      <c r="AN38" s="939">
        <v>54.722939604974094</v>
      </c>
      <c r="AO38" s="939">
        <v>73.686158058321269</v>
      </c>
      <c r="AP38" s="937"/>
      <c r="AQ38" s="940">
        <f t="shared" si="13"/>
        <v>465.33096408973</v>
      </c>
    </row>
    <row r="39" spans="1:45" ht="12.75" customHeight="1">
      <c r="A39" s="541" t="s">
        <v>162</v>
      </c>
      <c r="B39" s="1075" t="s">
        <v>163</v>
      </c>
      <c r="C39" s="929">
        <f t="shared" si="18"/>
        <v>0</v>
      </c>
      <c r="D39" s="938">
        <v>0</v>
      </c>
      <c r="E39" s="1073"/>
      <c r="F39" s="1073"/>
      <c r="G39" s="1074"/>
      <c r="H39" s="933">
        <f t="shared" si="19"/>
        <v>0</v>
      </c>
      <c r="I39" s="934"/>
      <c r="J39" s="935"/>
      <c r="K39" s="936"/>
      <c r="L39" s="933">
        <f t="shared" si="20"/>
        <v>5.6776554397216028</v>
      </c>
      <c r="M39" s="936"/>
      <c r="N39" s="936"/>
      <c r="O39" s="936"/>
      <c r="P39" s="1069"/>
      <c r="Q39" s="1073">
        <v>0.33800000000000002</v>
      </c>
      <c r="R39" s="1073"/>
      <c r="S39" s="1073">
        <v>1.0397614907400001</v>
      </c>
      <c r="T39" s="1073">
        <v>1.5488939489816029</v>
      </c>
      <c r="U39" s="1073">
        <v>2.7509999999999999</v>
      </c>
      <c r="V39" s="1073">
        <v>0</v>
      </c>
      <c r="W39" s="1073"/>
      <c r="X39" s="934"/>
      <c r="Y39" s="932"/>
      <c r="Z39" s="936"/>
      <c r="AA39" s="939">
        <v>411.95146425902993</v>
      </c>
      <c r="AB39" s="937">
        <f t="shared" si="21"/>
        <v>0</v>
      </c>
      <c r="AC39" s="938"/>
      <c r="AD39" s="936"/>
      <c r="AE39" s="936"/>
      <c r="AF39" s="936"/>
      <c r="AG39" s="986"/>
      <c r="AH39" s="986"/>
      <c r="AI39" s="986"/>
      <c r="AJ39" s="986"/>
      <c r="AK39" s="934"/>
      <c r="AL39" s="932"/>
      <c r="AM39" s="936"/>
      <c r="AN39" s="939"/>
      <c r="AO39" s="939">
        <v>67.595437712394457</v>
      </c>
      <c r="AP39" s="937"/>
      <c r="AQ39" s="940">
        <f t="shared" si="13"/>
        <v>485.22455741114601</v>
      </c>
    </row>
    <row r="40" spans="1:45" ht="12.75" customHeight="1">
      <c r="A40" s="541" t="s">
        <v>164</v>
      </c>
      <c r="B40" s="1075" t="s">
        <v>165</v>
      </c>
      <c r="C40" s="929">
        <f t="shared" si="18"/>
        <v>0</v>
      </c>
      <c r="D40" s="938">
        <v>0</v>
      </c>
      <c r="E40" s="1073"/>
      <c r="F40" s="1073"/>
      <c r="G40" s="1074"/>
      <c r="H40" s="933">
        <f t="shared" si="19"/>
        <v>0</v>
      </c>
      <c r="I40" s="934"/>
      <c r="J40" s="935"/>
      <c r="K40" s="936"/>
      <c r="L40" s="933">
        <f t="shared" si="20"/>
        <v>4.0583976227701353</v>
      </c>
      <c r="M40" s="936"/>
      <c r="N40" s="936"/>
      <c r="O40" s="936"/>
      <c r="P40" s="1069"/>
      <c r="Q40" s="1073">
        <v>0.14399999999999999</v>
      </c>
      <c r="R40" s="1073"/>
      <c r="S40" s="1073">
        <v>0</v>
      </c>
      <c r="T40" s="1073">
        <v>2.2053976227701355</v>
      </c>
      <c r="U40" s="1073">
        <v>1.7090000000000001</v>
      </c>
      <c r="V40" s="1073">
        <v>0</v>
      </c>
      <c r="W40" s="1073"/>
      <c r="X40" s="934"/>
      <c r="Y40" s="932"/>
      <c r="Z40" s="936"/>
      <c r="AA40" s="939">
        <v>14.088542834314019</v>
      </c>
      <c r="AB40" s="937">
        <f t="shared" si="21"/>
        <v>0</v>
      </c>
      <c r="AC40" s="938"/>
      <c r="AD40" s="936"/>
      <c r="AE40" s="936"/>
      <c r="AF40" s="936"/>
      <c r="AG40" s="986"/>
      <c r="AH40" s="986"/>
      <c r="AI40" s="986"/>
      <c r="AJ40" s="986"/>
      <c r="AK40" s="934"/>
      <c r="AL40" s="932"/>
      <c r="AM40" s="936"/>
      <c r="AN40" s="939"/>
      <c r="AO40" s="939">
        <v>17.033790245657055</v>
      </c>
      <c r="AP40" s="937"/>
      <c r="AQ40" s="940">
        <f t="shared" si="13"/>
        <v>35.180730702741215</v>
      </c>
    </row>
    <row r="41" spans="1:45" ht="12.75" customHeight="1">
      <c r="A41" s="541" t="s">
        <v>166</v>
      </c>
      <c r="B41" s="1075" t="s">
        <v>167</v>
      </c>
      <c r="C41" s="929">
        <f t="shared" si="18"/>
        <v>0</v>
      </c>
      <c r="D41" s="1071">
        <v>0</v>
      </c>
      <c r="E41" s="1073"/>
      <c r="F41" s="1073"/>
      <c r="G41" s="1074"/>
      <c r="H41" s="933">
        <f t="shared" si="19"/>
        <v>0</v>
      </c>
      <c r="I41" s="934"/>
      <c r="J41" s="935"/>
      <c r="K41" s="936"/>
      <c r="L41" s="933">
        <f t="shared" si="20"/>
        <v>2.3538976736397665</v>
      </c>
      <c r="M41" s="936"/>
      <c r="N41" s="936"/>
      <c r="O41" s="936"/>
      <c r="P41" s="1069"/>
      <c r="Q41" s="1064">
        <v>0.184</v>
      </c>
      <c r="R41" s="1073"/>
      <c r="S41" s="1064">
        <v>0</v>
      </c>
      <c r="T41" s="1064">
        <v>1.4408976736397665</v>
      </c>
      <c r="U41" s="1064">
        <v>0.72899999999999998</v>
      </c>
      <c r="V41" s="1064">
        <v>0</v>
      </c>
      <c r="W41" s="1073"/>
      <c r="X41" s="934"/>
      <c r="Y41" s="932"/>
      <c r="Z41" s="936"/>
      <c r="AA41" s="1076">
        <v>20.514556235548469</v>
      </c>
      <c r="AB41" s="937">
        <f t="shared" si="21"/>
        <v>0</v>
      </c>
      <c r="AC41" s="938"/>
      <c r="AD41" s="936"/>
      <c r="AE41" s="936"/>
      <c r="AF41" s="936"/>
      <c r="AG41" s="986"/>
      <c r="AH41" s="986"/>
      <c r="AI41" s="986"/>
      <c r="AJ41" s="986"/>
      <c r="AK41" s="1067"/>
      <c r="AL41" s="1069"/>
      <c r="AM41" s="936"/>
      <c r="AN41" s="1076"/>
      <c r="AO41" s="1076">
        <v>88.215343376908805</v>
      </c>
      <c r="AP41" s="937"/>
      <c r="AQ41" s="940">
        <f t="shared" si="13"/>
        <v>111.08379728609704</v>
      </c>
    </row>
    <row r="42" spans="1:45" ht="12.75" customHeight="1">
      <c r="A42" s="541" t="s">
        <v>168</v>
      </c>
      <c r="B42" s="1075" t="s">
        <v>169</v>
      </c>
      <c r="C42" s="929">
        <f t="shared" si="18"/>
        <v>0</v>
      </c>
      <c r="D42" s="938">
        <v>0</v>
      </c>
      <c r="E42" s="1073"/>
      <c r="F42" s="1073"/>
      <c r="G42" s="1074"/>
      <c r="H42" s="933">
        <f t="shared" si="19"/>
        <v>0</v>
      </c>
      <c r="I42" s="934"/>
      <c r="J42" s="935"/>
      <c r="K42" s="936"/>
      <c r="L42" s="933">
        <f t="shared" si="20"/>
        <v>1.2106523548972861</v>
      </c>
      <c r="M42" s="936"/>
      <c r="N42" s="936"/>
      <c r="O42" s="936"/>
      <c r="P42" s="1069"/>
      <c r="Q42" s="1073">
        <v>6.6000000000000003E-2</v>
      </c>
      <c r="R42" s="1073"/>
      <c r="S42" s="1073">
        <v>0</v>
      </c>
      <c r="T42" s="1073">
        <v>0.92365235489728603</v>
      </c>
      <c r="U42" s="1073">
        <v>0.221</v>
      </c>
      <c r="V42" s="1073">
        <v>0</v>
      </c>
      <c r="W42" s="1073"/>
      <c r="X42" s="934"/>
      <c r="Y42" s="932"/>
      <c r="Z42" s="936"/>
      <c r="AA42" s="939">
        <v>0.86574847863158677</v>
      </c>
      <c r="AB42" s="937">
        <f t="shared" si="21"/>
        <v>0</v>
      </c>
      <c r="AC42" s="938"/>
      <c r="AD42" s="936"/>
      <c r="AE42" s="936"/>
      <c r="AF42" s="936"/>
      <c r="AG42" s="986"/>
      <c r="AH42" s="986"/>
      <c r="AI42" s="986"/>
      <c r="AJ42" s="986"/>
      <c r="AK42" s="1032"/>
      <c r="AL42" s="1028"/>
      <c r="AM42" s="936"/>
      <c r="AN42" s="1033"/>
      <c r="AO42" s="939">
        <v>2.5758112476166248</v>
      </c>
      <c r="AP42" s="937"/>
      <c r="AQ42" s="940">
        <f t="shared" si="13"/>
        <v>4.6522120811454979</v>
      </c>
    </row>
    <row r="43" spans="1:45" ht="12.75" customHeight="1">
      <c r="A43" s="541" t="s">
        <v>170</v>
      </c>
      <c r="B43" s="1075" t="s">
        <v>171</v>
      </c>
      <c r="C43" s="929">
        <f t="shared" si="18"/>
        <v>0</v>
      </c>
      <c r="D43" s="938">
        <v>0</v>
      </c>
      <c r="E43" s="1073"/>
      <c r="F43" s="1073"/>
      <c r="G43" s="1074"/>
      <c r="H43" s="933">
        <f t="shared" si="19"/>
        <v>0</v>
      </c>
      <c r="I43" s="934"/>
      <c r="J43" s="935"/>
      <c r="K43" s="936">
        <v>0</v>
      </c>
      <c r="L43" s="933">
        <f t="shared" si="20"/>
        <v>12.040386855324506</v>
      </c>
      <c r="M43" s="936"/>
      <c r="N43" s="936"/>
      <c r="O43" s="936"/>
      <c r="P43" s="932"/>
      <c r="Q43" s="1073">
        <v>0.29299999999999998</v>
      </c>
      <c r="R43" s="1073"/>
      <c r="S43" s="1073">
        <v>3.6425061461249997</v>
      </c>
      <c r="T43" s="1073">
        <v>4.9848807091995067</v>
      </c>
      <c r="U43" s="1073">
        <v>3.12</v>
      </c>
      <c r="V43" s="1073">
        <v>0</v>
      </c>
      <c r="W43" s="1073"/>
      <c r="X43" s="934"/>
      <c r="Y43" s="932"/>
      <c r="Z43" s="936"/>
      <c r="AA43" s="939">
        <v>49.987455777023783</v>
      </c>
      <c r="AB43" s="937">
        <f t="shared" si="21"/>
        <v>0</v>
      </c>
      <c r="AC43" s="938"/>
      <c r="AD43" s="936"/>
      <c r="AE43" s="936"/>
      <c r="AF43" s="936"/>
      <c r="AG43" s="936"/>
      <c r="AH43" s="936"/>
      <c r="AI43" s="936"/>
      <c r="AJ43" s="936"/>
      <c r="AK43" s="934"/>
      <c r="AL43" s="932"/>
      <c r="AM43" s="936"/>
      <c r="AN43" s="939"/>
      <c r="AO43" s="939">
        <v>50.192200180420599</v>
      </c>
      <c r="AP43" s="937"/>
      <c r="AQ43" s="940">
        <f t="shared" si="13"/>
        <v>112.2200428127689</v>
      </c>
    </row>
    <row r="44" spans="1:45" ht="12.75" customHeight="1">
      <c r="A44" s="542" t="s">
        <v>798</v>
      </c>
      <c r="B44" s="1077" t="s">
        <v>799</v>
      </c>
      <c r="C44" s="988">
        <f>SUM(D44:G44)</f>
        <v>0</v>
      </c>
      <c r="D44" s="995">
        <v>0</v>
      </c>
      <c r="E44" s="1078"/>
      <c r="F44" s="1078"/>
      <c r="G44" s="1079"/>
      <c r="H44" s="992">
        <f>SUM(I44:K44)</f>
        <v>0</v>
      </c>
      <c r="I44" s="989"/>
      <c r="J44" s="990"/>
      <c r="K44" s="990"/>
      <c r="L44" s="992">
        <f>SUM(M44:Z44)</f>
        <v>32.705149888372631</v>
      </c>
      <c r="M44" s="990"/>
      <c r="N44" s="990"/>
      <c r="O44" s="990"/>
      <c r="P44" s="991"/>
      <c r="Q44" s="1078">
        <v>0.70131177564926306</v>
      </c>
      <c r="R44" s="1078"/>
      <c r="S44" s="1078">
        <v>0</v>
      </c>
      <c r="T44" s="1078">
        <v>0.47390520196714231</v>
      </c>
      <c r="U44" s="1078">
        <v>31.529932910756227</v>
      </c>
      <c r="V44" s="1078">
        <v>0</v>
      </c>
      <c r="W44" s="1078"/>
      <c r="X44" s="989"/>
      <c r="Y44" s="991"/>
      <c r="Z44" s="990"/>
      <c r="AA44" s="996">
        <v>4.0968183012521333</v>
      </c>
      <c r="AB44" s="994">
        <f>SUM(AC44:AM44)</f>
        <v>0</v>
      </c>
      <c r="AC44" s="995"/>
      <c r="AD44" s="990"/>
      <c r="AE44" s="990"/>
      <c r="AF44" s="990"/>
      <c r="AG44" s="990"/>
      <c r="AH44" s="990"/>
      <c r="AI44" s="990"/>
      <c r="AJ44" s="990"/>
      <c r="AK44" s="989"/>
      <c r="AL44" s="991"/>
      <c r="AM44" s="990"/>
      <c r="AN44" s="996"/>
      <c r="AO44" s="996">
        <v>9.9430290573801638</v>
      </c>
      <c r="AP44" s="994"/>
      <c r="AQ44" s="997">
        <f>C44+H44+L44+AA44+AB44+AN44+AO44+AP44</f>
        <v>46.744997247004932</v>
      </c>
    </row>
    <row r="45" spans="1:45" s="5" customFormat="1" ht="12.75" customHeight="1">
      <c r="A45" s="61" t="s">
        <v>172</v>
      </c>
      <c r="B45" s="998"/>
      <c r="C45" s="1080">
        <f t="shared" ref="C45:AP45" si="22">SUM(C46:C55)</f>
        <v>0</v>
      </c>
      <c r="D45" s="1081">
        <f t="shared" si="22"/>
        <v>0</v>
      </c>
      <c r="E45" s="1081">
        <f t="shared" si="22"/>
        <v>0</v>
      </c>
      <c r="F45" s="1082">
        <f t="shared" si="22"/>
        <v>0</v>
      </c>
      <c r="G45" s="1082">
        <f t="shared" si="22"/>
        <v>0</v>
      </c>
      <c r="H45" s="1083">
        <f t="shared" si="22"/>
        <v>0</v>
      </c>
      <c r="I45" s="1084">
        <f t="shared" si="22"/>
        <v>0</v>
      </c>
      <c r="J45" s="1085">
        <f t="shared" si="22"/>
        <v>0</v>
      </c>
      <c r="K45" s="1081">
        <f t="shared" si="22"/>
        <v>0</v>
      </c>
      <c r="L45" s="1083">
        <f t="shared" si="22"/>
        <v>5012.6665578559823</v>
      </c>
      <c r="M45" s="1081">
        <f t="shared" si="22"/>
        <v>0</v>
      </c>
      <c r="N45" s="1081">
        <f t="shared" ref="N45" si="23">SUM(N46:N55)</f>
        <v>0</v>
      </c>
      <c r="O45" s="1081">
        <f t="shared" si="22"/>
        <v>0</v>
      </c>
      <c r="P45" s="1081">
        <f t="shared" si="22"/>
        <v>824.24502392197087</v>
      </c>
      <c r="Q45" s="1081">
        <f t="shared" si="22"/>
        <v>0</v>
      </c>
      <c r="R45" s="1081">
        <f t="shared" si="22"/>
        <v>1102.8442060797599</v>
      </c>
      <c r="S45" s="1081">
        <f t="shared" si="22"/>
        <v>0</v>
      </c>
      <c r="T45" s="1081">
        <f t="shared" si="22"/>
        <v>1.8520724281984335</v>
      </c>
      <c r="U45" s="1081">
        <f>SUM(U46:U55)</f>
        <v>3083.7252554260544</v>
      </c>
      <c r="V45" s="1081">
        <f t="shared" si="22"/>
        <v>0</v>
      </c>
      <c r="W45" s="1082">
        <f t="shared" si="22"/>
        <v>0</v>
      </c>
      <c r="X45" s="1082">
        <f t="shared" si="22"/>
        <v>0</v>
      </c>
      <c r="Y45" s="1082">
        <f t="shared" si="22"/>
        <v>0</v>
      </c>
      <c r="Z45" s="1081">
        <f t="shared" si="22"/>
        <v>0</v>
      </c>
      <c r="AA45" s="1083">
        <f t="shared" si="22"/>
        <v>22.560835415583806</v>
      </c>
      <c r="AB45" s="1086">
        <f t="shared" si="22"/>
        <v>154.23960204369604</v>
      </c>
      <c r="AC45" s="1087">
        <f t="shared" si="22"/>
        <v>0</v>
      </c>
      <c r="AD45" s="1081">
        <f t="shared" si="22"/>
        <v>0</v>
      </c>
      <c r="AE45" s="1081">
        <f t="shared" si="22"/>
        <v>0</v>
      </c>
      <c r="AF45" s="1081">
        <f t="shared" ref="AF45" si="24">SUM(AF46:AF55)</f>
        <v>0</v>
      </c>
      <c r="AG45" s="1081">
        <f t="shared" si="22"/>
        <v>0</v>
      </c>
      <c r="AH45" s="1081">
        <f t="shared" si="22"/>
        <v>0</v>
      </c>
      <c r="AI45" s="1081">
        <f t="shared" si="22"/>
        <v>126.96834918892804</v>
      </c>
      <c r="AJ45" s="1081">
        <f t="shared" ref="AJ45" si="25">SUM(AJ46:AJ55)</f>
        <v>27.271252854767994</v>
      </c>
      <c r="AK45" s="1084">
        <f t="shared" si="22"/>
        <v>0</v>
      </c>
      <c r="AL45" s="1082">
        <f t="shared" ref="AL45" si="26">SUM(AL46:AL55)</f>
        <v>0</v>
      </c>
      <c r="AM45" s="1081">
        <f t="shared" si="22"/>
        <v>0</v>
      </c>
      <c r="AN45" s="1083">
        <f t="shared" si="22"/>
        <v>0</v>
      </c>
      <c r="AO45" s="1083">
        <f t="shared" si="22"/>
        <v>5.3733816232262495</v>
      </c>
      <c r="AP45" s="1086">
        <f t="shared" si="22"/>
        <v>0</v>
      </c>
      <c r="AQ45" s="1088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975"/>
      <c r="C46" s="976">
        <f t="shared" ref="C46:C64" si="27">SUM(D46:G46)</f>
        <v>0</v>
      </c>
      <c r="D46" s="1089"/>
      <c r="E46" s="1024"/>
      <c r="F46" s="979"/>
      <c r="G46" s="979"/>
      <c r="H46" s="980">
        <f t="shared" ref="H46:H64" si="28">SUM(I46:K46)</f>
        <v>0</v>
      </c>
      <c r="I46" s="977"/>
      <c r="J46" s="981"/>
      <c r="K46" s="978"/>
      <c r="L46" s="980">
        <f t="shared" ref="L46:L64" si="29">SUM(M46:Z46)</f>
        <v>703.5908900281911</v>
      </c>
      <c r="M46" s="978"/>
      <c r="N46" s="978"/>
      <c r="O46" s="978"/>
      <c r="P46" s="978"/>
      <c r="Q46" s="978"/>
      <c r="R46" s="978"/>
      <c r="S46" s="978"/>
      <c r="T46" s="978"/>
      <c r="U46" s="978">
        <v>703.5908900281911</v>
      </c>
      <c r="V46" s="978"/>
      <c r="W46" s="979"/>
      <c r="X46" s="979"/>
      <c r="Y46" s="979"/>
      <c r="Z46" s="978"/>
      <c r="AA46" s="984">
        <v>2.9723185667999998E-2</v>
      </c>
      <c r="AB46" s="982">
        <f t="shared" ref="AB46:AB64" si="30">SUM(AC46:AM46)</f>
        <v>30.162309971808927</v>
      </c>
      <c r="AC46" s="983"/>
      <c r="AD46" s="978"/>
      <c r="AE46" s="978"/>
      <c r="AF46" s="978"/>
      <c r="AG46" s="978"/>
      <c r="AH46" s="978"/>
      <c r="AI46" s="978">
        <v>30.162309971808927</v>
      </c>
      <c r="AJ46" s="978">
        <v>0</v>
      </c>
      <c r="AK46" s="977"/>
      <c r="AL46" s="979"/>
      <c r="AM46" s="978"/>
      <c r="AN46" s="980"/>
      <c r="AO46" s="984"/>
      <c r="AP46" s="982"/>
      <c r="AQ46" s="1009">
        <f t="shared" si="13"/>
        <v>733.78292318566798</v>
      </c>
    </row>
    <row r="47" spans="1:45" ht="12.75" customHeight="1">
      <c r="A47" s="540" t="s">
        <v>174</v>
      </c>
      <c r="B47" s="1090"/>
      <c r="C47" s="929">
        <f t="shared" si="27"/>
        <v>0</v>
      </c>
      <c r="D47" s="1091"/>
      <c r="E47" s="1092"/>
      <c r="F47" s="1069"/>
      <c r="G47" s="1069"/>
      <c r="H47" s="933">
        <f t="shared" si="28"/>
        <v>0</v>
      </c>
      <c r="I47" s="1067"/>
      <c r="J47" s="1068"/>
      <c r="K47" s="986"/>
      <c r="L47" s="1066">
        <f t="shared" si="29"/>
        <v>329.18377939153407</v>
      </c>
      <c r="M47" s="986"/>
      <c r="N47" s="986"/>
      <c r="O47" s="986"/>
      <c r="P47" s="986"/>
      <c r="Q47" s="986"/>
      <c r="R47" s="986"/>
      <c r="S47" s="986"/>
      <c r="T47" s="986"/>
      <c r="U47" s="986">
        <v>329.18377939153407</v>
      </c>
      <c r="V47" s="986"/>
      <c r="W47" s="1069"/>
      <c r="X47" s="1069"/>
      <c r="Y47" s="1069"/>
      <c r="Z47" s="986"/>
      <c r="AA47" s="1076"/>
      <c r="AB47" s="1070">
        <f t="shared" si="30"/>
        <v>14.111813174984674</v>
      </c>
      <c r="AC47" s="1071"/>
      <c r="AD47" s="986"/>
      <c r="AE47" s="986"/>
      <c r="AF47" s="986"/>
      <c r="AG47" s="986"/>
      <c r="AH47" s="986"/>
      <c r="AI47" s="986">
        <v>14.111813174984674</v>
      </c>
      <c r="AJ47" s="986">
        <v>0</v>
      </c>
      <c r="AK47" s="1067"/>
      <c r="AL47" s="1069"/>
      <c r="AM47" s="986"/>
      <c r="AN47" s="1066"/>
      <c r="AO47" s="1076"/>
      <c r="AP47" s="1070"/>
      <c r="AQ47" s="985">
        <f t="shared" si="13"/>
        <v>343.29559256651874</v>
      </c>
    </row>
    <row r="48" spans="1:45" ht="12.75" customHeight="1">
      <c r="A48" s="541" t="s">
        <v>175</v>
      </c>
      <c r="B48" s="928"/>
      <c r="C48" s="929">
        <f t="shared" si="27"/>
        <v>0</v>
      </c>
      <c r="D48" s="930"/>
      <c r="E48" s="941"/>
      <c r="F48" s="932"/>
      <c r="G48" s="932"/>
      <c r="H48" s="933">
        <f t="shared" si="28"/>
        <v>0</v>
      </c>
      <c r="I48" s="934"/>
      <c r="J48" s="935"/>
      <c r="K48" s="936"/>
      <c r="L48" s="933">
        <f t="shared" si="29"/>
        <v>1988.8117004276846</v>
      </c>
      <c r="M48" s="936"/>
      <c r="N48" s="936"/>
      <c r="O48" s="936"/>
      <c r="P48" s="936">
        <v>674.58043053629058</v>
      </c>
      <c r="Q48" s="936"/>
      <c r="R48" s="936"/>
      <c r="S48" s="936"/>
      <c r="T48" s="936">
        <v>1.8520724281984335</v>
      </c>
      <c r="U48" s="936">
        <v>1312.3791974631956</v>
      </c>
      <c r="V48" s="936"/>
      <c r="W48" s="932"/>
      <c r="X48" s="932"/>
      <c r="Y48" s="932"/>
      <c r="Z48" s="936"/>
      <c r="AA48" s="939"/>
      <c r="AB48" s="937">
        <f t="shared" si="30"/>
        <v>78.598025526444061</v>
      </c>
      <c r="AC48" s="938"/>
      <c r="AD48" s="936"/>
      <c r="AE48" s="936"/>
      <c r="AF48" s="936"/>
      <c r="AG48" s="936"/>
      <c r="AH48" s="936"/>
      <c r="AI48" s="936">
        <v>56.260518314631256</v>
      </c>
      <c r="AJ48" s="936">
        <v>22.33750721181281</v>
      </c>
      <c r="AK48" s="934"/>
      <c r="AL48" s="932"/>
      <c r="AM48" s="936"/>
      <c r="AN48" s="933"/>
      <c r="AO48" s="939">
        <v>1.0652907432262495</v>
      </c>
      <c r="AP48" s="937"/>
      <c r="AQ48" s="940">
        <f t="shared" si="13"/>
        <v>2068.4750166973549</v>
      </c>
    </row>
    <row r="49" spans="1:45" ht="12.75" customHeight="1">
      <c r="A49" s="541" t="s">
        <v>176</v>
      </c>
      <c r="B49" s="928"/>
      <c r="C49" s="929">
        <f t="shared" si="27"/>
        <v>0</v>
      </c>
      <c r="D49" s="930"/>
      <c r="E49" s="941"/>
      <c r="F49" s="932"/>
      <c r="G49" s="932"/>
      <c r="H49" s="933">
        <f t="shared" si="28"/>
        <v>0</v>
      </c>
      <c r="I49" s="934"/>
      <c r="J49" s="935"/>
      <c r="K49" s="936"/>
      <c r="L49" s="933">
        <f t="shared" si="29"/>
        <v>132.19128758585111</v>
      </c>
      <c r="M49" s="936"/>
      <c r="N49" s="936"/>
      <c r="O49" s="936"/>
      <c r="P49" s="936">
        <v>6.5053363986760129</v>
      </c>
      <c r="Q49" s="936"/>
      <c r="R49" s="936"/>
      <c r="S49" s="936"/>
      <c r="T49" s="936"/>
      <c r="U49" s="936">
        <v>125.68595118717511</v>
      </c>
      <c r="V49" s="936"/>
      <c r="W49" s="932"/>
      <c r="X49" s="932"/>
      <c r="Y49" s="932"/>
      <c r="Z49" s="936"/>
      <c r="AA49" s="939"/>
      <c r="AB49" s="937">
        <f t="shared" si="30"/>
        <v>5.6034563359273175</v>
      </c>
      <c r="AC49" s="938"/>
      <c r="AD49" s="936"/>
      <c r="AE49" s="936"/>
      <c r="AF49" s="936"/>
      <c r="AG49" s="936"/>
      <c r="AH49" s="936"/>
      <c r="AI49" s="936">
        <v>5.3880439223102039</v>
      </c>
      <c r="AJ49" s="936">
        <v>0.21541241361711327</v>
      </c>
      <c r="AK49" s="934"/>
      <c r="AL49" s="932"/>
      <c r="AM49" s="936"/>
      <c r="AN49" s="933"/>
      <c r="AO49" s="939"/>
      <c r="AP49" s="937"/>
      <c r="AQ49" s="940">
        <f t="shared" si="13"/>
        <v>137.79474392177843</v>
      </c>
    </row>
    <row r="50" spans="1:45" ht="12.75" customHeight="1">
      <c r="A50" s="541" t="s">
        <v>177</v>
      </c>
      <c r="B50" s="928"/>
      <c r="C50" s="929">
        <f t="shared" si="27"/>
        <v>0</v>
      </c>
      <c r="D50" s="930"/>
      <c r="E50" s="941"/>
      <c r="F50" s="932"/>
      <c r="G50" s="932"/>
      <c r="H50" s="933">
        <f t="shared" si="28"/>
        <v>0</v>
      </c>
      <c r="I50" s="934"/>
      <c r="J50" s="935"/>
      <c r="K50" s="936"/>
      <c r="L50" s="933">
        <f t="shared" si="29"/>
        <v>38.043221783939138</v>
      </c>
      <c r="M50" s="936"/>
      <c r="N50" s="936"/>
      <c r="O50" s="936"/>
      <c r="P50" s="936"/>
      <c r="Q50" s="936"/>
      <c r="R50" s="1093"/>
      <c r="S50" s="936"/>
      <c r="T50" s="936"/>
      <c r="U50" s="936">
        <v>38.043221783939138</v>
      </c>
      <c r="V50" s="936"/>
      <c r="W50" s="932"/>
      <c r="X50" s="932"/>
      <c r="Y50" s="932"/>
      <c r="Z50" s="936"/>
      <c r="AA50" s="939"/>
      <c r="AB50" s="937">
        <f t="shared" si="30"/>
        <v>0</v>
      </c>
      <c r="AC50" s="938"/>
      <c r="AD50" s="936"/>
      <c r="AE50" s="936"/>
      <c r="AF50" s="936"/>
      <c r="AG50" s="936"/>
      <c r="AH50" s="936"/>
      <c r="AI50" s="936">
        <v>0</v>
      </c>
      <c r="AJ50" s="936"/>
      <c r="AK50" s="934"/>
      <c r="AL50" s="932"/>
      <c r="AM50" s="936"/>
      <c r="AN50" s="933"/>
      <c r="AO50" s="939">
        <v>4.30809088</v>
      </c>
      <c r="AP50" s="937"/>
      <c r="AQ50" s="940">
        <f t="shared" si="13"/>
        <v>42.35131266393914</v>
      </c>
    </row>
    <row r="51" spans="1:45" ht="12.75" customHeight="1">
      <c r="A51" s="541" t="s">
        <v>178</v>
      </c>
      <c r="B51" s="928"/>
      <c r="C51" s="929">
        <f t="shared" si="27"/>
        <v>0</v>
      </c>
      <c r="D51" s="930"/>
      <c r="E51" s="941"/>
      <c r="F51" s="932"/>
      <c r="G51" s="932"/>
      <c r="H51" s="933">
        <f t="shared" si="28"/>
        <v>0</v>
      </c>
      <c r="I51" s="934"/>
      <c r="J51" s="935"/>
      <c r="K51" s="936"/>
      <c r="L51" s="933">
        <f t="shared" si="29"/>
        <v>5.5768892778871395</v>
      </c>
      <c r="M51" s="936"/>
      <c r="N51" s="936"/>
      <c r="O51" s="936"/>
      <c r="P51" s="936">
        <v>0.66818888888888883</v>
      </c>
      <c r="Q51" s="936"/>
      <c r="R51" s="936">
        <v>4.908700388998251</v>
      </c>
      <c r="S51" s="936"/>
      <c r="T51" s="936"/>
      <c r="U51" s="936"/>
      <c r="V51" s="936"/>
      <c r="W51" s="932"/>
      <c r="X51" s="932"/>
      <c r="Y51" s="932"/>
      <c r="Z51" s="936"/>
      <c r="AA51" s="939"/>
      <c r="AB51" s="937">
        <f t="shared" si="30"/>
        <v>0</v>
      </c>
      <c r="AC51" s="938"/>
      <c r="AD51" s="936"/>
      <c r="AE51" s="936"/>
      <c r="AF51" s="936"/>
      <c r="AG51" s="936"/>
      <c r="AH51" s="936"/>
      <c r="AI51" s="936"/>
      <c r="AJ51" s="936"/>
      <c r="AK51" s="934"/>
      <c r="AL51" s="932"/>
      <c r="AM51" s="936"/>
      <c r="AN51" s="933"/>
      <c r="AO51" s="939"/>
      <c r="AP51" s="937"/>
      <c r="AQ51" s="940">
        <f t="shared" si="13"/>
        <v>5.5768892778871395</v>
      </c>
    </row>
    <row r="52" spans="1:45" ht="12.75" customHeight="1">
      <c r="A52" s="541" t="s">
        <v>179</v>
      </c>
      <c r="B52" s="1075"/>
      <c r="C52" s="1094">
        <f t="shared" si="27"/>
        <v>0</v>
      </c>
      <c r="D52" s="1093"/>
      <c r="E52" s="1093"/>
      <c r="F52" s="1095"/>
      <c r="G52" s="1095"/>
      <c r="H52" s="1096">
        <f t="shared" si="28"/>
        <v>0</v>
      </c>
      <c r="I52" s="1097"/>
      <c r="J52" s="1098"/>
      <c r="K52" s="1093"/>
      <c r="L52" s="1096">
        <f t="shared" si="29"/>
        <v>1097.9355056907616</v>
      </c>
      <c r="M52" s="1093"/>
      <c r="N52" s="1093"/>
      <c r="O52" s="1093"/>
      <c r="P52" s="986"/>
      <c r="Q52" s="1093"/>
      <c r="R52" s="1093">
        <v>1097.9355056907616</v>
      </c>
      <c r="S52" s="1093"/>
      <c r="T52" s="1093"/>
      <c r="U52" s="1093"/>
      <c r="V52" s="1093"/>
      <c r="W52" s="1095"/>
      <c r="X52" s="1095"/>
      <c r="Y52" s="1095"/>
      <c r="Z52" s="1093"/>
      <c r="AA52" s="1076"/>
      <c r="AB52" s="1099">
        <f t="shared" si="30"/>
        <v>0</v>
      </c>
      <c r="AC52" s="1100"/>
      <c r="AD52" s="1093"/>
      <c r="AE52" s="1093"/>
      <c r="AF52" s="1093"/>
      <c r="AG52" s="1093"/>
      <c r="AH52" s="1093"/>
      <c r="AI52" s="1093"/>
      <c r="AJ52" s="1093"/>
      <c r="AK52" s="1067"/>
      <c r="AL52" s="1069"/>
      <c r="AM52" s="1093"/>
      <c r="AN52" s="1076"/>
      <c r="AO52" s="1076"/>
      <c r="AP52" s="1099"/>
      <c r="AQ52" s="1101">
        <f t="shared" si="13"/>
        <v>1097.9355056907616</v>
      </c>
    </row>
    <row r="53" spans="1:45" ht="12.75" customHeight="1">
      <c r="A53" s="541" t="s">
        <v>180</v>
      </c>
      <c r="B53" s="1075"/>
      <c r="C53" s="1094">
        <f t="shared" si="27"/>
        <v>0</v>
      </c>
      <c r="D53" s="1097"/>
      <c r="E53" s="1093"/>
      <c r="F53" s="1095"/>
      <c r="G53" s="1095"/>
      <c r="H53" s="1096">
        <f t="shared" si="28"/>
        <v>0</v>
      </c>
      <c r="I53" s="1097"/>
      <c r="J53" s="1098"/>
      <c r="K53" s="1093"/>
      <c r="L53" s="1096">
        <f t="shared" si="29"/>
        <v>176.59351048332516</v>
      </c>
      <c r="M53" s="1093"/>
      <c r="N53" s="1093"/>
      <c r="O53" s="1093"/>
      <c r="P53" s="1093">
        <v>0</v>
      </c>
      <c r="Q53" s="1093"/>
      <c r="R53" s="1093"/>
      <c r="S53" s="1093"/>
      <c r="T53" s="1093"/>
      <c r="U53" s="1093">
        <v>176.59351048332516</v>
      </c>
      <c r="V53" s="1093"/>
      <c r="W53" s="1095"/>
      <c r="X53" s="1095"/>
      <c r="Y53" s="1095"/>
      <c r="Z53" s="1093"/>
      <c r="AA53" s="1076"/>
      <c r="AB53" s="1099">
        <f t="shared" si="30"/>
        <v>7.570405299014781</v>
      </c>
      <c r="AC53" s="1100"/>
      <c r="AD53" s="1093"/>
      <c r="AE53" s="1093"/>
      <c r="AF53" s="1093"/>
      <c r="AG53" s="1093"/>
      <c r="AH53" s="1093"/>
      <c r="AI53" s="936">
        <v>7.570405299014781</v>
      </c>
      <c r="AJ53" s="936">
        <v>0</v>
      </c>
      <c r="AK53" s="1093"/>
      <c r="AL53" s="1093"/>
      <c r="AM53" s="1093"/>
      <c r="AN53" s="1076"/>
      <c r="AO53" s="939"/>
      <c r="AP53" s="1099"/>
      <c r="AQ53" s="1101">
        <f t="shared" si="13"/>
        <v>184.16391578233996</v>
      </c>
    </row>
    <row r="54" spans="1:45" ht="12.75" customHeight="1">
      <c r="A54" s="530" t="s">
        <v>181</v>
      </c>
      <c r="B54" s="928"/>
      <c r="C54" s="1094">
        <f t="shared" si="27"/>
        <v>0</v>
      </c>
      <c r="D54" s="1097"/>
      <c r="E54" s="1093"/>
      <c r="F54" s="1095"/>
      <c r="G54" s="1095"/>
      <c r="H54" s="1096">
        <f t="shared" si="28"/>
        <v>0</v>
      </c>
      <c r="I54" s="1097"/>
      <c r="J54" s="1098"/>
      <c r="K54" s="1093"/>
      <c r="L54" s="1096">
        <f t="shared" si="29"/>
        <v>83.913724293678101</v>
      </c>
      <c r="M54" s="1093"/>
      <c r="N54" s="1093"/>
      <c r="O54" s="1093"/>
      <c r="P54" s="1093"/>
      <c r="Q54" s="1093"/>
      <c r="R54" s="1093"/>
      <c r="S54" s="1093"/>
      <c r="T54" s="1093"/>
      <c r="U54" s="1093">
        <v>83.913724293678101</v>
      </c>
      <c r="V54" s="1093"/>
      <c r="W54" s="1095"/>
      <c r="X54" s="1095"/>
      <c r="Y54" s="1095"/>
      <c r="Z54" s="1093"/>
      <c r="AA54" s="1033"/>
      <c r="AB54" s="1099">
        <f t="shared" si="30"/>
        <v>0</v>
      </c>
      <c r="AC54" s="1100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33"/>
      <c r="AO54" s="1076"/>
      <c r="AP54" s="1099"/>
      <c r="AQ54" s="1101">
        <f t="shared" si="13"/>
        <v>83.913724293678101</v>
      </c>
    </row>
    <row r="55" spans="1:45" ht="12.75" customHeight="1">
      <c r="A55" s="535" t="s">
        <v>182</v>
      </c>
      <c r="B55" s="987"/>
      <c r="C55" s="988">
        <f t="shared" si="27"/>
        <v>0</v>
      </c>
      <c r="D55" s="1102"/>
      <c r="E55" s="1103"/>
      <c r="F55" s="991"/>
      <c r="G55" s="991"/>
      <c r="H55" s="992">
        <f t="shared" si="28"/>
        <v>0</v>
      </c>
      <c r="I55" s="989"/>
      <c r="J55" s="993"/>
      <c r="K55" s="990"/>
      <c r="L55" s="992">
        <f t="shared" si="29"/>
        <v>456.8260488931312</v>
      </c>
      <c r="M55" s="990"/>
      <c r="N55" s="990"/>
      <c r="O55" s="990"/>
      <c r="P55" s="990">
        <v>142.49106809811542</v>
      </c>
      <c r="Q55" s="990"/>
      <c r="R55" s="990"/>
      <c r="S55" s="990">
        <v>0</v>
      </c>
      <c r="T55" s="990"/>
      <c r="U55" s="990">
        <v>314.33498079501578</v>
      </c>
      <c r="V55" s="990"/>
      <c r="W55" s="991"/>
      <c r="X55" s="991"/>
      <c r="Y55" s="991"/>
      <c r="Z55" s="990"/>
      <c r="AA55" s="996">
        <v>22.531112229915806</v>
      </c>
      <c r="AB55" s="994">
        <f t="shared" si="30"/>
        <v>18.193591735516275</v>
      </c>
      <c r="AC55" s="995"/>
      <c r="AD55" s="990"/>
      <c r="AE55" s="990"/>
      <c r="AF55" s="990"/>
      <c r="AG55" s="990"/>
      <c r="AH55" s="990"/>
      <c r="AI55" s="990">
        <v>13.475258506178202</v>
      </c>
      <c r="AJ55" s="990">
        <v>4.7183332293380724</v>
      </c>
      <c r="AK55" s="989"/>
      <c r="AL55" s="991"/>
      <c r="AM55" s="990"/>
      <c r="AN55" s="992"/>
      <c r="AO55" s="996"/>
      <c r="AP55" s="994"/>
      <c r="AQ55" s="997">
        <f t="shared" si="13"/>
        <v>497.55075285856333</v>
      </c>
    </row>
    <row r="56" spans="1:45" s="18" customFormat="1" ht="12.75" customHeight="1">
      <c r="A56" s="61" t="s">
        <v>1</v>
      </c>
      <c r="B56" s="1104"/>
      <c r="C56" s="1105">
        <f t="shared" si="27"/>
        <v>216.79218330365393</v>
      </c>
      <c r="D56" s="1106">
        <v>115.30751795563631</v>
      </c>
      <c r="E56" s="931">
        <v>89.647280058277374</v>
      </c>
      <c r="F56" s="1107"/>
      <c r="G56" s="1107">
        <v>11.837385289740231</v>
      </c>
      <c r="H56" s="1108">
        <f t="shared" si="28"/>
        <v>196.53880633</v>
      </c>
      <c r="I56" s="1106"/>
      <c r="J56" s="1109">
        <v>127.70399999999999</v>
      </c>
      <c r="K56" s="1007">
        <v>68.834806329999992</v>
      </c>
      <c r="L56" s="1108">
        <f t="shared" si="29"/>
        <v>1254.8255059886615</v>
      </c>
      <c r="M56" s="1007"/>
      <c r="N56" s="1007"/>
      <c r="O56" s="1007"/>
      <c r="P56" s="1007">
        <v>0</v>
      </c>
      <c r="Q56" s="1007">
        <v>865.67110107427072</v>
      </c>
      <c r="R56" s="1007"/>
      <c r="S56" s="1007">
        <v>0</v>
      </c>
      <c r="T56" s="1007">
        <v>53.841522983216713</v>
      </c>
      <c r="U56" s="1007">
        <v>329.909010207883</v>
      </c>
      <c r="V56" s="1007">
        <v>5.4038717232911377</v>
      </c>
      <c r="W56" s="1107"/>
      <c r="X56" s="1107"/>
      <c r="Y56" s="1107"/>
      <c r="Z56" s="1007"/>
      <c r="AA56" s="1108">
        <v>604.09375845912712</v>
      </c>
      <c r="AB56" s="1110">
        <f t="shared" si="30"/>
        <v>71.026669556951646</v>
      </c>
      <c r="AC56" s="1111"/>
      <c r="AD56" s="1007"/>
      <c r="AE56" s="1007">
        <v>29.776082158378955</v>
      </c>
      <c r="AF56" s="1007"/>
      <c r="AG56" s="1007"/>
      <c r="AH56" s="1007"/>
      <c r="AI56" s="1007"/>
      <c r="AJ56" s="1007"/>
      <c r="AK56" s="1106"/>
      <c r="AL56" s="1107">
        <v>13.379590942008413</v>
      </c>
      <c r="AM56" s="1007">
        <v>27.870996456564281</v>
      </c>
      <c r="AN56" s="1108"/>
      <c r="AO56" s="1108">
        <v>702.94473599999992</v>
      </c>
      <c r="AP56" s="1110"/>
      <c r="AQ56" s="1008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104"/>
      <c r="C57" s="1105">
        <f>C58+C65</f>
        <v>0.51992180451127823</v>
      </c>
      <c r="D57" s="1007">
        <f t="shared" ref="D57:AP57" si="31">D58+D65</f>
        <v>0.51992180451127823</v>
      </c>
      <c r="E57" s="1007">
        <f t="shared" si="31"/>
        <v>0</v>
      </c>
      <c r="F57" s="1107">
        <f t="shared" si="31"/>
        <v>0</v>
      </c>
      <c r="G57" s="1107">
        <f t="shared" si="31"/>
        <v>0</v>
      </c>
      <c r="H57" s="1108">
        <f t="shared" si="31"/>
        <v>0</v>
      </c>
      <c r="I57" s="1106">
        <f t="shared" si="31"/>
        <v>0</v>
      </c>
      <c r="J57" s="1106">
        <f t="shared" si="31"/>
        <v>0</v>
      </c>
      <c r="K57" s="1106">
        <f t="shared" si="31"/>
        <v>0</v>
      </c>
      <c r="L57" s="1108">
        <f t="shared" si="31"/>
        <v>240.86725727408077</v>
      </c>
      <c r="M57" s="1007">
        <f t="shared" si="31"/>
        <v>0</v>
      </c>
      <c r="N57" s="1007">
        <f t="shared" si="31"/>
        <v>0</v>
      </c>
      <c r="O57" s="1007">
        <f t="shared" si="31"/>
        <v>0</v>
      </c>
      <c r="P57" s="1007">
        <f t="shared" si="31"/>
        <v>0</v>
      </c>
      <c r="Q57" s="1007">
        <f t="shared" si="31"/>
        <v>62.827000000000005</v>
      </c>
      <c r="R57" s="1007">
        <f t="shared" si="31"/>
        <v>0</v>
      </c>
      <c r="S57" s="1007">
        <f t="shared" si="31"/>
        <v>0.64284746861564912</v>
      </c>
      <c r="T57" s="1007">
        <f t="shared" si="31"/>
        <v>70.524409805465098</v>
      </c>
      <c r="U57" s="1007">
        <f t="shared" si="31"/>
        <v>106.87300000000002</v>
      </c>
      <c r="V57" s="1007">
        <f t="shared" si="31"/>
        <v>0</v>
      </c>
      <c r="W57" s="1107">
        <f t="shared" si="31"/>
        <v>0</v>
      </c>
      <c r="X57" s="1107">
        <f t="shared" si="31"/>
        <v>0</v>
      </c>
      <c r="Y57" s="1107">
        <f t="shared" si="31"/>
        <v>0</v>
      </c>
      <c r="Z57" s="1106">
        <f t="shared" si="31"/>
        <v>0</v>
      </c>
      <c r="AA57" s="1108">
        <f t="shared" si="31"/>
        <v>328.6198962047896</v>
      </c>
      <c r="AB57" s="1110">
        <f t="shared" si="31"/>
        <v>39.433814247868156</v>
      </c>
      <c r="AC57" s="1111">
        <f t="shared" si="31"/>
        <v>0</v>
      </c>
      <c r="AD57" s="1007">
        <f t="shared" si="31"/>
        <v>0</v>
      </c>
      <c r="AE57" s="1007">
        <f t="shared" si="31"/>
        <v>17.99312324724</v>
      </c>
      <c r="AF57" s="1007">
        <f t="shared" si="31"/>
        <v>0</v>
      </c>
      <c r="AG57" s="1007">
        <f t="shared" si="31"/>
        <v>0</v>
      </c>
      <c r="AH57" s="1007">
        <f t="shared" si="31"/>
        <v>5.621744734795584</v>
      </c>
      <c r="AI57" s="1007">
        <f t="shared" si="31"/>
        <v>0</v>
      </c>
      <c r="AJ57" s="1007">
        <f t="shared" si="31"/>
        <v>0</v>
      </c>
      <c r="AK57" s="1007">
        <f t="shared" si="31"/>
        <v>0</v>
      </c>
      <c r="AL57" s="1007">
        <f t="shared" si="31"/>
        <v>0.16649466165720572</v>
      </c>
      <c r="AM57" s="1106">
        <f t="shared" si="31"/>
        <v>15.65245160417537</v>
      </c>
      <c r="AN57" s="1108">
        <f t="shared" si="31"/>
        <v>0</v>
      </c>
      <c r="AO57" s="1108">
        <f t="shared" si="31"/>
        <v>1078.743765043014</v>
      </c>
      <c r="AP57" s="1110">
        <f t="shared" si="31"/>
        <v>0</v>
      </c>
      <c r="AQ57" s="1112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104"/>
      <c r="C58" s="1105">
        <f t="shared" si="27"/>
        <v>0.5149225563909775</v>
      </c>
      <c r="D58" s="1111">
        <v>0.5149225563909775</v>
      </c>
      <c r="E58" s="1110">
        <v>0</v>
      </c>
      <c r="F58" s="1110">
        <f>SUM(F59:F64)</f>
        <v>0</v>
      </c>
      <c r="G58" s="1113">
        <v>0</v>
      </c>
      <c r="H58" s="1108">
        <f t="shared" si="28"/>
        <v>0</v>
      </c>
      <c r="I58" s="1106">
        <f>SUM(I59:I64)</f>
        <v>0</v>
      </c>
      <c r="J58" s="1114">
        <f>SUM(J59:J64)</f>
        <v>0</v>
      </c>
      <c r="K58" s="1106">
        <f>SUM(K59:K64)</f>
        <v>0</v>
      </c>
      <c r="L58" s="1108">
        <f t="shared" si="29"/>
        <v>109.16310972047087</v>
      </c>
      <c r="M58" s="1007">
        <f t="shared" ref="M58:AN58" si="32">SUM(M59:M64)</f>
        <v>0</v>
      </c>
      <c r="N58" s="1107">
        <f t="shared" si="32"/>
        <v>0</v>
      </c>
      <c r="O58" s="1107">
        <f t="shared" si="32"/>
        <v>0</v>
      </c>
      <c r="P58" s="1110">
        <f t="shared" si="32"/>
        <v>0</v>
      </c>
      <c r="Q58" s="1110">
        <v>15.841000000000001</v>
      </c>
      <c r="R58" s="1110">
        <f t="shared" si="32"/>
        <v>0</v>
      </c>
      <c r="S58" s="1110">
        <v>0</v>
      </c>
      <c r="T58" s="1110">
        <v>41.074109720470858</v>
      </c>
      <c r="U58" s="1110">
        <v>52.248000000000012</v>
      </c>
      <c r="V58" s="1110">
        <f t="shared" si="32"/>
        <v>0</v>
      </c>
      <c r="W58" s="1110">
        <f t="shared" si="32"/>
        <v>0</v>
      </c>
      <c r="X58" s="1110">
        <f t="shared" si="32"/>
        <v>0</v>
      </c>
      <c r="Y58" s="1107">
        <f t="shared" si="32"/>
        <v>0</v>
      </c>
      <c r="Z58" s="1106">
        <f t="shared" si="32"/>
        <v>0</v>
      </c>
      <c r="AA58" s="1108">
        <v>206.51565457653467</v>
      </c>
      <c r="AB58" s="1110">
        <f t="shared" si="30"/>
        <v>20.523795887314584</v>
      </c>
      <c r="AC58" s="1111">
        <f t="shared" si="32"/>
        <v>0</v>
      </c>
      <c r="AD58" s="1007">
        <f t="shared" si="32"/>
        <v>0</v>
      </c>
      <c r="AE58" s="1007">
        <f t="shared" si="32"/>
        <v>3.9004188670820072</v>
      </c>
      <c r="AF58" s="1007"/>
      <c r="AG58" s="1007">
        <f t="shared" si="32"/>
        <v>0</v>
      </c>
      <c r="AH58" s="1007">
        <f t="shared" si="32"/>
        <v>0.80443075440000011</v>
      </c>
      <c r="AI58" s="1007">
        <f t="shared" si="32"/>
        <v>0</v>
      </c>
      <c r="AJ58" s="1007">
        <f t="shared" si="32"/>
        <v>0</v>
      </c>
      <c r="AK58" s="1007"/>
      <c r="AL58" s="1007">
        <v>0.16649466165720572</v>
      </c>
      <c r="AM58" s="1107">
        <v>15.65245160417537</v>
      </c>
      <c r="AN58" s="1108">
        <f t="shared" si="32"/>
        <v>0</v>
      </c>
      <c r="AO58" s="1108">
        <v>828.90452168344279</v>
      </c>
      <c r="AP58" s="1110">
        <f t="shared" ref="AP58" si="33">SUM(AP59:AP64)</f>
        <v>0</v>
      </c>
      <c r="AQ58" s="1112">
        <f t="shared" si="13"/>
        <v>1165.6220044241538</v>
      </c>
      <c r="AS58" s="15"/>
    </row>
    <row r="59" spans="1:45" ht="12.75" customHeight="1">
      <c r="A59" s="545" t="s">
        <v>802</v>
      </c>
      <c r="B59" s="1115" t="s">
        <v>803</v>
      </c>
      <c r="C59" s="976">
        <f t="shared" si="27"/>
        <v>3.9993984962406011E-3</v>
      </c>
      <c r="D59" s="938">
        <v>3.9993984962406011E-3</v>
      </c>
      <c r="E59" s="982"/>
      <c r="F59" s="982"/>
      <c r="G59" s="1022"/>
      <c r="H59" s="980">
        <f t="shared" si="28"/>
        <v>0</v>
      </c>
      <c r="I59" s="1089"/>
      <c r="J59" s="1116"/>
      <c r="K59" s="1089"/>
      <c r="L59" s="980">
        <f t="shared" si="29"/>
        <v>29.110393287676398</v>
      </c>
      <c r="M59" s="1024"/>
      <c r="N59" s="1117"/>
      <c r="O59" s="1117"/>
      <c r="P59" s="982"/>
      <c r="Q59" s="1073">
        <v>6.548</v>
      </c>
      <c r="R59" s="982"/>
      <c r="S59" s="1073">
        <v>0</v>
      </c>
      <c r="T59" s="1073">
        <v>11.487393287676401</v>
      </c>
      <c r="U59" s="1073">
        <v>11.074999999999999</v>
      </c>
      <c r="V59" s="1073">
        <v>0</v>
      </c>
      <c r="W59" s="982"/>
      <c r="X59" s="982"/>
      <c r="Y59" s="1117"/>
      <c r="Z59" s="1089"/>
      <c r="AA59" s="939">
        <v>52.670839129321678</v>
      </c>
      <c r="AB59" s="982">
        <f t="shared" si="30"/>
        <v>1.2953271877604666</v>
      </c>
      <c r="AC59" s="1118"/>
      <c r="AD59" s="1024"/>
      <c r="AE59" s="978">
        <v>1.2953271877604666</v>
      </c>
      <c r="AF59" s="978"/>
      <c r="AG59" s="978"/>
      <c r="AH59" s="978">
        <v>0</v>
      </c>
      <c r="AI59" s="978"/>
      <c r="AJ59" s="978"/>
      <c r="AK59" s="978"/>
      <c r="AL59" s="978">
        <v>0</v>
      </c>
      <c r="AM59" s="979">
        <v>0</v>
      </c>
      <c r="AN59" s="980"/>
      <c r="AO59" s="939">
        <v>225.7085564993871</v>
      </c>
      <c r="AP59" s="982"/>
      <c r="AQ59" s="1009">
        <f t="shared" si="13"/>
        <v>308.78911550264189</v>
      </c>
      <c r="AS59" s="15"/>
    </row>
    <row r="60" spans="1:45" ht="12.75" customHeight="1">
      <c r="A60" s="545" t="s">
        <v>804</v>
      </c>
      <c r="B60" s="1115" t="s">
        <v>805</v>
      </c>
      <c r="C60" s="929">
        <f t="shared" si="27"/>
        <v>8.9986466165413535E-3</v>
      </c>
      <c r="D60" s="938">
        <v>8.9986466165413535E-3</v>
      </c>
      <c r="E60" s="937"/>
      <c r="F60" s="937"/>
      <c r="G60" s="1119"/>
      <c r="H60" s="933">
        <f t="shared" si="28"/>
        <v>0</v>
      </c>
      <c r="I60" s="930"/>
      <c r="J60" s="1120"/>
      <c r="K60" s="930"/>
      <c r="L60" s="933">
        <f t="shared" si="29"/>
        <v>24.503931093823979</v>
      </c>
      <c r="M60" s="941"/>
      <c r="N60" s="931"/>
      <c r="O60" s="931"/>
      <c r="P60" s="937"/>
      <c r="Q60" s="1073">
        <v>1.2709999999999999</v>
      </c>
      <c r="R60" s="937"/>
      <c r="S60" s="1073">
        <v>0</v>
      </c>
      <c r="T60" s="1073">
        <v>1.9979310938239756</v>
      </c>
      <c r="U60" s="1073">
        <v>21.235000000000003</v>
      </c>
      <c r="V60" s="1073">
        <v>0</v>
      </c>
      <c r="W60" s="937"/>
      <c r="X60" s="937"/>
      <c r="Y60" s="931"/>
      <c r="Z60" s="930"/>
      <c r="AA60" s="939">
        <v>23.743479725066276</v>
      </c>
      <c r="AB60" s="937">
        <f t="shared" si="30"/>
        <v>1.138556689715082E-2</v>
      </c>
      <c r="AC60" s="1121"/>
      <c r="AD60" s="941"/>
      <c r="AE60" s="936">
        <v>1.138556689715082E-2</v>
      </c>
      <c r="AF60" s="936"/>
      <c r="AG60" s="936"/>
      <c r="AH60" s="936">
        <v>0</v>
      </c>
      <c r="AI60" s="936"/>
      <c r="AJ60" s="936"/>
      <c r="AK60" s="936"/>
      <c r="AL60" s="936">
        <v>0</v>
      </c>
      <c r="AM60" s="932">
        <v>0</v>
      </c>
      <c r="AN60" s="933"/>
      <c r="AO60" s="939">
        <v>81.932675558202874</v>
      </c>
      <c r="AP60" s="937"/>
      <c r="AQ60" s="940">
        <f t="shared" si="13"/>
        <v>130.20047059060681</v>
      </c>
      <c r="AS60" s="15"/>
    </row>
    <row r="61" spans="1:45" ht="12.75" customHeight="1">
      <c r="A61" s="545" t="s">
        <v>806</v>
      </c>
      <c r="B61" s="1115" t="s">
        <v>807</v>
      </c>
      <c r="C61" s="929">
        <f t="shared" si="27"/>
        <v>0.42993533834586467</v>
      </c>
      <c r="D61" s="938">
        <v>0.42993533834586467</v>
      </c>
      <c r="E61" s="937"/>
      <c r="F61" s="937"/>
      <c r="G61" s="1119"/>
      <c r="H61" s="933">
        <f t="shared" si="28"/>
        <v>0</v>
      </c>
      <c r="I61" s="930"/>
      <c r="J61" s="1120"/>
      <c r="K61" s="930"/>
      <c r="L61" s="933">
        <f t="shared" si="29"/>
        <v>27.815960601382685</v>
      </c>
      <c r="M61" s="941"/>
      <c r="N61" s="931"/>
      <c r="O61" s="931"/>
      <c r="P61" s="937"/>
      <c r="Q61" s="1073">
        <v>3.399</v>
      </c>
      <c r="R61" s="937"/>
      <c r="S61" s="1073">
        <v>0</v>
      </c>
      <c r="T61" s="1073">
        <v>19.454960601382684</v>
      </c>
      <c r="U61" s="1073">
        <v>4.9619999999999997</v>
      </c>
      <c r="V61" s="1073">
        <v>0</v>
      </c>
      <c r="W61" s="937"/>
      <c r="X61" s="937"/>
      <c r="Y61" s="931"/>
      <c r="Z61" s="930"/>
      <c r="AA61" s="939">
        <v>30.235657033103141</v>
      </c>
      <c r="AB61" s="937">
        <f t="shared" si="30"/>
        <v>0.86179983283049288</v>
      </c>
      <c r="AC61" s="1121"/>
      <c r="AD61" s="941"/>
      <c r="AE61" s="936">
        <v>0.86179983283049288</v>
      </c>
      <c r="AF61" s="936"/>
      <c r="AG61" s="936"/>
      <c r="AH61" s="936">
        <v>0</v>
      </c>
      <c r="AI61" s="936"/>
      <c r="AJ61" s="936"/>
      <c r="AK61" s="936"/>
      <c r="AL61" s="936">
        <v>0</v>
      </c>
      <c r="AM61" s="932">
        <v>0</v>
      </c>
      <c r="AN61" s="933"/>
      <c r="AO61" s="939">
        <v>126.36748353090987</v>
      </c>
      <c r="AP61" s="937"/>
      <c r="AQ61" s="940">
        <f t="shared" si="13"/>
        <v>185.71083633657204</v>
      </c>
      <c r="AS61" s="15"/>
    </row>
    <row r="62" spans="1:45" ht="12.75" customHeight="1">
      <c r="A62" s="545" t="s">
        <v>808</v>
      </c>
      <c r="B62" s="1115" t="s">
        <v>809</v>
      </c>
      <c r="C62" s="929">
        <f t="shared" si="27"/>
        <v>6.9989473684210534E-3</v>
      </c>
      <c r="D62" s="938">
        <v>6.9989473684210534E-3</v>
      </c>
      <c r="E62" s="937"/>
      <c r="F62" s="937"/>
      <c r="G62" s="1119"/>
      <c r="H62" s="933">
        <f t="shared" si="28"/>
        <v>0</v>
      </c>
      <c r="I62" s="930"/>
      <c r="J62" s="1120"/>
      <c r="K62" s="930"/>
      <c r="L62" s="933">
        <f t="shared" si="29"/>
        <v>2.6967648223282072</v>
      </c>
      <c r="M62" s="941"/>
      <c r="N62" s="931"/>
      <c r="O62" s="931"/>
      <c r="P62" s="937"/>
      <c r="Q62" s="1073">
        <v>0.36299999999999999</v>
      </c>
      <c r="R62" s="937"/>
      <c r="S62" s="1073">
        <v>0</v>
      </c>
      <c r="T62" s="1073">
        <v>0.71476482232820748</v>
      </c>
      <c r="U62" s="1073">
        <v>1.619</v>
      </c>
      <c r="V62" s="1073">
        <v>0</v>
      </c>
      <c r="W62" s="937"/>
      <c r="X62" s="937"/>
      <c r="Y62" s="931"/>
      <c r="Z62" s="930"/>
      <c r="AA62" s="939">
        <v>12.942534033472208</v>
      </c>
      <c r="AB62" s="937">
        <f t="shared" si="30"/>
        <v>4.6418080426845656E-2</v>
      </c>
      <c r="AC62" s="1121"/>
      <c r="AD62" s="941"/>
      <c r="AE62" s="936">
        <v>4.6418080426845656E-2</v>
      </c>
      <c r="AF62" s="936"/>
      <c r="AG62" s="936"/>
      <c r="AH62" s="936">
        <v>0</v>
      </c>
      <c r="AI62" s="936"/>
      <c r="AJ62" s="936"/>
      <c r="AK62" s="936"/>
      <c r="AL62" s="936">
        <v>0</v>
      </c>
      <c r="AM62" s="932">
        <v>0</v>
      </c>
      <c r="AN62" s="933"/>
      <c r="AO62" s="939">
        <v>234.42875082725587</v>
      </c>
      <c r="AP62" s="937"/>
      <c r="AQ62" s="940">
        <f t="shared" si="13"/>
        <v>250.12146671085156</v>
      </c>
      <c r="AS62" s="15"/>
    </row>
    <row r="63" spans="1:45" ht="12.75" customHeight="1">
      <c r="A63" s="545" t="s">
        <v>810</v>
      </c>
      <c r="B63" s="1115" t="s">
        <v>811</v>
      </c>
      <c r="C63" s="929">
        <f t="shared" si="27"/>
        <v>5.799127819548873E-2</v>
      </c>
      <c r="D63" s="1100">
        <v>5.799127819548873E-2</v>
      </c>
      <c r="E63" s="937"/>
      <c r="F63" s="937"/>
      <c r="G63" s="1119"/>
      <c r="H63" s="933">
        <f t="shared" si="28"/>
        <v>0</v>
      </c>
      <c r="I63" s="930"/>
      <c r="J63" s="1120"/>
      <c r="K63" s="930"/>
      <c r="L63" s="933">
        <f t="shared" si="29"/>
        <v>3.8680994311273493</v>
      </c>
      <c r="M63" s="941"/>
      <c r="N63" s="931"/>
      <c r="O63" s="931"/>
      <c r="P63" s="937"/>
      <c r="Q63" s="1122">
        <v>0.68400000000000005</v>
      </c>
      <c r="R63" s="937"/>
      <c r="S63" s="1122">
        <v>0</v>
      </c>
      <c r="T63" s="1122">
        <v>0.16909943112734929</v>
      </c>
      <c r="U63" s="1122">
        <v>3.0150000000000001</v>
      </c>
      <c r="V63" s="1122">
        <v>0</v>
      </c>
      <c r="W63" s="937"/>
      <c r="X63" s="937"/>
      <c r="Y63" s="931"/>
      <c r="Z63" s="930"/>
      <c r="AA63" s="1123">
        <v>11.636733155824563</v>
      </c>
      <c r="AB63" s="937">
        <f t="shared" si="30"/>
        <v>0.34769769678222129</v>
      </c>
      <c r="AC63" s="1121"/>
      <c r="AD63" s="941"/>
      <c r="AE63" s="936">
        <v>0.34769769678222129</v>
      </c>
      <c r="AF63" s="936"/>
      <c r="AG63" s="936"/>
      <c r="AH63" s="936">
        <v>0</v>
      </c>
      <c r="AI63" s="936"/>
      <c r="AJ63" s="936"/>
      <c r="AK63" s="936"/>
      <c r="AL63" s="936">
        <v>0</v>
      </c>
      <c r="AM63" s="932">
        <v>0</v>
      </c>
      <c r="AN63" s="933"/>
      <c r="AO63" s="1123">
        <v>42.659809837330151</v>
      </c>
      <c r="AP63" s="937"/>
      <c r="AQ63" s="940">
        <f t="shared" si="13"/>
        <v>58.570331399259771</v>
      </c>
      <c r="AS63" s="15"/>
    </row>
    <row r="64" spans="1:45" ht="12.75" customHeight="1">
      <c r="A64" s="546" t="s">
        <v>812</v>
      </c>
      <c r="B64" s="1124"/>
      <c r="C64" s="988">
        <f t="shared" si="27"/>
        <v>6.9989473684210534E-3</v>
      </c>
      <c r="D64" s="1100">
        <v>6.9989473684210534E-3</v>
      </c>
      <c r="E64" s="994"/>
      <c r="F64" s="994"/>
      <c r="G64" s="1125"/>
      <c r="H64" s="992">
        <f t="shared" si="28"/>
        <v>0</v>
      </c>
      <c r="I64" s="1102"/>
      <c r="J64" s="1126"/>
      <c r="K64" s="1102"/>
      <c r="L64" s="992">
        <f t="shared" si="29"/>
        <v>21.167960484132237</v>
      </c>
      <c r="M64" s="1103"/>
      <c r="N64" s="1127"/>
      <c r="O64" s="1127"/>
      <c r="P64" s="994"/>
      <c r="Q64" s="1122">
        <v>3.5760000000000001</v>
      </c>
      <c r="R64" s="994"/>
      <c r="S64" s="1122">
        <v>0</v>
      </c>
      <c r="T64" s="1122">
        <v>7.2499604841322363</v>
      </c>
      <c r="U64" s="1122">
        <v>10.342000000000001</v>
      </c>
      <c r="V64" s="1122">
        <v>0</v>
      </c>
      <c r="W64" s="994"/>
      <c r="X64" s="994"/>
      <c r="Y64" s="1127"/>
      <c r="Z64" s="1102"/>
      <c r="AA64" s="1123">
        <v>75.286411499746805</v>
      </c>
      <c r="AB64" s="994">
        <f t="shared" si="30"/>
        <v>17.961167522617405</v>
      </c>
      <c r="AC64" s="1128"/>
      <c r="AD64" s="1103"/>
      <c r="AE64" s="990">
        <v>1.3377905023848295</v>
      </c>
      <c r="AF64" s="990"/>
      <c r="AG64" s="990"/>
      <c r="AH64" s="990">
        <v>0.80443075440000011</v>
      </c>
      <c r="AI64" s="990"/>
      <c r="AJ64" s="990"/>
      <c r="AK64" s="990"/>
      <c r="AL64" s="990">
        <v>0.16649466165720572</v>
      </c>
      <c r="AM64" s="991">
        <v>15.65245160417537</v>
      </c>
      <c r="AN64" s="992"/>
      <c r="AO64" s="1123">
        <v>117.80724543035701</v>
      </c>
      <c r="AP64" s="994"/>
      <c r="AQ64" s="997">
        <f t="shared" si="13"/>
        <v>232.22978388422189</v>
      </c>
      <c r="AS64" s="15"/>
    </row>
    <row r="65" spans="1:45" ht="12.75" customHeight="1">
      <c r="A65" s="61" t="s">
        <v>813</v>
      </c>
      <c r="B65" s="1104"/>
      <c r="C65" s="988">
        <f>SUM(D65:G65)</f>
        <v>4.9992481203007515E-3</v>
      </c>
      <c r="D65" s="1111">
        <f>SUM(D66:D69)</f>
        <v>4.9992481203007515E-3</v>
      </c>
      <c r="E65" s="1078"/>
      <c r="F65" s="1078"/>
      <c r="G65" s="1079"/>
      <c r="H65" s="992">
        <f>SUM(I65:K65)</f>
        <v>0</v>
      </c>
      <c r="I65" s="989"/>
      <c r="J65" s="993">
        <v>0</v>
      </c>
      <c r="K65" s="990">
        <v>0</v>
      </c>
      <c r="L65" s="992">
        <f>SUM(M65:Z65)</f>
        <v>131.70414755360989</v>
      </c>
      <c r="M65" s="990"/>
      <c r="N65" s="991"/>
      <c r="O65" s="991"/>
      <c r="P65" s="1078"/>
      <c r="Q65" s="1110">
        <v>46.986000000000004</v>
      </c>
      <c r="R65" s="1078"/>
      <c r="S65" s="1110">
        <v>0.64284746861564912</v>
      </c>
      <c r="T65" s="1110">
        <v>29.45030008499424</v>
      </c>
      <c r="U65" s="1110">
        <v>54.625</v>
      </c>
      <c r="V65" s="1110">
        <f>SUM(V66:V69)</f>
        <v>0</v>
      </c>
      <c r="W65" s="1078"/>
      <c r="X65" s="1078"/>
      <c r="Y65" s="991"/>
      <c r="Z65" s="990"/>
      <c r="AA65" s="1108">
        <v>122.10424162825494</v>
      </c>
      <c r="AB65" s="994">
        <f>SUM(AC65:AM65)</f>
        <v>18.910018360553575</v>
      </c>
      <c r="AC65" s="995"/>
      <c r="AD65" s="990"/>
      <c r="AE65" s="990">
        <f>SUM(AE66:AE69)</f>
        <v>14.092704380157992</v>
      </c>
      <c r="AF65" s="990"/>
      <c r="AG65" s="990"/>
      <c r="AH65" s="990">
        <v>4.8173139803955838</v>
      </c>
      <c r="AI65" s="990"/>
      <c r="AJ65" s="990"/>
      <c r="AK65" s="990"/>
      <c r="AL65" s="990"/>
      <c r="AM65" s="991"/>
      <c r="AN65" s="992"/>
      <c r="AO65" s="1108">
        <v>249.83924335957121</v>
      </c>
      <c r="AP65" s="994"/>
      <c r="AQ65" s="1129">
        <f t="shared" si="13"/>
        <v>522.5626501501099</v>
      </c>
      <c r="AS65" s="15"/>
    </row>
    <row r="66" spans="1:45" ht="12.75" customHeight="1">
      <c r="A66" s="547" t="s">
        <v>814</v>
      </c>
      <c r="B66" s="1130" t="s">
        <v>815</v>
      </c>
      <c r="C66" s="976">
        <f t="shared" ref="C66:C69" si="34">SUM(D66:G66)</f>
        <v>2.9995488721804514E-3</v>
      </c>
      <c r="D66" s="983">
        <v>2.9995488721804514E-3</v>
      </c>
      <c r="E66" s="1025"/>
      <c r="F66" s="1025"/>
      <c r="G66" s="1131"/>
      <c r="H66" s="980">
        <f t="shared" ref="H66:H69" si="35">SUM(I66:K66)</f>
        <v>0</v>
      </c>
      <c r="I66" s="1023"/>
      <c r="J66" s="981"/>
      <c r="K66" s="1132"/>
      <c r="L66" s="980">
        <f t="shared" ref="L66:L69" si="36">SUM(M66:Z66)</f>
        <v>4.8361472478110468</v>
      </c>
      <c r="M66" s="1023"/>
      <c r="N66" s="1025"/>
      <c r="O66" s="979"/>
      <c r="P66" s="1025"/>
      <c r="Q66" s="1025">
        <v>0.13</v>
      </c>
      <c r="R66" s="1025"/>
      <c r="S66" s="1025">
        <v>3.1863567217628209E-3</v>
      </c>
      <c r="T66" s="1025">
        <v>1.1339608910892836</v>
      </c>
      <c r="U66" s="1025">
        <v>3.569</v>
      </c>
      <c r="V66" s="1025">
        <v>0</v>
      </c>
      <c r="W66" s="1025"/>
      <c r="X66" s="1025"/>
      <c r="Y66" s="979"/>
      <c r="Z66" s="978"/>
      <c r="AA66" s="984">
        <v>6.2855711462293291</v>
      </c>
      <c r="AB66" s="982">
        <f t="shared" ref="AB66:AB69" si="37">SUM(AC66:AM66)</f>
        <v>4.8181897932338265</v>
      </c>
      <c r="AC66" s="983"/>
      <c r="AD66" s="978"/>
      <c r="AE66" s="978">
        <v>8.7581283824237082E-4</v>
      </c>
      <c r="AF66" s="978"/>
      <c r="AG66" s="978"/>
      <c r="AH66" s="978">
        <v>4.8173139803955838</v>
      </c>
      <c r="AI66" s="978"/>
      <c r="AJ66" s="978"/>
      <c r="AK66" s="978"/>
      <c r="AL66" s="978"/>
      <c r="AM66" s="979"/>
      <c r="AN66" s="980"/>
      <c r="AO66" s="984">
        <v>62.066112125563578</v>
      </c>
      <c r="AP66" s="982"/>
      <c r="AQ66" s="1009">
        <f t="shared" si="13"/>
        <v>78.009019861709959</v>
      </c>
      <c r="AS66" s="15"/>
    </row>
    <row r="67" spans="1:45" ht="12.75" customHeight="1">
      <c r="A67" s="548" t="s">
        <v>816</v>
      </c>
      <c r="B67" s="1133">
        <v>84</v>
      </c>
      <c r="C67" s="929">
        <f t="shared" si="34"/>
        <v>1.9996992481203005E-3</v>
      </c>
      <c r="D67" s="1071">
        <v>1.9996992481203005E-3</v>
      </c>
      <c r="E67" s="1073"/>
      <c r="F67" s="1073"/>
      <c r="G67" s="1074"/>
      <c r="H67" s="933">
        <f t="shared" si="35"/>
        <v>0</v>
      </c>
      <c r="I67" s="1134"/>
      <c r="J67" s="935"/>
      <c r="K67" s="1135"/>
      <c r="L67" s="933">
        <f t="shared" si="36"/>
        <v>37.49597693290648</v>
      </c>
      <c r="M67" s="1134"/>
      <c r="N67" s="1073"/>
      <c r="O67" s="932"/>
      <c r="P67" s="1073"/>
      <c r="Q67" s="1064">
        <v>6.9249999999999998</v>
      </c>
      <c r="R67" s="1073"/>
      <c r="S67" s="1064">
        <v>0.36191701764689377</v>
      </c>
      <c r="T67" s="1064">
        <v>7.4190599152595853</v>
      </c>
      <c r="U67" s="1064">
        <v>22.79</v>
      </c>
      <c r="V67" s="1064">
        <v>0</v>
      </c>
      <c r="W67" s="1073"/>
      <c r="X67" s="1073"/>
      <c r="Y67" s="932"/>
      <c r="Z67" s="936"/>
      <c r="AA67" s="1076">
        <v>43.318633321580478</v>
      </c>
      <c r="AB67" s="937">
        <f t="shared" si="37"/>
        <v>3.0136719763919984</v>
      </c>
      <c r="AC67" s="938"/>
      <c r="AD67" s="936"/>
      <c r="AE67" s="936">
        <v>3.0136719763919984</v>
      </c>
      <c r="AF67" s="936"/>
      <c r="AG67" s="936"/>
      <c r="AH67" s="936">
        <v>0</v>
      </c>
      <c r="AI67" s="936"/>
      <c r="AJ67" s="936"/>
      <c r="AK67" s="936"/>
      <c r="AL67" s="936"/>
      <c r="AM67" s="932"/>
      <c r="AN67" s="933"/>
      <c r="AO67" s="1076">
        <v>90.275166794474018</v>
      </c>
      <c r="AP67" s="937"/>
      <c r="AQ67" s="940">
        <f t="shared" si="13"/>
        <v>174.1054487246011</v>
      </c>
      <c r="AS67" s="15"/>
    </row>
    <row r="68" spans="1:45" ht="12.75" customHeight="1">
      <c r="A68" s="545" t="s">
        <v>817</v>
      </c>
      <c r="B68" s="1115">
        <v>85</v>
      </c>
      <c r="C68" s="929">
        <f t="shared" si="34"/>
        <v>0</v>
      </c>
      <c r="D68" s="1071">
        <v>0</v>
      </c>
      <c r="E68" s="1073"/>
      <c r="F68" s="1073"/>
      <c r="G68" s="1074"/>
      <c r="H68" s="933">
        <f t="shared" si="35"/>
        <v>0</v>
      </c>
      <c r="I68" s="1134"/>
      <c r="J68" s="935"/>
      <c r="K68" s="1135"/>
      <c r="L68" s="933">
        <f t="shared" si="36"/>
        <v>63.764873205839493</v>
      </c>
      <c r="M68" s="1134"/>
      <c r="N68" s="1073"/>
      <c r="O68" s="932"/>
      <c r="P68" s="1073"/>
      <c r="Q68" s="1064">
        <v>27.067</v>
      </c>
      <c r="R68" s="1073"/>
      <c r="S68" s="1064">
        <v>5.416806426996796E-2</v>
      </c>
      <c r="T68" s="1064">
        <v>17.705705141569517</v>
      </c>
      <c r="U68" s="1064">
        <v>18.937999999999999</v>
      </c>
      <c r="V68" s="1064">
        <v>0</v>
      </c>
      <c r="W68" s="1073"/>
      <c r="X68" s="1073"/>
      <c r="Y68" s="932"/>
      <c r="Z68" s="936"/>
      <c r="AA68" s="1076">
        <v>27.252039348994288</v>
      </c>
      <c r="AB68" s="937">
        <f t="shared" si="37"/>
        <v>9.8108554139910407</v>
      </c>
      <c r="AC68" s="938"/>
      <c r="AD68" s="936"/>
      <c r="AE68" s="936">
        <v>9.8108554139910407</v>
      </c>
      <c r="AF68" s="936"/>
      <c r="AG68" s="936"/>
      <c r="AH68" s="936">
        <v>0</v>
      </c>
      <c r="AI68" s="936"/>
      <c r="AJ68" s="936"/>
      <c r="AK68" s="936"/>
      <c r="AL68" s="936"/>
      <c r="AM68" s="932"/>
      <c r="AN68" s="933"/>
      <c r="AO68" s="1076">
        <v>58.093005834167748</v>
      </c>
      <c r="AP68" s="937"/>
      <c r="AQ68" s="940">
        <f t="shared" si="13"/>
        <v>158.92077380299256</v>
      </c>
      <c r="AS68" s="15"/>
    </row>
    <row r="69" spans="1:45" ht="12.75" customHeight="1">
      <c r="A69" s="546" t="s">
        <v>818</v>
      </c>
      <c r="B69" s="1124" t="s">
        <v>819</v>
      </c>
      <c r="C69" s="1094">
        <f t="shared" si="34"/>
        <v>0</v>
      </c>
      <c r="D69" s="995">
        <v>0</v>
      </c>
      <c r="E69" s="1078"/>
      <c r="F69" s="1078"/>
      <c r="G69" s="1079"/>
      <c r="H69" s="1096">
        <f t="shared" si="35"/>
        <v>0</v>
      </c>
      <c r="I69" s="1136"/>
      <c r="J69" s="993"/>
      <c r="K69" s="1137"/>
      <c r="L69" s="1096">
        <f t="shared" si="36"/>
        <v>25.607150167052879</v>
      </c>
      <c r="M69" s="1136"/>
      <c r="N69" s="1078"/>
      <c r="O69" s="991"/>
      <c r="P69" s="1078"/>
      <c r="Q69" s="1078">
        <v>12.864000000000001</v>
      </c>
      <c r="R69" s="1078"/>
      <c r="S69" s="1078">
        <v>0.22357602997702461</v>
      </c>
      <c r="T69" s="1078">
        <v>3.191574137075853</v>
      </c>
      <c r="U69" s="1078">
        <v>9.3279999999999994</v>
      </c>
      <c r="V69" s="1078">
        <v>0</v>
      </c>
      <c r="W69" s="1078"/>
      <c r="X69" s="1078"/>
      <c r="Y69" s="991"/>
      <c r="Z69" s="990"/>
      <c r="AA69" s="996">
        <v>45.247997811450865</v>
      </c>
      <c r="AB69" s="1099">
        <f t="shared" si="37"/>
        <v>1.2673011769367108</v>
      </c>
      <c r="AC69" s="1100"/>
      <c r="AD69" s="1093"/>
      <c r="AE69" s="1093">
        <v>1.2673011769367108</v>
      </c>
      <c r="AF69" s="1093"/>
      <c r="AG69" s="1093"/>
      <c r="AH69" s="1093">
        <v>0</v>
      </c>
      <c r="AI69" s="1093"/>
      <c r="AJ69" s="1093"/>
      <c r="AK69" s="1093"/>
      <c r="AL69" s="1093"/>
      <c r="AM69" s="1095"/>
      <c r="AN69" s="1096"/>
      <c r="AO69" s="996">
        <v>39.40495860536587</v>
      </c>
      <c r="AP69" s="1099"/>
      <c r="AQ69" s="1101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1011"/>
      <c r="C70" s="1012">
        <f>SUM(D70:G70)</f>
        <v>0</v>
      </c>
      <c r="D70" s="1138">
        <v>0</v>
      </c>
      <c r="E70" s="1139"/>
      <c r="F70" s="1140"/>
      <c r="G70" s="1140"/>
      <c r="H70" s="1016">
        <f>SUM(I70:K70)</f>
        <v>0</v>
      </c>
      <c r="I70" s="1138"/>
      <c r="J70" s="1141"/>
      <c r="K70" s="1139"/>
      <c r="L70" s="1016">
        <f>SUM(M70:Z70)</f>
        <v>175.46549158593075</v>
      </c>
      <c r="M70" s="1139"/>
      <c r="N70" s="1139"/>
      <c r="O70" s="1139"/>
      <c r="P70" s="1139">
        <v>0</v>
      </c>
      <c r="Q70" s="1139">
        <v>0</v>
      </c>
      <c r="R70" s="1139"/>
      <c r="S70" s="1139"/>
      <c r="T70" s="549">
        <v>0</v>
      </c>
      <c r="U70" s="1139">
        <v>175.46549158593075</v>
      </c>
      <c r="V70" s="978"/>
      <c r="W70" s="1140"/>
      <c r="X70" s="1140"/>
      <c r="Y70" s="1140"/>
      <c r="Z70" s="1139"/>
      <c r="AA70" s="1016">
        <v>0</v>
      </c>
      <c r="AB70" s="1017">
        <f>SUM(AC70:AM70)</f>
        <v>0</v>
      </c>
      <c r="AC70" s="1142"/>
      <c r="AD70" s="1139"/>
      <c r="AE70" s="1139"/>
      <c r="AF70" s="1139"/>
      <c r="AG70" s="1139"/>
      <c r="AH70" s="1139"/>
      <c r="AI70" s="1139"/>
      <c r="AJ70" s="1139"/>
      <c r="AK70" s="1138"/>
      <c r="AL70" s="1140"/>
      <c r="AM70" s="1139"/>
      <c r="AN70" s="1016"/>
      <c r="AO70" s="1016">
        <v>47.988</v>
      </c>
      <c r="AP70" s="1017"/>
      <c r="AQ70" s="1008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87"/>
      <c r="C71" s="988">
        <f>SUM(D71:G71)</f>
        <v>0</v>
      </c>
      <c r="D71" s="989"/>
      <c r="E71" s="990"/>
      <c r="F71" s="991"/>
      <c r="G71" s="991"/>
      <c r="H71" s="992">
        <f>SUM(I71:K71)</f>
        <v>0</v>
      </c>
      <c r="I71" s="989"/>
      <c r="J71" s="993"/>
      <c r="K71" s="990"/>
      <c r="L71" s="992">
        <f>SUM(M71:Z71)</f>
        <v>27.249865733664667</v>
      </c>
      <c r="M71" s="990"/>
      <c r="N71" s="990"/>
      <c r="O71" s="990"/>
      <c r="P71" s="990"/>
      <c r="Q71" s="990"/>
      <c r="R71" s="990"/>
      <c r="S71" s="990"/>
      <c r="T71" s="990"/>
      <c r="U71" s="1103">
        <v>27.249865733664667</v>
      </c>
      <c r="V71" s="990"/>
      <c r="W71" s="991"/>
      <c r="X71" s="991"/>
      <c r="Y71" s="991"/>
      <c r="Z71" s="990"/>
      <c r="AA71" s="992"/>
      <c r="AB71" s="994">
        <f>SUM(AC71:AM71)</f>
        <v>0</v>
      </c>
      <c r="AC71" s="995"/>
      <c r="AD71" s="990"/>
      <c r="AE71" s="990"/>
      <c r="AF71" s="990"/>
      <c r="AG71" s="990"/>
      <c r="AH71" s="990"/>
      <c r="AI71" s="990"/>
      <c r="AJ71" s="990"/>
      <c r="AK71" s="989"/>
      <c r="AL71" s="991"/>
      <c r="AM71" s="990"/>
      <c r="AN71" s="992"/>
      <c r="AO71" s="996"/>
      <c r="AP71" s="994"/>
      <c r="AQ71" s="1129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1039"/>
      <c r="C72" s="1040">
        <f t="shared" ref="C72:AP72" si="38">C26-C27-C29</f>
        <v>-2.5795347028326319</v>
      </c>
      <c r="D72" s="1041">
        <f t="shared" si="38"/>
        <v>0.17716668219679832</v>
      </c>
      <c r="E72" s="1042">
        <f t="shared" si="38"/>
        <v>-3.4486883993195221</v>
      </c>
      <c r="F72" s="1046">
        <f t="shared" si="38"/>
        <v>0</v>
      </c>
      <c r="G72" s="1046">
        <f t="shared" si="38"/>
        <v>0.69246574229020652</v>
      </c>
      <c r="H72" s="1043">
        <f t="shared" si="38"/>
        <v>1.9457250152908045</v>
      </c>
      <c r="I72" s="1041">
        <f t="shared" si="38"/>
        <v>-0.45741265470912973</v>
      </c>
      <c r="J72" s="1044">
        <f t="shared" si="38"/>
        <v>0</v>
      </c>
      <c r="K72" s="1042">
        <f t="shared" si="38"/>
        <v>2.4031376700000067</v>
      </c>
      <c r="L72" s="1043">
        <f t="shared" si="38"/>
        <v>2.3431242304332045</v>
      </c>
      <c r="M72" s="1042">
        <f t="shared" si="38"/>
        <v>0</v>
      </c>
      <c r="N72" s="1042">
        <f t="shared" si="38"/>
        <v>-0.14794174855289199</v>
      </c>
      <c r="O72" s="1042">
        <f t="shared" si="38"/>
        <v>-5.2567080980734033</v>
      </c>
      <c r="P72" s="1042">
        <f t="shared" si="38"/>
        <v>-25.023756688637718</v>
      </c>
      <c r="Q72" s="1042">
        <f t="shared" si="38"/>
        <v>14.717063728640028</v>
      </c>
      <c r="R72" s="1042">
        <f t="shared" si="38"/>
        <v>4.1043924247198902</v>
      </c>
      <c r="S72" s="1042">
        <f t="shared" si="38"/>
        <v>8.0001198650984477</v>
      </c>
      <c r="T72" s="1042">
        <f t="shared" si="38"/>
        <v>6.5570336698137908</v>
      </c>
      <c r="U72" s="1042">
        <f t="shared" si="38"/>
        <v>-8.9389207362023626</v>
      </c>
      <c r="V72" s="1042">
        <f t="shared" si="38"/>
        <v>0.82532907951215861</v>
      </c>
      <c r="W72" s="1046">
        <f t="shared" si="38"/>
        <v>7.506512734116022</v>
      </c>
      <c r="X72" s="1046">
        <f t="shared" si="38"/>
        <v>0</v>
      </c>
      <c r="Y72" s="1046">
        <f t="shared" si="38"/>
        <v>0</v>
      </c>
      <c r="Z72" s="1042">
        <f t="shared" si="38"/>
        <v>0</v>
      </c>
      <c r="AA72" s="1043">
        <f t="shared" si="38"/>
        <v>-40.274710307198575</v>
      </c>
      <c r="AB72" s="1045">
        <f t="shared" si="38"/>
        <v>-2.4161461805547901</v>
      </c>
      <c r="AC72" s="1143">
        <f t="shared" si="38"/>
        <v>0</v>
      </c>
      <c r="AD72" s="1042">
        <f t="shared" si="38"/>
        <v>0</v>
      </c>
      <c r="AE72" s="1042">
        <f t="shared" si="38"/>
        <v>-4.7196692573067764</v>
      </c>
      <c r="AF72" s="1042">
        <f t="shared" si="38"/>
        <v>0</v>
      </c>
      <c r="AG72" s="1042">
        <f t="shared" si="38"/>
        <v>0</v>
      </c>
      <c r="AH72" s="1042">
        <f t="shared" si="38"/>
        <v>0</v>
      </c>
      <c r="AI72" s="1042">
        <f t="shared" si="38"/>
        <v>1.6583711868479725</v>
      </c>
      <c r="AJ72" s="1042">
        <f t="shared" si="38"/>
        <v>0.64515188990400674</v>
      </c>
      <c r="AK72" s="1041">
        <f t="shared" si="38"/>
        <v>0</v>
      </c>
      <c r="AL72" s="1046">
        <f t="shared" si="38"/>
        <v>0</v>
      </c>
      <c r="AM72" s="1042">
        <f t="shared" si="38"/>
        <v>0</v>
      </c>
      <c r="AN72" s="1043">
        <f t="shared" si="38"/>
        <v>0</v>
      </c>
      <c r="AO72" s="1043">
        <f t="shared" si="38"/>
        <v>-35.693844343489218</v>
      </c>
      <c r="AP72" s="1045">
        <f t="shared" si="38"/>
        <v>0</v>
      </c>
      <c r="AQ72" s="1047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44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45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46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47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48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48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O51" sqref="O51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864" t="s">
        <v>635</v>
      </c>
      <c r="G2" s="865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866" t="s">
        <v>494</v>
      </c>
      <c r="G3" s="867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868" t="s">
        <v>209</v>
      </c>
      <c r="G4" s="869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870" t="s">
        <v>502</v>
      </c>
      <c r="G5" s="871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861" t="s">
        <v>220</v>
      </c>
      <c r="J7" s="862"/>
      <c r="K7" s="863"/>
      <c r="L7" s="861" t="s">
        <v>221</v>
      </c>
      <c r="M7" s="862"/>
      <c r="N7" s="863"/>
      <c r="O7" s="861" t="s">
        <v>222</v>
      </c>
      <c r="P7" s="862"/>
      <c r="Q7" s="863"/>
      <c r="R7" s="859" t="s">
        <v>223</v>
      </c>
      <c r="S7" s="861" t="s">
        <v>650</v>
      </c>
      <c r="T7" s="862"/>
      <c r="U7" s="862"/>
      <c r="V7" s="862"/>
      <c r="W7" s="862"/>
      <c r="X7" s="863"/>
      <c r="Y7" s="857" t="s">
        <v>713</v>
      </c>
      <c r="Z7" s="857" t="s">
        <v>503</v>
      </c>
      <c r="AA7" s="855" t="s">
        <v>772</v>
      </c>
      <c r="AD7" s="853" t="s">
        <v>842</v>
      </c>
      <c r="AE7" s="855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860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858"/>
      <c r="Z8" s="858"/>
      <c r="AA8" s="856" t="s">
        <v>659</v>
      </c>
      <c r="AD8" s="854"/>
      <c r="AE8" s="856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0.27353712269239377</v>
      </c>
      <c r="G13" s="644">
        <f>'SHWLP-Att'!$AC$14</f>
        <v>7.9425851662494829</v>
      </c>
      <c r="H13" s="645">
        <f>'SHWLP-Det'!$AC$14</f>
        <v>28.310640237098287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 t="shared" si="2"/>
        <v>48.186058070358115</v>
      </c>
      <c r="Z13" s="760">
        <f t="shared" si="0"/>
        <v>36.243917659777566</v>
      </c>
      <c r="AA13" s="354">
        <f>ABS(Z13+Z14+Z16-Y13)/(Z13+Z14+Z16)</f>
        <v>4.1698939568031439E-2</v>
      </c>
      <c r="AD13" s="25">
        <f>AJ12+AJ25</f>
        <v>43.727300517765926</v>
      </c>
      <c r="AE13" s="354">
        <f>ABS(AD13-Y13)/AD13</f>
        <v>0.10196736363317567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4.1698939568031439E-2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4.1698939568031439E-2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4.1698939568031439E-2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2.716343403455594</v>
      </c>
      <c r="G29" s="411">
        <f t="shared" ref="G29:K29" si="4">SUM(G9:G27)</f>
        <v>28.691693962403516</v>
      </c>
      <c r="H29" s="411">
        <f t="shared" si="4"/>
        <v>47.317713931203151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126.67340975639719</v>
      </c>
      <c r="Z29" s="596">
        <f>SUM(Z9:Z27)</f>
        <v>127.53920844574029</v>
      </c>
      <c r="AA29" s="354">
        <f>ABS(Z29-Y29)/Z29</f>
        <v>6.788490377932963E-3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78.72575129706226</v>
      </c>
      <c r="G30" s="412">
        <f>F30/$Y$29</f>
        <v>0.62148600443027469</v>
      </c>
      <c r="H30" s="302"/>
      <c r="I30" s="413">
        <f>SUM(I29:K29)</f>
        <v>22.733726276313782</v>
      </c>
      <c r="J30" s="412">
        <f>I30/$Y$29</f>
        <v>0.17946723246838073</v>
      </c>
      <c r="K30" s="302"/>
      <c r="L30" s="413">
        <f>SUM(L29:N29)</f>
        <v>4.9252824777426403</v>
      </c>
      <c r="M30" s="412">
        <f>L30/$Y$29</f>
        <v>3.8881739168578011E-2</v>
      </c>
      <c r="N30" s="302"/>
      <c r="O30" s="413">
        <f>SUM(O29:Q29)</f>
        <v>1.1487968357609819</v>
      </c>
      <c r="P30" s="412">
        <f>O30/$Y$29</f>
        <v>9.0689659177108084E-3</v>
      </c>
      <c r="Q30" s="302"/>
      <c r="R30" s="412">
        <f>R29/$Y$29</f>
        <v>2.1797435283994335E-2</v>
      </c>
      <c r="S30" s="413">
        <f>SUM(S29:X29)</f>
        <v>16.378697418149557</v>
      </c>
      <c r="T30" s="412">
        <f>S30/$Y$29</f>
        <v>0.12929862273106144</v>
      </c>
      <c r="U30" s="302"/>
      <c r="V30" s="302"/>
      <c r="W30" s="302"/>
      <c r="X30" s="302"/>
      <c r="Y30" s="414">
        <f>T30+R30+P30++M30+J30+G30</f>
        <v>1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78.72575129706226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849" t="s">
        <v>225</v>
      </c>
      <c r="S36" s="850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849" t="s">
        <v>226</v>
      </c>
      <c r="S37" s="850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849" t="s">
        <v>224</v>
      </c>
      <c r="S38" s="850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851" t="s">
        <v>227</v>
      </c>
      <c r="S39" s="852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873" t="s">
        <v>558</v>
      </c>
      <c r="C4" s="874"/>
      <c r="D4" s="874"/>
      <c r="E4" s="874"/>
      <c r="F4" s="874"/>
      <c r="G4" s="874"/>
      <c r="H4" s="874"/>
      <c r="I4" s="874"/>
      <c r="J4" s="874"/>
      <c r="K4" s="874"/>
      <c r="L4" s="874"/>
      <c r="O4" s="873" t="s">
        <v>560</v>
      </c>
      <c r="P4" s="874"/>
      <c r="Q4" s="874"/>
      <c r="R4" s="874"/>
      <c r="S4" s="874"/>
      <c r="T4" s="874"/>
      <c r="U4" s="874"/>
      <c r="V4" s="874"/>
      <c r="W4" s="874"/>
      <c r="X4" s="874"/>
      <c r="Y4" s="874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877" t="s">
        <v>567</v>
      </c>
      <c r="AZ18" s="877"/>
      <c r="BA18" s="877"/>
      <c r="BB18" s="877"/>
      <c r="BC18" s="877"/>
      <c r="BD18" s="877"/>
      <c r="BE18" s="877"/>
      <c r="BF18" s="877"/>
      <c r="BG18" s="877"/>
      <c r="BH18" s="877"/>
      <c r="BI18" s="877"/>
      <c r="BJ18" s="877"/>
      <c r="BL18" s="877" t="s">
        <v>875</v>
      </c>
      <c r="BM18" s="877"/>
      <c r="BN18" s="877"/>
      <c r="BO18" s="877"/>
      <c r="BP18" s="877"/>
      <c r="BQ18" s="877"/>
      <c r="BR18" s="877"/>
      <c r="BS18" s="877"/>
      <c r="BT18" s="877"/>
      <c r="BU18" s="877"/>
      <c r="BV18" s="877"/>
      <c r="BW18" s="877"/>
      <c r="BX18" s="877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873" t="s">
        <v>559</v>
      </c>
      <c r="C19" s="874"/>
      <c r="D19" s="874"/>
      <c r="E19" s="874"/>
      <c r="F19" s="874"/>
      <c r="G19" s="874"/>
      <c r="H19" s="874"/>
      <c r="I19" s="874"/>
      <c r="J19" s="874"/>
      <c r="K19" s="874"/>
      <c r="L19" s="874"/>
      <c r="M19" s="874"/>
      <c r="O19" s="873" t="s">
        <v>560</v>
      </c>
      <c r="P19" s="874"/>
      <c r="Q19" s="874"/>
      <c r="R19" s="874"/>
      <c r="S19" s="874"/>
      <c r="T19" s="874"/>
      <c r="U19" s="874"/>
      <c r="V19" s="874"/>
      <c r="W19" s="874"/>
      <c r="X19" s="874"/>
      <c r="Y19" s="874"/>
      <c r="Z19" s="874"/>
      <c r="AB19" s="873" t="s">
        <v>561</v>
      </c>
      <c r="AC19" s="874"/>
      <c r="AD19" s="874"/>
      <c r="AE19" s="874"/>
      <c r="AF19" s="874"/>
      <c r="AG19" s="874"/>
      <c r="AH19" s="874"/>
      <c r="AI19" s="874"/>
      <c r="AJ19" s="874"/>
      <c r="AK19" s="874"/>
      <c r="AL19" s="874"/>
      <c r="AN19" s="875" t="s">
        <v>562</v>
      </c>
      <c r="AO19" s="876"/>
      <c r="AP19" s="876"/>
      <c r="AQ19" s="876"/>
      <c r="AR19" s="876"/>
      <c r="AS19" s="876"/>
      <c r="AT19" s="876"/>
      <c r="AU19" s="876"/>
      <c r="AV19" s="876"/>
      <c r="AW19" s="876"/>
      <c r="AY19" s="872" t="s">
        <v>563</v>
      </c>
      <c r="AZ19" s="872"/>
      <c r="BA19" s="872"/>
      <c r="BB19" s="872"/>
      <c r="BC19" s="872"/>
      <c r="BD19" s="872"/>
      <c r="BE19" s="872"/>
      <c r="BF19" s="872"/>
      <c r="BG19" s="872"/>
      <c r="BH19" s="872"/>
      <c r="BI19" s="872"/>
      <c r="BJ19" s="872"/>
      <c r="BL19" s="872" t="s">
        <v>568</v>
      </c>
      <c r="BM19" s="872"/>
      <c r="BN19" s="872"/>
      <c r="BO19" s="872"/>
      <c r="BP19" s="872"/>
      <c r="BQ19" s="872"/>
      <c r="BR19" s="872"/>
      <c r="BS19" s="872"/>
      <c r="BT19" s="872"/>
      <c r="BU19" s="872"/>
      <c r="BV19" s="872"/>
      <c r="BW19" s="872"/>
      <c r="BX19" s="872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topLeftCell="A3" workbookViewId="0">
      <selection activeCell="J18" sqref="J1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246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B3" sqref="B3:G5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topLeftCell="H31" zoomScaleNormal="100" workbookViewId="0">
      <selection activeCell="U54" sqref="U54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878" t="s">
        <v>964</v>
      </c>
      <c r="O3" s="879"/>
      <c r="P3" s="878" t="s">
        <v>965</v>
      </c>
      <c r="Q3" s="879"/>
      <c r="R3" s="878" t="s">
        <v>966</v>
      </c>
      <c r="S3" s="879"/>
      <c r="T3" s="878" t="s">
        <v>967</v>
      </c>
      <c r="U3" s="880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1.6091636703289764E-3</v>
      </c>
      <c r="N6" s="825">
        <f>AR48*DwellingStocks!P18*(1+O53)</f>
        <v>1.6091636703289764E-3</v>
      </c>
      <c r="O6" s="826">
        <f>N6*G6</f>
        <v>5.9836869720277318E-2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1.2603603215973543E-2</v>
      </c>
      <c r="N11" s="807">
        <f>AR49*DwellingStocks!P19*(1+O53)</f>
        <v>1.2603603215973543E-2</v>
      </c>
      <c r="O11" s="800">
        <f>N11*G11</f>
        <v>0.12021037448470971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1.9962815705499223E-2</v>
      </c>
      <c r="N16" s="825">
        <f>AR50*DwellingStocks!P20*(1+O53)</f>
        <v>1.9962815705499223E-2</v>
      </c>
      <c r="O16" s="826">
        <f>N16*G16</f>
        <v>0.35024945717297923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2.3880087312967643E-2</v>
      </c>
      <c r="N21" s="807">
        <f>AR51*DwellingStocks!P21*(1+O53)</f>
        <v>2.3880087312967643E-2</v>
      </c>
      <c r="O21" s="800">
        <f>N21*G21</f>
        <v>1.1884844759659581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885" t="s">
        <v>897</v>
      </c>
      <c r="AG24" s="886"/>
      <c r="AH24" s="886"/>
      <c r="AI24" s="886"/>
      <c r="AJ24" s="887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888" t="s">
        <v>898</v>
      </c>
      <c r="AG25" s="889"/>
      <c r="AH25" s="888" t="s">
        <v>899</v>
      </c>
      <c r="AI25" s="889"/>
      <c r="AJ25" s="890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2.0324283757671095E-2</v>
      </c>
      <c r="N26" s="825">
        <f>AR52*DwellingStocks!P22*(1+O53)</f>
        <v>2.0324283757671095E-2</v>
      </c>
      <c r="O26" s="826">
        <f>N26*G26</f>
        <v>5.7345277070754017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891">
        <v>3.5000000000000001E-3</v>
      </c>
      <c r="AG26" s="892"/>
      <c r="AH26" s="891">
        <v>0.83330000000000004</v>
      </c>
      <c r="AI26" s="893"/>
      <c r="AJ26" s="894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2.8990562100458198E-2</v>
      </c>
      <c r="N31" s="807">
        <f>AR53*DwellingStocks!P23*(1+O53)</f>
        <v>2.8990562100458198E-2</v>
      </c>
      <c r="O31" s="800">
        <f>N31*G31</f>
        <v>5.4394128439331855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3.9529383884159067E-2</v>
      </c>
      <c r="N36" s="825">
        <f>AR54*DwellingStocks!P24*(1+O53)</f>
        <v>3.9529383884159067E-2</v>
      </c>
      <c r="O36" s="826">
        <f>N36*G36</f>
        <v>4.0090264715834287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881" t="s">
        <v>607</v>
      </c>
      <c r="Y39" s="882"/>
      <c r="Z39" s="882"/>
      <c r="AA39" s="882"/>
      <c r="AB39" s="883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5.0493263338740123E-2</v>
      </c>
      <c r="N41" s="807">
        <f>AR55*DwellingStocks!P25*(1+O53)</f>
        <v>5.0493263338740123E-2</v>
      </c>
      <c r="O41" s="800">
        <f>N41*G41</f>
        <v>2.5309145372774569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5.2195880415110009E-2</v>
      </c>
      <c r="N46" s="825">
        <f>AR56*DwellingStocks!P26*(1+O53)</f>
        <v>5.2195880415110009E-2</v>
      </c>
      <c r="O46" s="826">
        <f>N46*G46</f>
        <v>2.7510712737519634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22.183734010965356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0.23056616019700696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22.183734010965363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31.116384289569389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-3.2029897915692673E-16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4.331560537627104E-4</v>
      </c>
      <c r="N56" s="825">
        <f>ABS(AR33*DwellingStocks!O18*(1+O103))</f>
        <v>4.331560537627104E-4</v>
      </c>
      <c r="O56" s="826">
        <f>N56*G56</f>
        <v>6.2547296055470783E-3</v>
      </c>
      <c r="P56" s="827"/>
      <c r="Q56" s="828"/>
      <c r="R56" s="827"/>
      <c r="S56" s="828"/>
      <c r="T56" s="826"/>
      <c r="U56" s="828"/>
      <c r="W56" s="25"/>
      <c r="X56" s="881" t="s">
        <v>836</v>
      </c>
      <c r="Y56" s="882"/>
      <c r="Z56" s="882"/>
      <c r="AA56" s="882"/>
      <c r="AB56" s="883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6.5085678239306492E-3</v>
      </c>
      <c r="N61" s="825">
        <f>ABS(AR34*DwellingStocks!O19*(1+$O$103))</f>
        <v>6.5085678239306492E-3</v>
      </c>
      <c r="O61" s="826">
        <f>N61*G61</f>
        <v>4.8549303629916225E-2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884" t="s">
        <v>619</v>
      </c>
      <c r="Y65" s="884"/>
      <c r="Z65" s="884"/>
      <c r="AA65" s="884"/>
      <c r="AB65" s="884"/>
      <c r="AC65" s="884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1.1604149295966827E-2</v>
      </c>
      <c r="N66" s="825">
        <f>ABS(AR35*DwellingStocks!O20*(1+$O$103))</f>
        <v>1.1604149295966827E-2</v>
      </c>
      <c r="O66" s="826">
        <f>N66*G66</f>
        <v>0.16294369392748237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1.565892399690914E-2</v>
      </c>
      <c r="N71" s="825">
        <f>ABS(AR36*DwellingStocks!O21*(1+$O$103))</f>
        <v>1.565892399690914E-2</v>
      </c>
      <c r="O71" s="826">
        <f>N71*G71</f>
        <v>0.31199592387090691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1.1393701596871319E-2</v>
      </c>
      <c r="N76" s="825">
        <f>ABS(AR37*DwellingStocks!O22*(1+$O$103))</f>
        <v>1.1393701596871319E-2</v>
      </c>
      <c r="O76" s="826">
        <f>N76*G76</f>
        <v>0.67114375297708584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1.2463453879725228E-2</v>
      </c>
      <c r="N81" s="825">
        <f>ABS(AR38*DwellingStocks!O23*(1+$O$103))</f>
        <v>1.2463453879725228E-2</v>
      </c>
      <c r="O81" s="826">
        <f>N81*G81</f>
        <v>0.54514326737317942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1.664504811021596E-2</v>
      </c>
      <c r="N86" s="825">
        <f>ABS(AR39*DwellingStocks!O24*(1+$O$103))</f>
        <v>1.664504811021596E-2</v>
      </c>
      <c r="O86" s="826">
        <f>N86*G86</f>
        <v>0.42890754358721433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2.2624147760265865E-2</v>
      </c>
      <c r="N91" s="825">
        <f>ABS(AR40*DwellingStocks!O25*(1+$O$103))</f>
        <v>2.2624147760265865E-2</v>
      </c>
      <c r="O91" s="826">
        <f>N91*G91</f>
        <v>0.27898228514245882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2.7338413527361719E-2</v>
      </c>
      <c r="N96" s="825">
        <f>ABS(AR41*DwellingStocks!O26*(1+$O$103))</f>
        <v>2.7338413527361719E-2</v>
      </c>
      <c r="O96" s="826">
        <f>N96*G96</f>
        <v>0.41584931618590276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2.8697698162996939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0.47175177504235616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2.8697698162996943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5.5204921340915174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-1.5474732758276587E-16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7.4850772087983594E-3</v>
      </c>
      <c r="O106" s="826">
        <f>N106*G106</f>
        <v>0.23469988287301558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3.0559997490309392E-2</v>
      </c>
      <c r="O111" s="826">
        <f>N111*G111</f>
        <v>0.28829999701033465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4.8802175869536682E-2</v>
      </c>
      <c r="O116" s="826">
        <f>N116*G116</f>
        <v>0.98048203604058504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5.6399957295530954E-2</v>
      </c>
      <c r="O121" s="826">
        <f>N121*G121</f>
        <v>3.0154919632344543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4.1588486512146292E-2</v>
      </c>
      <c r="O126" s="826">
        <f>N126*G126</f>
        <v>10.451974080842161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4.8722431884518032E-2</v>
      </c>
      <c r="O131" s="826">
        <f>N131*G131</f>
        <v>8.120460114452781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6.1203049762218215E-2</v>
      </c>
      <c r="O136" s="826">
        <f>N136*G136</f>
        <v>4.9817261575350127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7.4785137730844137E-2</v>
      </c>
      <c r="O141" s="826">
        <f>N141*G141</f>
        <v>3.2337845716037208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7.860565036372226E-2</v>
      </c>
      <c r="O146" s="826">
        <f>N146*G146</f>
        <v>6.1654761179207425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37.472394921512809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0.25860412983962378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37.472394921512809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48.845433321899264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85.482309745560173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X65:AC65"/>
    <mergeCell ref="AF24:AJ24"/>
    <mergeCell ref="AF25:AG25"/>
    <mergeCell ref="AH25:AJ25"/>
    <mergeCell ref="AF26:AG26"/>
    <mergeCell ref="AH26:AJ26"/>
    <mergeCell ref="N3:O3"/>
    <mergeCell ref="P3:Q3"/>
    <mergeCell ref="T3:U3"/>
    <mergeCell ref="X39:AB39"/>
    <mergeCell ref="X56:AB56"/>
    <mergeCell ref="R3:S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I30" sqref="I30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 t="shared" ref="L5:L13" si="0"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1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2">R7</f>
        <v>R-RSDCK_GAS_X0</v>
      </c>
      <c r="D7" s="582" t="str">
        <f t="shared" ref="D7:D8" si="3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1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2"/>
        <v>R-RSDCK_LPG_X0</v>
      </c>
      <c r="D8" s="590" t="str">
        <f t="shared" si="3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4">(SUM(L8))/G8/K8</f>
        <v>1.0445583301088163E-2</v>
      </c>
      <c r="J8" s="590">
        <v>15</v>
      </c>
      <c r="K8" s="589">
        <f t="shared" si="1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5">R9</f>
        <v>R-RSDCW_X0</v>
      </c>
      <c r="D9" s="582" t="str">
        <f t="shared" si="5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1"/>
        <v>6.9379200000000002E-2</v>
      </c>
      <c r="L9" s="583">
        <f t="shared" si="0"/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5"/>
        <v>R-RSDCD_X0</v>
      </c>
      <c r="D10" s="590" t="str">
        <f t="shared" si="5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1"/>
        <v>7.8840000000000007E-2</v>
      </c>
      <c r="L10" s="589">
        <f t="shared" si="0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5"/>
        <v>R-RSDDW_X0</v>
      </c>
      <c r="D11" s="582" t="str">
        <f t="shared" si="5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1"/>
        <v>6.9379200000000002E-2</v>
      </c>
      <c r="L11" s="583">
        <f t="shared" si="0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5"/>
        <v>R-RSDOE_X0</v>
      </c>
      <c r="D12" s="590" t="str">
        <f t="shared" si="5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1"/>
        <v>5.6764799999999994E-3</v>
      </c>
      <c r="L12" s="589">
        <f t="shared" si="0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5"/>
        <v>R-RSDOA_X0</v>
      </c>
      <c r="D13" s="582" t="str">
        <f t="shared" si="5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1"/>
        <v>5.6764799999999994E-3</v>
      </c>
      <c r="L13" s="583">
        <f t="shared" si="0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884" t="s">
        <v>618</v>
      </c>
      <c r="C17" s="884"/>
      <c r="D17" s="884"/>
      <c r="E17" s="884"/>
      <c r="F17" s="884"/>
      <c r="G17" s="884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895" t="s">
        <v>824</v>
      </c>
      <c r="R19" s="896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zoomScale="60" zoomScaleNormal="60" workbookViewId="0">
      <selection activeCell="Q48" sqref="Q4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900" t="s">
        <v>641</v>
      </c>
      <c r="P16" s="900"/>
      <c r="Q16" s="900"/>
      <c r="R16" s="900" t="s">
        <v>642</v>
      </c>
      <c r="S16" s="900"/>
      <c r="T16" s="900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900" t="s">
        <v>572</v>
      </c>
      <c r="I17" s="900"/>
      <c r="J17" s="900"/>
      <c r="K17" s="900"/>
      <c r="L17" s="900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897" t="s">
        <v>288</v>
      </c>
      <c r="C48" s="898"/>
      <c r="D48" s="898"/>
      <c r="E48" s="898"/>
      <c r="F48" s="898"/>
      <c r="G48" s="898"/>
      <c r="H48" s="898"/>
      <c r="I48" s="898"/>
      <c r="J48" s="898"/>
      <c r="K48" s="898"/>
      <c r="L48" s="899"/>
      <c r="M48" s="906" t="s">
        <v>289</v>
      </c>
      <c r="N48" s="907"/>
      <c r="O48" s="908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900" t="s">
        <v>954</v>
      </c>
      <c r="AN50" s="900"/>
      <c r="AO50" s="900"/>
      <c r="AP50" s="900"/>
      <c r="AQ50" s="900"/>
      <c r="AR50" s="900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901" t="s">
        <v>350</v>
      </c>
      <c r="T82" s="902"/>
      <c r="U82" s="902"/>
      <c r="V82" s="902"/>
      <c r="W82" s="902"/>
      <c r="X82" s="902"/>
      <c r="Y82" s="902"/>
      <c r="Z82" s="903"/>
      <c r="AB82" s="904" t="s">
        <v>351</v>
      </c>
      <c r="AC82" s="904"/>
      <c r="AD82" s="904"/>
      <c r="AE82" s="904"/>
      <c r="AF82" s="905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904"/>
      <c r="AC83" s="904"/>
      <c r="AD83" s="904"/>
      <c r="AE83" s="904"/>
      <c r="AF83" s="905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AM50:AR50"/>
    <mergeCell ref="AB82:AF83"/>
    <mergeCell ref="M48:O48"/>
    <mergeCell ref="B48:L48"/>
    <mergeCell ref="H17:L17"/>
    <mergeCell ref="O16:Q16"/>
    <mergeCell ref="R16:T16"/>
    <mergeCell ref="S82:Z82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N19" zoomScale="70" zoomScaleNormal="70" workbookViewId="0">
      <selection activeCell="AB59" sqref="AB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909" t="s">
        <v>643</v>
      </c>
      <c r="C4" s="910"/>
      <c r="D4" s="910"/>
      <c r="E4" s="910"/>
      <c r="F4" s="910"/>
      <c r="G4" s="911"/>
      <c r="H4" s="909" t="s">
        <v>644</v>
      </c>
      <c r="I4" s="910"/>
      <c r="J4" s="911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(S14*1000)/E13*DwellingStocks!$R$27+0.16818</f>
        <v>1.3610633867748834</v>
      </c>
      <c r="U14" s="571">
        <f>G13/100</f>
        <v>0.81016216216216219</v>
      </c>
      <c r="V14" s="571">
        <f>AB14/S14/X14</f>
        <v>7.5994529972598868E-2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0.22160942675208639</v>
      </c>
      <c r="AC14" s="401">
        <f>IF(((D13+I13)*$B$2)&lt;=0,0,((D13+I13)*T14*$B$2))</f>
        <v>0.27353712269239377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2.8697698162996939</v>
      </c>
      <c r="AC27" s="382">
        <f>SUM(AC6:AC25)</f>
        <v>2.8492493430955395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909" t="s">
        <v>643</v>
      </c>
      <c r="C28" s="910"/>
      <c r="D28" s="910"/>
      <c r="E28" s="910"/>
      <c r="F28" s="910"/>
      <c r="G28" s="911"/>
      <c r="H28" s="909" t="s">
        <v>644</v>
      </c>
      <c r="I28" s="910"/>
      <c r="J28" s="91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COMM!$E$14&amp;","&amp;COMM!$E$17</f>
        <v>RSDGAS,RSDBGS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I24" zoomScale="60" zoomScaleNormal="60" workbookViewId="0">
      <selection activeCell="AB59" sqref="AB5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909" t="s">
        <v>643</v>
      </c>
      <c r="C4" s="910"/>
      <c r="D4" s="910"/>
      <c r="E4" s="910"/>
      <c r="F4" s="910"/>
      <c r="G4" s="911"/>
      <c r="H4" s="909" t="s">
        <v>644</v>
      </c>
      <c r="I4" s="910"/>
      <c r="J4" s="911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(S14*1000)/E13*DwellingStocks!$S$27+0.16818</f>
        <v>1.5322354957912319</v>
      </c>
      <c r="U14" s="569">
        <f>G13/100</f>
        <v>0.81941558441558437</v>
      </c>
      <c r="V14" s="569">
        <f>AB14/S14/X14</f>
        <v>4.3705701165065197E-2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6.5082780657728714</v>
      </c>
      <c r="AC14" s="394">
        <f>IF(((D13+I13)*$B$2)&lt;=0,0,((D13+I13)*T14*$B$2))</f>
        <v>7.9425851662494829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COMM!$E$14&amp;","&amp;COMM!$E$17</f>
        <v>RSDGAS,RSDBGS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22.183734010965356</v>
      </c>
      <c r="AC27" s="382">
        <f>SUM(AC6:AC25)</f>
        <v>28.77400866307255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909" t="s">
        <v>643</v>
      </c>
      <c r="C28" s="910"/>
      <c r="D28" s="910"/>
      <c r="E28" s="910"/>
      <c r="F28" s="910"/>
      <c r="G28" s="911"/>
      <c r="H28" s="909" t="s">
        <v>644</v>
      </c>
      <c r="I28" s="910"/>
      <c r="J28" s="911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COMM!$E$14&amp;","&amp;COMM!$E$17</f>
        <v>RSDGAS,RSDBGS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H1" zoomScale="60" zoomScaleNormal="60" workbookViewId="0">
      <selection activeCell="S27" sqref="S27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909" t="s">
        <v>643</v>
      </c>
      <c r="C4" s="910"/>
      <c r="D4" s="910"/>
      <c r="E4" s="910"/>
      <c r="F4" s="910"/>
      <c r="G4" s="911"/>
      <c r="H4" s="909" t="s">
        <v>644</v>
      </c>
      <c r="I4" s="910"/>
      <c r="J4" s="911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(S14*1000)/E13*DwellingStocks!$T$27+0.16818</f>
        <v>2.1696342124396311</v>
      </c>
      <c r="U14" s="569">
        <f>G13/100</f>
        <v>0.82280373831775711</v>
      </c>
      <c r="V14" s="569">
        <f>AB14/S14/X14</f>
        <v>4.815735405140293E-2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23.294100621253584</v>
      </c>
      <c r="AC14" s="394">
        <f>IF(((D13+I13)*$B$2)&lt;=0,0,((D13+I13)*T14*$B$2))</f>
        <v>28.310640237098287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COMM!$E$14&amp;","&amp;COMM!$E$17</f>
        <v>RSDGAS,RSDBGS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37.472394921512809</v>
      </c>
      <c r="AC27" s="382">
        <f>SUM(AC6:AC25)</f>
        <v>47.410321654805692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909" t="s">
        <v>643</v>
      </c>
      <c r="C28" s="910"/>
      <c r="D28" s="910"/>
      <c r="E28" s="910"/>
      <c r="F28" s="910"/>
      <c r="G28" s="911"/>
      <c r="H28" s="909" t="s">
        <v>644</v>
      </c>
      <c r="I28" s="910"/>
      <c r="J28" s="911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COMM!$E$14&amp;","&amp;COMM!$E$17</f>
        <v>RSDGAS,RSDBGS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912" t="s">
        <v>413</v>
      </c>
      <c r="B1" s="912"/>
      <c r="C1" s="912"/>
      <c r="D1" s="912"/>
      <c r="E1" s="912"/>
      <c r="F1" s="912"/>
      <c r="G1" s="912"/>
      <c r="H1" s="912"/>
      <c r="I1" s="91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912" t="s">
        <v>480</v>
      </c>
      <c r="B1" s="912"/>
      <c r="C1" s="912"/>
      <c r="D1" s="912"/>
      <c r="E1" s="912"/>
      <c r="F1" s="912"/>
      <c r="G1" s="912"/>
      <c r="H1" s="912"/>
      <c r="I1" s="91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912" t="s">
        <v>482</v>
      </c>
      <c r="B1" s="912"/>
      <c r="C1" s="912"/>
      <c r="D1" s="912"/>
      <c r="E1" s="912"/>
      <c r="F1" s="912"/>
      <c r="G1" s="912"/>
      <c r="H1" s="912"/>
      <c r="I1" s="912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2022-09-15T16:54:23Z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