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428818C5-000C-4ECC-8BBF-D53362690A6D}" xr6:coauthVersionLast="47" xr6:coauthVersionMax="47" xr10:uidLastSave="{00000000-0000-0000-0000-000000000000}"/>
  <bookViews>
    <workbookView xWindow="-120" yWindow="-120" windowWidth="29040" windowHeight="15720" activeTab="2"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71" i="56" l="1"/>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H26" i="56" l="1"/>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<sst xmlns="http://schemas.openxmlformats.org/spreadsheetml/2006/main" count="3184" uniqueCount="1147">
  <si>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</si>
  <si>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</si>
  <si>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</si>
  <si>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</si>
  <si>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</si>
  <si>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</si>
  <si>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</si>
  <si>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</si>
  <si>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</si>
  <si>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</si>
  <si>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</si>
  <si>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</si>
  <si>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</si>
  <si>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</si>
  <si>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</si>
  <si>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</si>
  <si>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</si>
  <si>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</si>
  <si>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</si>
  <si>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</si>
  <si>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</si>
  <si>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</si>
  <si>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</si>
  <si>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</si>
  <si>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</si>
  <si>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</si>
  <si>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</si>
  <si>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</si>
  <si>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</si>
  <si>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</si>
  <si>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</si>
  <si>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</si>
  <si>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</si>
  <si>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</si>
  <si>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</si>
  <si>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</si>
  <si>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</si>
  <si>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</si>
  <si>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</si>
  <si>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</si>
  <si>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</si>
  <si>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</si>
  <si>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</si>
  <si>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</si>
  <si>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</si>
  <si>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</si>
  <si>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</si>
  <si>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</si>
  <si>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</si>
  <si>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</si>
  <si>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</si>
  <si>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</si>
  <si>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</si>
  <si>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</si>
  <si>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</si>
  <si>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</si>
  <si>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</si>
  <si>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</si>
  <si>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</si>
  <si>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</si>
  <si>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</si>
  <si>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</si>
  <si>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</si>
  <si>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</si>
  <si>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</si>
  <si>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</si>
  <si>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</si>
  <si>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</si>
  <si>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</si>
  <si>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</si>
  <si>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</si>
  <si>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</si>
  <si>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</si>
  <si>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</si>
  <si>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</si>
  <si>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</si>
  <si>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</si>
  <si>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</si>
  <si>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</si>
  <si>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</si>
  <si>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</si>
  <si>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</si>
  <si>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</si>
  <si>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</si>
  <si>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</si>
  <si>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</si>
  <si>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</si>
  <si>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</si>
  <si>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</si>
  <si>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</si>
  <si>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</si>
  <si>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</si>
  <si>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</si>
  <si>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</si>
  <si>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</si>
  <si>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</si>
  <si>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</si>
  <si>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</si>
  <si>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</si>
  <si>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</si>
  <si>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</si>
  <si>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</si>
  <si>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</si>
  <si>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</si>
  <si>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</si>
  <si>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</si>
  <si>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</si>
  <si>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</si>
  <si>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</si>
  <si>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</si>
  <si>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</si>
  <si>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</si>
  <si>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</si>
  <si>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</si>
  <si>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</si>
  <si>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</si>
  <si>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</si>
  <si>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</si>
  <si>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</si>
  <si>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</si>
  <si>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</si>
  <si>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</si>
  <si>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</si>
  <si>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</si>
  <si>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</si>
  <si>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</si>
  <si>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</si>
  <si>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</si>
  <si>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</si>
  <si>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</si>
  <si>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</si>
  <si>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</si>
  <si>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</si>
  <si>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</si>
  <si>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</si>
  <si>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</si>
  <si>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</si>
  <si>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</si>
  <si>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</si>
  <si>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</si>
  <si>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</si>
  <si>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</si>
  <si>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</si>
  <si>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</si>
  <si>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</si>
  <si>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</si>
  <si>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</si>
  <si>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</si>
  <si>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</si>
  <si>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</si>
  <si>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</si>
  <si>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</si>
  <si>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</si>
  <si>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</si>
  <si>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</si>
  <si>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</si>
  <si>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</si>
  <si>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</si>
  <si>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</si>
  <si>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</si>
  <si>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</si>
  <si>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</si>
  <si>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</si>
  <si>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</si>
  <si>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</si>
  <si>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</si>
  <si>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</si>
  <si>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</si>
  <si>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</si>
  <si>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</si>
  <si>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</si>
  <si>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</si>
  <si>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</si>
  <si>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</si>
  <si>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</si>
  <si>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</si>
  <si>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</si>
  <si>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</si>
  <si>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</si>
  <si>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</si>
  <si>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</si>
  <si>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</si>
  <si>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</si>
  <si>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</si>
  <si>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</si>
  <si>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</si>
  <si>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</si>
  <si>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</si>
  <si>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</si>
  <si>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</si>
  <si>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</si>
  <si>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</si>
  <si>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</si>
  <si>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</si>
  <si>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</si>
  <si>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</si>
  <si>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</si>
  <si>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</si>
  <si>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</si>
  <si>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</si>
  <si>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</si>
  <si>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</si>
  <si>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</si>
  <si>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</si>
  <si>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</si>
  <si>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</si>
  <si>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</si>
  <si>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</si>
  <si>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</si>
  <si>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</si>
  <si>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</si>
  <si>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</si>
  <si>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</si>
  <si>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</si>
  <si>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</si>
  <si>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</si>
  <si>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</si>
  <si>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</si>
  <si>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</si>
  <si>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</si>
  <si>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</si>
  <si>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</si>
  <si>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</si>
  <si>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</si>
  <si>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</si>
  <si>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</si>
  <si>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</si>
  <si>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</si>
  <si>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</si>
  <si>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</si>
  <si>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</si>
  <si>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</si>
  <si>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</si>
  <si>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</si>
  <si>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</si>
  <si>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</si>
  <si>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</si>
  <si>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</si>
  <si>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</si>
  <si>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</si>
  <si>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</si>
  <si>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</si>
  <si>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</si>
  <si>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</si>
  <si>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</si>
  <si>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</si>
  <si>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</si>
  <si>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</si>
  <si>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</si>
  <si>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</si>
  <si>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</si>
  <si>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</si>
  <si>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</si>
  <si>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</si>
  <si>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</si>
  <si>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</si>
  <si>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</si>
  <si>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</si>
  <si>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</si>
  <si>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</si>
  <si>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</si>
  <si>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</si>
  <si>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</si>
  <si>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</si>
  <si>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</si>
  <si>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</si>
  <si>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</si>
  <si>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</si>
  <si>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</si>
  <si>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</si>
  <si>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</si>
  <si>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</si>
  <si>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</si>
  <si>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</si>
  <si>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</si>
  <si>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</si>
  <si>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</si>
  <si>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</si>
  <si>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</si>
  <si>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</si>
  <si>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</si>
  <si>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</si>
  <si>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</si>
  <si>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</si>
  <si>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</si>
  <si>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</si>
  <si>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</si>
  <si>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</si>
  <si>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</si>
  <si>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</si>
  <si>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</si>
  <si>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</si>
  <si>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</si>
  <si>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</si>
  <si>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</si>
  <si>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</si>
  <si>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</si>
  <si>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</si>
  <si>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</si>
  <si>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</si>
  <si>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</si>
  <si>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</si>
  <si>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</si>
  <si>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</si>
  <si>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</si>
  <si>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</si>
  <si>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</si>
  <si>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</si>
  <si>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</si>
  <si>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</si>
  <si>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</si>
  <si>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</si>
  <si>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</si>
  <si>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</si>
  <si>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</si>
  <si>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</si>
  <si>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</si>
  <si>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</si>
  <si>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</si>
  <si>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</si>
  <si>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</si>
  <si>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</si>
  <si>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</si>
  <si>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</si>
  <si>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</si>
  <si>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</si>
  <si>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</si>
  <si>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</si>
  <si>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</si>
  <si>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</si>
  <si>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</si>
  <si>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</si>
  <si>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</si>
  <si>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</si>
  <si>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</si>
  <si>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</si>
  <si>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</si>
  <si>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</si>
  <si>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</si>
  <si>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</si>
  <si>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</si>
  <si>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</si>
  <si>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</si>
  <si>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</si>
  <si>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</si>
  <si>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</si>
  <si>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</si>
  <si>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</si>
  <si>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</si>
  <si>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</si>
  <si>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</si>
  <si>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</si>
  <si>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</si>
  <si>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</si>
  <si>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</si>
  <si>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</si>
  <si>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</si>
  <si>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</si>
  <si>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</si>
  <si>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</si>
  <si>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</si>
  <si>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</si>
  <si>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</si>
  <si>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</si>
  <si>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</si>
  <si>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</si>
  <si>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</si>
  <si>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</si>
  <si>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</si>
  <si>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</si>
  <si>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</si>
  <si>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</si>
  <si>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</si>
  <si>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</si>
  <si>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</si>
  <si>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</si>
  <si>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</si>
  <si>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</si>
  <si>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</si>
  <si>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</si>
  <si>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</si>
  <si>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</si>
  <si>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</si>
  <si>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</si>
  <si>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</si>
  <si>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</si>
  <si>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</si>
  <si>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</si>
  <si>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</si>
  <si>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</si>
  <si>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</si>
  <si>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</si>
  <si>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</si>
  <si>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</si>
  <si>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</si>
  <si>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</si>
  <si>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</si>
  <si>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</si>
  <si>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</si>
  <si>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</si>
  <si>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</si>
  <si>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</si>
  <si>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</si>
  <si>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</si>
  <si>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</si>
  <si>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</si>
  <si>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</si>
  <si>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</si>
  <si>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</si>
  <si>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</si>
  <si>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</si>
  <si>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</si>
  <si>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</si>
  <si>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</si>
  <si>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</si>
  <si>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</si>
  <si>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</si>
  <si>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</si>
  <si>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</si>
  <si>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</si>
  <si>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</si>
  <si>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</si>
  <si>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</si>
  <si>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</si>
  <si>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</si>
  <si>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</si>
  <si>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</si>
  <si>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</si>
  <si>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</si>
  <si>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</si>
  <si>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</si>
  <si>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</si>
  <si>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</si>
  <si>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</si>
  <si>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</si>
  <si>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</si>
  <si>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</si>
  <si>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</si>
  <si>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</si>
  <si>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</si>
  <si>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</si>
  <si>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</si>
  <si>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</si>
  <si>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</si>
  <si>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</si>
  <si>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</si>
  <si>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</si>
  <si>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</si>
  <si>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</si>
  <si>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</si>
  <si>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</si>
  <si>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</si>
  <si>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</si>
  <si>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</si>
  <si>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</si>
  <si>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</si>
  <si>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</si>
  <si>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</si>
  <si>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</si>
  <si>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</si>
  <si>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</si>
  <si>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</si>
  <si>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</si>
  <si>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</si>
  <si>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</si>
  <si>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</si>
  <si>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</si>
  <si>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</si>
  <si>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</si>
  <si>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</si>
  <si>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</si>
  <si>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</si>
  <si>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</si>
  <si>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</si>
  <si>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</si>
  <si>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</si>
  <si>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</si>
  <si>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</si>
  <si>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</si>
  <si>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</si>
  <si>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</si>
  <si>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</si>
  <si>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</si>
  <si>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</si>
  <si>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</si>
  <si>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</si>
  <si>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</si>
  <si>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</si>
  <si>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</si>
  <si>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</si>
  <si>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</si>
  <si>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</si>
  <si>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</si>
  <si>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</si>
  <si>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</si>
  <si>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</si>
  <si>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</si>
  <si>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</si>
  <si>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</si>
  <si>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</si>
  <si>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</si>
  <si>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</si>
  <si>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</si>
  <si>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</si>
  <si>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</si>
  <si>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</si>
  <si>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</si>
  <si>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</si>
  <si>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</si>
  <si>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</si>
  <si>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</si>
  <si>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</si>
  <si>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</si>
  <si>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</si>
  <si>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</si>
  <si>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</si>
  <si>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</si>
  <si>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</si>
  <si>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</si>
  <si>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</si>
  <si>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</si>
  <si>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</si>
  <si>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</si>
  <si>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</si>
  <si>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</si>
  <si>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</si>
  <si>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</si>
  <si>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</si>
  <si>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</si>
  <si>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</si>
  <si>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</si>
  <si>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</si>
  <si>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</si>
  <si>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</si>
  <si>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</si>
  <si>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</si>
  <si>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</si>
  <si>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</si>
  <si>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</si>
  <si>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</si>
  <si>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</si>
  <si>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</si>
  <si>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</si>
  <si>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</si>
  <si>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</si>
  <si>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</si>
  <si>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</si>
  <si>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</si>
  <si>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</si>
  <si>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</si>
  <si>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</si>
  <si>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</si>
  <si>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</si>
  <si>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</si>
  <si>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</si>
  <si>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</si>
  <si>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</si>
  <si>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</si>
  <si>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</si>
  <si>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</si>
  <si>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</si>
  <si>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</si>
  <si>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</si>
  <si>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</si>
  <si>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</si>
  <si>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</si>
  <si>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</si>
  <si>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</si>
  <si>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</si>
  <si>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</si>
  <si>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</si>
  <si>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</si>
  <si>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</si>
  <si>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</si>
  <si>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</si>
  <si>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</si>
  <si>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</si>
  <si>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</si>
  <si>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</si>
  <si>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</si>
  <si>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</si>
  <si>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</si>
  <si>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</si>
  <si>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</si>
  <si>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</si>
  <si>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</si>
  <si>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</si>
  <si>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</si>
  <si>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</si>
  <si>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</si>
  <si>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</si>
  <si>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</si>
  <si>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</si>
  <si>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</si>
  <si>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</si>
  <si>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</si>
  <si>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</si>
  <si>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</si>
  <si>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</si>
  <si>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</si>
  <si>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</si>
  <si>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</si>
  <si>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</si>
  <si>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</si>
  <si>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</si>
  <si>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</si>
  <si>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</si>
  <si>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</si>
  <si>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</si>
  <si>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</si>
  <si>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</si>
  <si>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</si>
  <si>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</si>
  <si>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</si>
  <si>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</si>
  <si>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</si>
  <si>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</si>
  <si>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</si>
  <si>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</si>
  <si>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</si>
  <si>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</si>
  <si>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</si>
  <si>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</si>
  <si>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</si>
  <si>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</si>
  <si>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</si>
  <si>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</si>
  <si>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</si>
  <si>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</si>
  <si>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</si>
  <si>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</si>
  <si>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</si>
  <si>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</si>
  <si>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</si>
  <si>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</si>
  <si>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</si>
  <si>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</si>
  <si>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</si>
  <si>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</si>
  <si>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</si>
  <si>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</si>
  <si>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</si>
  <si>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</si>
  <si>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</si>
  <si>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</si>
  <si>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</si>
  <si>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</si>
  <si>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</si>
  <si>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</si>
  <si>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</si>
  <si>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</si>
  <si>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</si>
  <si>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</si>
  <si>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</si>
  <si>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</si>
  <si>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</si>
  <si>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</si>
  <si>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</si>
  <si>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</si>
  <si>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</si>
  <si>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</si>
  <si>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</si>
  <si>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</si>
  <si>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</si>
  <si>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</si>
  <si>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</si>
  <si>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</si>
  <si>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</si>
  <si>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</si>
  <si>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</si>
  <si>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</si>
  <si>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</si>
  <si>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</si>
  <si>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</si>
  <si>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</si>
  <si>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</si>
  <si>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</si>
  <si>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</si>
  <si>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</si>
  <si>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</si>
  <si>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</si>
  <si>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</si>
  <si>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</si>
  <si>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</si>
  <si>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</si>
  <si>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</si>
  <si>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</si>
  <si>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</si>
  <si>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</si>
  <si>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</si>
  <si>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</si>
  <si>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</si>
  <si>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</si>
  <si>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</si>
  <si>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</si>
  <si>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</si>
  <si>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</si>
  <si>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</si>
  <si>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</si>
  <si>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</si>
  <si>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</si>
  <si>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</si>
  <si>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</si>
  <si>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</si>
  <si>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</si>
  <si>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</si>
  <si>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</si>
  <si>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</si>
  <si>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</si>
  <si>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</si>
  <si>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</si>
  <si>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</si>
  <si>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</si>
  <si>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</si>
  <si>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</si>
  <si>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</si>
  <si>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</si>
  <si>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</si>
  <si>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</si>
  <si>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</si>
  <si>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</si>
  <si>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</si>
  <si>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</si>
  <si>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</si>
  <si>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</si>
  <si>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</si>
  <si>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</si>
  <si>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</si>
  <si>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</si>
  <si>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</si>
  <si>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</si>
  <si>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</si>
  <si>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</si>
  <si>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</si>
  <si>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</si>
  <si>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</si>
  <si>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</si>
  <si>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</si>
  <si>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</si>
  <si>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</si>
  <si>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</si>
  <si>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</si>
  <si>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</si>
  <si>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</si>
  <si>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</si>
  <si>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</si>
  <si>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</si>
  <si>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</si>
  <si>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</si>
  <si>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</si>
  <si>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</si>
  <si>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</si>
  <si>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</si>
  <si>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</si>
  <si>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</si>
  <si>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</si>
  <si>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</si>
  <si>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</si>
  <si>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</si>
  <si>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</si>
  <si>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</si>
  <si>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</si>
  <si>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</si>
  <si>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</si>
  <si>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</si>
  <si>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</si>
  <si>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</si>
  <si>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</si>
  <si>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</si>
  <si>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</si>
  <si>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</si>
  <si>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</si>
  <si>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</si>
  <si>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</si>
  <si>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</si>
  <si>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</si>
  <si>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</si>
  <si>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</si>
  <si>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</si>
  <si>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</si>
  <si>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</si>
  <si>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</si>
  <si>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</si>
  <si>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</si>
  <si>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</si>
  <si>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</si>
  <si>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</si>
  <si>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</si>
  <si>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</si>
  <si>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</si>
  <si>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</si>
  <si>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</si>
  <si>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</si>
  <si>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</si>
  <si>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</si>
  <si>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</si>
  <si>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</si>
  <si>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</si>
  <si>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</si>
  <si>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</si>
  <si>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</si>
  <si>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</si>
  <si>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</si>
  <si>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</si>
  <si>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</si>
  <si>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</si>
  <si>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</si>
  <si>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</si>
  <si>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</si>
  <si>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</si>
  <si>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</si>
  <si>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</si>
  <si>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</si>
  <si>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</si>
  <si>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</si>
  <si>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</si>
  <si>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</si>
  <si>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</si>
  <si>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</si>
  <si>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</si>
  <si>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</si>
  <si>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</si>
  <si>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</si>
  <si>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</si>
  <si>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</si>
  <si>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</si>
  <si>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</si>
  <si>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</si>
  <si>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</si>
  <si>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</si>
  <si>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</si>
  <si>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</si>
  <si>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</si>
  <si>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</si>
  <si>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</si>
  <si>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</si>
  <si>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</si>
  <si>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</si>
  <si>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</si>
  <si>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</si>
  <si>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</si>
  <si>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</si>
  <si>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</si>
  <si>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</si>
  <si>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</si>
  <si>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</si>
  <si>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</si>
  <si>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</si>
  <si>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</si>
  <si>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</si>
  <si>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</si>
  <si>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</si>
  <si>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</si>
  <si>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</si>
  <si>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</si>
  <si>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</si>
  <si>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</si>
  <si>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</si>
  <si>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</si>
  <si>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</si>
  <si>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</si>
  <si>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</si>
  <si>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</si>
  <si>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</si>
  <si>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</si>
  <si>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</si>
  <si>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</si>
  <si>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</si>
  <si>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</si>
  <si>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</si>
  <si>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</si>
  <si>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</si>
  <si>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</si>
  <si>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</si>
  <si>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</si>
  <si>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</si>
  <si>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</si>
  <si>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</si>
  <si>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</si>
  <si>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</si>
  <si>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</si>
  <si>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</si>
  <si>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</si>
  <si>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</si>
  <si>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</si>
  <si>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</si>
  <si>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</si>
  <si>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</si>
  <si>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</si>
  <si>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</si>
  <si>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</si>
  <si>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</si>
  <si>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</si>
  <si>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</si>
  <si>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</si>
  <si>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</si>
  <si>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</si>
  <si>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</si>
  <si>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</si>
  <si>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</si>
  <si>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</si>
  <si>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</si>
  <si>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</si>
  <si>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</si>
  <si>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</si>
  <si>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</si>
  <si>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</si>
  <si>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</si>
  <si>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</si>
  <si>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</si>
  <si>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</si>
  <si>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</si>
  <si>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</si>
  <si>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</si>
  <si>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</si>
  <si>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</si>
  <si>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</si>
  <si>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</si>
  <si>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</si>
  <si>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</si>
  <si>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</si>
  <si>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</si>
  <si>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</si>
  <si>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</si>
  <si>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</si>
  <si>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</si>
  <si>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</si>
  <si>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</si>
  <si>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</si>
  <si>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</si>
  <si>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</si>
  <si>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</si>
  <si>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</si>
  <si>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</si>
  <si>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</si>
  <si>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</si>
  <si>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</si>
  <si>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</si>
  <si>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</si>
  <si>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</si>
  <si>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</si>
  <si>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</si>
  <si>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</si>
  <si>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</si>
  <si>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</si>
  <si>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</si>
  <si>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</si>
  <si>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</si>
  <si>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</si>
  <si>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</si>
  <si>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</si>
  <si>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</si>
  <si>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</si>
  <si>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</si>
  <si>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</si>
  <si>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</si>
  <si>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</si>
  <si>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</si>
  <si>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</si>
  <si>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</si>
  <si>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</si>
  <si>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</si>
  <si>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</si>
  <si>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</si>
  <si>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</si>
  <si>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</si>
  <si>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</si>
  <si>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</si>
  <si>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</si>
  <si>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</si>
  <si>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</si>
  <si>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</si>
  <si>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</si>
  <si>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</si>
  <si>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</si>
  <si>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</si>
  <si>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</si>
  <si>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</si>
  <si>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</si>
  <si>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</si>
  <si>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</si>
  <si>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</si>
  <si>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</si>
  <si>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</si>
  <si>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</si>
  <si>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</si>
  <si>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</si>
  <si>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</si>
  <si>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</si>
  <si>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</si>
  <si>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</si>
  <si>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</si>
  <si>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</si>
  <si>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</si>
  <si>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</si>
  <si>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</si>
  <si>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</si>
  <si>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</si>
  <si>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</si>
  <si>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</si>
  <si>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</si>
  <si>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</si>
  <si>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</si>
  <si>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</si>
  <si>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</si>
  <si>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</si>
  <si>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</si>
  <si>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</si>
  <si>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</si>
  <si>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</si>
  <si>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</si>
  <si>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</si>
  <si>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</si>
  <si>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</si>
  <si>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</si>
  <si>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</si>
  <si>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</si>
  <si>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</si>
  <si>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</si>
  <si>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</si>
  <si>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</si>
  <si>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</si>
  <si>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</si>
  <si>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</si>
  <si>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</si>
  <si>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</si>
  <si>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</si>
  <si>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</si>
  <si>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</si>
  <si>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</si>
  <si>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</si>
  <si>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</si>
  <si>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</si>
  <si>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</si>
  <si>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</si>
  <si>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</si>
  <si>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</si>
  <si>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</si>
  <si>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</si>
  <si>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</si>
  <si>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</si>
  <si>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</si>
  <si>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</si>
  <si>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</si>
  <si>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</si>
  <si>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</si>
  <si>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</si>
  <si>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</si>
  <si>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</si>
  <si>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</si>
  <si>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</si>
  <si>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</si>
  <si>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</si>
  <si>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</si>
  <si>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</si>
  <si>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</si>
  <si>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</si>
  <si>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</si>
  <si>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</si>
  <si>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</si>
  <si>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</si>
  <si>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</si>
  <si>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</si>
  <si>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</si>
  <si>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</si>
  <si>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</si>
  <si>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</si>
  <si>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</si>
  <si>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</si>
  <si>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</si>
  <si>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</si>
  <si>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</si>
  <si>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</si>
  <si>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</si>
  <si>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</si>
  <si>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</si>
  <si>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</si>
  <si>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</si>
  <si>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</si>
  <si>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</si>
  <si>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</si>
  <si>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</si>
  <si>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</si>
  <si>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</si>
  <si>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</si>
  <si>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</si>
  <si>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</si>
  <si>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</si>
  <si>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</si>
  <si>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</si>
  <si>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</si>
  <si>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</si>
  <si>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</si>
  <si>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</si>
  <si>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</si>
  <si>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SUPH2GD</t>
  </si>
  <si>
    <t>* 7 percent increase for calibration</t>
  </si>
  <si>
    <t>* 8.5 percent decrease for base year calibration</t>
  </si>
  <si>
    <t>DELIV~2018</t>
  </si>
  <si>
    <t>DELIV~0</t>
  </si>
  <si>
    <t>DELIV~2050</t>
  </si>
  <si>
    <t>DELIV~2030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</si>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</sst>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9">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cellStyleXfs>
  <cellXfs count="726">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0" fillId="0" borderId="0" xfId="0" applyAlignment="1">
      <alignment horizontal="left" vertical="top"/>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41" fillId="23" borderId="140" xfId="0" applyFont="1" applyFill="1" applyBorder="1" applyAlignment="1" applyProtection="1">
      <alignment horizontal="center" vertical="center"/>
      <protection locked="0"/>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3" borderId="140" xfId="0" applyFont="1" applyFill="1" applyBorder="1" applyAlignment="1" applyProtection="1">
      <alignment horizontal="center" vertical="center"/>
      <protection locked="0"/>
    </xf>
    <xf numFmtId="0" fontId="8" fillId="0" borderId="141" xfId="0" applyFont="1" applyBorder="1" applyAlignment="1">
      <alignment horizontal="left"/>
    </xf>
    <xf numFmtId="0" fontId="8" fillId="0" borderId="0" xfId="0" applyFont="1" applyAlignment="1">
      <alignment horizontal="left"/>
    </xf>
    <xf numFmtId="0" fontId="0" fillId="0" borderId="140" xfId="0" applyBorder="1" applyAlignment="1">
      <alignment horizontal="left" vertical="top"/>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cellXfs>
  <cellStyles count="9">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Normal_1990 and 1998 CIP - Prices Quantity and CO2(MH)" xfId="8" xr:uid="{E42A0DB4-8E1A-4BC2-911B-A4A72A86B1DA}"/>
    <cellStyle name="Normal_2000balx" xfId="7" xr:uid="{7E529E51-F313-4873-A31D-04A2127BFF57}"/>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5546875" defaultRowHeight="15"/>
  <cols>
    <col min="1" max="4" width="21.7109375" customWidth="1"/>
    <col min="5" max="6" width="14.140625" customWidth="1"/>
    <col min="7" max="7" width="12.140625" customWidth="1"/>
    <col min="8" max="10" width="8.140625" customWidth="1"/>
    <col min="11" max="11" width="9.7109375" customWidth="1"/>
    <col min="12" max="12" width="8.140625" customWidth="1"/>
    <col min="13" max="13" width="10" customWidth="1"/>
    <col min="14" max="14" width="11.42578125" customWidth="1"/>
    <col min="15" max="15" width="13.4257812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434" t="s">
        <v>1116</v>
      </c>
      <c r="B16" s="434"/>
      <c r="C16" s="434"/>
      <c r="D16" s="434"/>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433" t="s">
        <v>1130</v>
      </c>
      <c r="C19" s="433"/>
      <c r="D19" s="433"/>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1117</v>
      </c>
      <c r="B20" s="433" t="s">
        <v>1129</v>
      </c>
      <c r="C20" s="433"/>
      <c r="D20" s="433"/>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1118</v>
      </c>
      <c r="B21" s="433" t="s">
        <v>1128</v>
      </c>
      <c r="C21" s="433"/>
      <c r="D21" s="433"/>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1119</v>
      </c>
      <c r="B23" s="433" t="s">
        <v>1127</v>
      </c>
      <c r="C23" s="433"/>
      <c r="D23" s="433"/>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433" t="s">
        <v>1131</v>
      </c>
      <c r="C24" s="433"/>
      <c r="D24" s="433"/>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1120</v>
      </c>
      <c r="B26" s="433" t="s">
        <v>1127</v>
      </c>
      <c r="C26" s="433"/>
      <c r="D26" s="433"/>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1121</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1122</v>
      </c>
      <c r="B30" s="435" t="s">
        <v>1123</v>
      </c>
      <c r="C30" s="433"/>
      <c r="D30" s="433"/>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1124</v>
      </c>
      <c r="B31" s="433" t="s">
        <v>1125</v>
      </c>
      <c r="C31" s="433"/>
      <c r="D31" s="433"/>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1126</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48" customWidth="1"/>
    <col min="2" max="2" width="19.5703125" style="48" customWidth="1"/>
    <col min="3" max="3" width="37.7109375" style="48" customWidth="1"/>
    <col min="4" max="16384" width="9.140625" style="48"/>
  </cols>
  <sheetData>
    <row r="2" spans="2:3" ht="18.75">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75">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75">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tabSelected="1" view="pageBreakPreview" zoomScaleNormal="65" zoomScaleSheetLayoutView="100" workbookViewId="0">
      <selection activeCell="P19" sqref="P19"/>
    </sheetView>
  </sheetViews>
  <sheetFormatPr defaultColWidth="9.140625" defaultRowHeight="12.75"/>
  <cols>
    <col min="1" max="1" width="51.42578125" style="43" customWidth="1"/>
    <col min="2" max="2" width="15.7109375" style="38" customWidth="1"/>
    <col min="3" max="4" width="7.5703125" style="44" bestFit="1" customWidth="1"/>
    <col min="5" max="5" width="9.140625" style="44"/>
    <col min="6" max="6" width="6.140625" style="45" customWidth="1"/>
    <col min="7" max="7" width="5.85546875" style="45" bestFit="1" customWidth="1"/>
    <col min="8" max="8" width="6.42578125" style="44" bestFit="1" customWidth="1"/>
    <col min="9" max="9" width="6.140625" style="45" bestFit="1" customWidth="1"/>
    <col min="10" max="10" width="6" style="45" bestFit="1" customWidth="1"/>
    <col min="11" max="11" width="6.85546875" style="45" bestFit="1" customWidth="1"/>
    <col min="12" max="12" width="9.140625" style="42" bestFit="1" customWidth="1"/>
    <col min="13" max="13" width="8.140625" style="38" bestFit="1" customWidth="1"/>
    <col min="14" max="14" width="8.140625" style="38" customWidth="1"/>
    <col min="15" max="15" width="5.28515625" style="38" customWidth="1"/>
    <col min="16" max="16" width="7.42578125" style="398" customWidth="1"/>
    <col min="17" max="17" width="7.42578125" style="38" bestFit="1" customWidth="1"/>
    <col min="18" max="18" width="8.140625" style="38" bestFit="1" customWidth="1"/>
    <col min="19" max="19" width="7.28515625" style="38" bestFit="1" customWidth="1"/>
    <col min="20" max="20" width="7.42578125" style="38" bestFit="1" customWidth="1"/>
    <col min="21" max="21" width="8.42578125" style="399" bestFit="1" customWidth="1"/>
    <col min="22" max="22" width="6.85546875" style="38" bestFit="1" customWidth="1"/>
    <col min="23" max="25" width="5.42578125" style="38" customWidth="1"/>
    <col min="26" max="26" width="5.42578125" style="45" customWidth="1"/>
    <col min="27" max="27" width="8.140625" style="42" bestFit="1" customWidth="1"/>
    <col min="28" max="28" width="6.7109375" style="42" bestFit="1" customWidth="1"/>
    <col min="29" max="30" width="5.5703125" style="38" customWidth="1"/>
    <col min="31" max="31" width="8.7109375" style="38" bestFit="1" customWidth="1"/>
    <col min="32" max="32" width="8.7109375" style="38" customWidth="1"/>
    <col min="33" max="33" width="5.5703125" style="38" customWidth="1"/>
    <col min="34" max="34" width="5.7109375" style="38" customWidth="1"/>
    <col min="35" max="36" width="7" style="400" customWidth="1"/>
    <col min="37" max="37" width="7" style="38" customWidth="1"/>
    <col min="38" max="40" width="5.5703125" style="38" customWidth="1"/>
    <col min="41" max="41" width="8.7109375" style="42" bestFit="1" customWidth="1"/>
    <col min="42" max="42" width="4.42578125" style="42" bestFit="1" customWidth="1"/>
    <col min="43" max="43" width="9.28515625" style="38" bestFit="1" customWidth="1"/>
    <col min="44" max="44" width="9.140625" style="38"/>
    <col min="45" max="45" width="9.140625" style="40"/>
    <col min="46" max="16384" width="9.140625" style="38"/>
  </cols>
  <sheetData>
    <row r="1" spans="1:45" ht="105.75" customHeight="1" thickBot="1">
      <c r="A1" s="454" t="s">
        <v>312</v>
      </c>
      <c r="B1" s="455" t="s">
        <v>311</v>
      </c>
      <c r="C1" s="456" t="s">
        <v>171</v>
      </c>
      <c r="D1" s="457" t="s">
        <v>172</v>
      </c>
      <c r="E1" s="458" t="s">
        <v>173</v>
      </c>
      <c r="F1" s="459" t="s">
        <v>174</v>
      </c>
      <c r="G1" s="459" t="s">
        <v>175</v>
      </c>
      <c r="H1" s="460" t="s">
        <v>176</v>
      </c>
      <c r="I1" s="457" t="s">
        <v>177</v>
      </c>
      <c r="J1" s="458" t="s">
        <v>178</v>
      </c>
      <c r="K1" s="458" t="s">
        <v>179</v>
      </c>
      <c r="L1" s="460" t="s">
        <v>180</v>
      </c>
      <c r="M1" s="457" t="s">
        <v>181</v>
      </c>
      <c r="N1" s="457" t="s">
        <v>1059</v>
      </c>
      <c r="O1" s="458" t="s">
        <v>182</v>
      </c>
      <c r="P1" s="458" t="s">
        <v>183</v>
      </c>
      <c r="Q1" s="458" t="s">
        <v>184</v>
      </c>
      <c r="R1" s="458" t="s">
        <v>185</v>
      </c>
      <c r="S1" s="458" t="s">
        <v>186</v>
      </c>
      <c r="T1" s="458" t="s">
        <v>187</v>
      </c>
      <c r="U1" s="458" t="s">
        <v>188</v>
      </c>
      <c r="V1" s="458" t="s">
        <v>189</v>
      </c>
      <c r="W1" s="459" t="s">
        <v>190</v>
      </c>
      <c r="X1" s="459" t="s">
        <v>191</v>
      </c>
      <c r="Y1" s="459" t="s">
        <v>192</v>
      </c>
      <c r="Z1" s="458" t="s">
        <v>193</v>
      </c>
      <c r="AA1" s="460" t="s">
        <v>194</v>
      </c>
      <c r="AB1" s="461" t="s">
        <v>195</v>
      </c>
      <c r="AC1" s="462" t="s">
        <v>196</v>
      </c>
      <c r="AD1" s="458" t="s">
        <v>197</v>
      </c>
      <c r="AE1" s="458" t="s">
        <v>1060</v>
      </c>
      <c r="AF1" s="458" t="s">
        <v>1061</v>
      </c>
      <c r="AG1" s="458" t="s">
        <v>198</v>
      </c>
      <c r="AH1" s="458" t="s">
        <v>199</v>
      </c>
      <c r="AI1" s="458" t="s">
        <v>1062</v>
      </c>
      <c r="AJ1" s="458" t="s">
        <v>1063</v>
      </c>
      <c r="AK1" s="458" t="s">
        <v>1064</v>
      </c>
      <c r="AL1" s="458" t="s">
        <v>1065</v>
      </c>
      <c r="AM1" s="459" t="s">
        <v>1066</v>
      </c>
      <c r="AN1" s="460" t="s">
        <v>200</v>
      </c>
      <c r="AO1" s="460" t="s">
        <v>201</v>
      </c>
      <c r="AP1" s="461" t="s">
        <v>202</v>
      </c>
      <c r="AQ1" s="463" t="s">
        <v>203</v>
      </c>
      <c r="AS1" s="39"/>
    </row>
    <row r="2" spans="1:45" ht="12.75" customHeight="1">
      <c r="A2" s="464" t="s">
        <v>217</v>
      </c>
      <c r="B2" s="465"/>
      <c r="C2" s="466">
        <f>SUM(D2:G2)</f>
        <v>0</v>
      </c>
      <c r="D2" s="467">
        <v>0</v>
      </c>
      <c r="E2" s="468"/>
      <c r="F2" s="469"/>
      <c r="G2" s="469"/>
      <c r="H2" s="470">
        <f>SUM(I2:K2)</f>
        <v>815.92434898628403</v>
      </c>
      <c r="I2" s="471">
        <v>688.22034898628408</v>
      </c>
      <c r="J2" s="472">
        <v>127.70399999999999</v>
      </c>
      <c r="K2" s="473"/>
      <c r="L2" s="470">
        <f>SUM(M2:Z2)</f>
        <v>0</v>
      </c>
      <c r="M2" s="471"/>
      <c r="N2" s="474"/>
      <c r="O2" s="475"/>
      <c r="P2" s="475"/>
      <c r="Q2" s="475"/>
      <c r="R2" s="475"/>
      <c r="S2" s="475"/>
      <c r="T2" s="475"/>
      <c r="U2" s="475"/>
      <c r="V2" s="475"/>
      <c r="W2" s="469"/>
      <c r="X2" s="469"/>
      <c r="Y2" s="469"/>
      <c r="Z2" s="473"/>
      <c r="AA2" s="470">
        <v>2751.9191872187112</v>
      </c>
      <c r="AB2" s="476">
        <f>SUM(AC2:AM2)</f>
        <v>1334.658297317769</v>
      </c>
      <c r="AC2" s="477">
        <v>59.691708987970003</v>
      </c>
      <c r="AD2" s="473">
        <v>743.01992281532614</v>
      </c>
      <c r="AE2" s="473">
        <v>248.90859762015592</v>
      </c>
      <c r="AF2" s="473">
        <v>139.99992739520798</v>
      </c>
      <c r="AG2" s="473">
        <v>33.531818868055431</v>
      </c>
      <c r="AH2" s="473">
        <v>16.813132576534866</v>
      </c>
      <c r="AI2" s="473">
        <v>31.064467987392003</v>
      </c>
      <c r="AJ2" s="473">
        <v>2.6691993220799999</v>
      </c>
      <c r="AK2" s="471">
        <v>1.8899880806415161</v>
      </c>
      <c r="AL2" s="471">
        <v>13.54608560366562</v>
      </c>
      <c r="AM2" s="469">
        <v>43.523448060739646</v>
      </c>
      <c r="AN2" s="478">
        <v>145.43710297949829</v>
      </c>
      <c r="AO2" s="478"/>
      <c r="AP2" s="476"/>
      <c r="AQ2" s="479">
        <f>C2+H2+L2+AA2+AB2+AN2+AO2+AP2</f>
        <v>5047.9389365022625</v>
      </c>
    </row>
    <row r="3" spans="1:45" ht="12.75" customHeight="1">
      <c r="A3" s="480" t="s">
        <v>218</v>
      </c>
      <c r="B3" s="481"/>
      <c r="C3" s="482">
        <f>SUM(D3:G3)</f>
        <v>903.49466255082825</v>
      </c>
      <c r="D3" s="483">
        <v>829.57460107090037</v>
      </c>
      <c r="E3" s="484">
        <v>61.722867734674637</v>
      </c>
      <c r="F3" s="485"/>
      <c r="G3" s="485">
        <v>12.197193745253209</v>
      </c>
      <c r="H3" s="486">
        <f>SUM(I3:K3)</f>
        <v>0</v>
      </c>
      <c r="I3" s="487"/>
      <c r="J3" s="488"/>
      <c r="K3" s="489"/>
      <c r="L3" s="486">
        <f>SUM(M3:Z3)</f>
        <v>9138.5577999094057</v>
      </c>
      <c r="M3" s="487">
        <v>3053.4742963851995</v>
      </c>
      <c r="N3" s="487">
        <v>16.633377499200002</v>
      </c>
      <c r="O3" s="489">
        <v>0</v>
      </c>
      <c r="P3" s="489">
        <v>564.2364083333332</v>
      </c>
      <c r="Q3" s="489">
        <v>369.14638715136005</v>
      </c>
      <c r="R3" s="489">
        <v>1542.2444022448799</v>
      </c>
      <c r="S3" s="489">
        <v>82.827948630790956</v>
      </c>
      <c r="T3" s="489">
        <v>157.5463640726893</v>
      </c>
      <c r="U3" s="489">
        <v>2932.6955801163149</v>
      </c>
      <c r="V3" s="489">
        <v>166.37647928144222</v>
      </c>
      <c r="W3" s="485">
        <v>7.5616539426795564</v>
      </c>
      <c r="X3" s="485">
        <v>200.83222211696253</v>
      </c>
      <c r="Y3" s="485">
        <v>1.2281470084248403</v>
      </c>
      <c r="Z3" s="489">
        <v>43.754533126130625</v>
      </c>
      <c r="AA3" s="486">
        <v>1728.338063506957</v>
      </c>
      <c r="AB3" s="490">
        <f>SUM(AC3:AM3)</f>
        <v>151.93355907200862</v>
      </c>
      <c r="AC3" s="491"/>
      <c r="AD3" s="489"/>
      <c r="AE3" s="489">
        <v>24.282116302936618</v>
      </c>
      <c r="AF3" s="489"/>
      <c r="AG3" s="489"/>
      <c r="AH3" s="489"/>
      <c r="AI3" s="489">
        <v>104.81441230492801</v>
      </c>
      <c r="AJ3" s="489">
        <v>22.837030464144</v>
      </c>
      <c r="AK3" s="487"/>
      <c r="AL3" s="487"/>
      <c r="AM3" s="485"/>
      <c r="AN3" s="492"/>
      <c r="AO3" s="492">
        <v>139.45061680000001</v>
      </c>
      <c r="AP3" s="490"/>
      <c r="AQ3" s="493">
        <f t="shared" ref="AQ3:AQ20" si="0">C3+H3+L3+AA3+AB3+AN3+AO3+AP3</f>
        <v>12061.7747018392</v>
      </c>
    </row>
    <row r="4" spans="1:45" ht="12.75" customHeight="1">
      <c r="A4" s="480" t="s">
        <v>219</v>
      </c>
      <c r="B4" s="481"/>
      <c r="C4" s="482">
        <f>SUM(D4:G4)</f>
        <v>15.186580890896002</v>
      </c>
      <c r="D4" s="483">
        <v>0</v>
      </c>
      <c r="E4" s="494">
        <v>14.097722162000002</v>
      </c>
      <c r="F4" s="485"/>
      <c r="G4" s="485">
        <v>1.0888587288959999</v>
      </c>
      <c r="H4" s="486">
        <f>SUM(I4:K4)</f>
        <v>7.0330680000000001</v>
      </c>
      <c r="I4" s="487"/>
      <c r="J4" s="488"/>
      <c r="K4" s="489">
        <v>7.0330680000000001</v>
      </c>
      <c r="L4" s="486">
        <f>SUM(M4:Z4)</f>
        <v>1717.0624747879344</v>
      </c>
      <c r="M4" s="487">
        <v>0</v>
      </c>
      <c r="N4" s="487">
        <v>0</v>
      </c>
      <c r="O4" s="489"/>
      <c r="P4" s="489">
        <v>364.52221864444448</v>
      </c>
      <c r="Q4" s="489">
        <v>21.672508399360005</v>
      </c>
      <c r="R4" s="489">
        <v>156.29379915984001</v>
      </c>
      <c r="S4" s="489">
        <v>986.60611760112999</v>
      </c>
      <c r="T4" s="489">
        <v>35.289733288720633</v>
      </c>
      <c r="U4" s="489">
        <v>102.14625414775992</v>
      </c>
      <c r="V4" s="489">
        <v>2.9088437938490893E-3</v>
      </c>
      <c r="W4" s="485">
        <v>36.297317128453038</v>
      </c>
      <c r="X4" s="485">
        <v>5.4694689952000006</v>
      </c>
      <c r="Y4" s="485">
        <v>1.8500297569930473E-2</v>
      </c>
      <c r="Z4" s="489">
        <v>8.7436482816626366</v>
      </c>
      <c r="AA4" s="486">
        <v>0</v>
      </c>
      <c r="AB4" s="490">
        <f>SUM(AC4:AM4)</f>
        <v>9.4476585178560004</v>
      </c>
      <c r="AC4" s="491"/>
      <c r="AD4" s="489"/>
      <c r="AE4" s="489">
        <v>0.41264639999999991</v>
      </c>
      <c r="AF4" s="489"/>
      <c r="AG4" s="489"/>
      <c r="AH4" s="489"/>
      <c r="AI4" s="489">
        <v>9.0350121178560006</v>
      </c>
      <c r="AJ4" s="489">
        <v>0</v>
      </c>
      <c r="AK4" s="487"/>
      <c r="AL4" s="487"/>
      <c r="AM4" s="485"/>
      <c r="AN4" s="492"/>
      <c r="AO4" s="492">
        <v>141.83539077999998</v>
      </c>
      <c r="AP4" s="490"/>
      <c r="AQ4" s="493">
        <f t="shared" si="0"/>
        <v>1890.5651729766864</v>
      </c>
    </row>
    <row r="5" spans="1:45" ht="12.75" customHeight="1">
      <c r="A5" s="480" t="s">
        <v>220</v>
      </c>
      <c r="B5" s="481"/>
      <c r="C5" s="482">
        <f>SUM(D5:G5)</f>
        <v>0</v>
      </c>
      <c r="D5" s="483"/>
      <c r="E5" s="494"/>
      <c r="F5" s="485"/>
      <c r="G5" s="485"/>
      <c r="H5" s="486">
        <f>SUM(I5:K5)</f>
        <v>0</v>
      </c>
      <c r="I5" s="487"/>
      <c r="J5" s="488"/>
      <c r="K5" s="489"/>
      <c r="L5" s="486">
        <f>SUM(M5:Z5)</f>
        <v>172.71258946798309</v>
      </c>
      <c r="M5" s="487"/>
      <c r="N5" s="487"/>
      <c r="O5" s="489"/>
      <c r="P5" s="489"/>
      <c r="Q5" s="489"/>
      <c r="R5" s="489"/>
      <c r="S5" s="489">
        <v>15.730078096892656</v>
      </c>
      <c r="T5" s="489"/>
      <c r="U5" s="489">
        <v>156.98251137109042</v>
      </c>
      <c r="V5" s="489"/>
      <c r="W5" s="485"/>
      <c r="X5" s="485"/>
      <c r="Y5" s="485"/>
      <c r="Z5" s="489"/>
      <c r="AA5" s="486"/>
      <c r="AB5" s="490">
        <f>SUM(AC5:AM5)</f>
        <v>0</v>
      </c>
      <c r="AC5" s="491"/>
      <c r="AD5" s="489"/>
      <c r="AE5" s="489"/>
      <c r="AF5" s="489"/>
      <c r="AG5" s="489"/>
      <c r="AH5" s="489"/>
      <c r="AI5" s="489"/>
      <c r="AJ5" s="489"/>
      <c r="AK5" s="487"/>
      <c r="AL5" s="487"/>
      <c r="AM5" s="485"/>
      <c r="AN5" s="492"/>
      <c r="AO5" s="492"/>
      <c r="AP5" s="490"/>
      <c r="AQ5" s="493">
        <f t="shared" si="0"/>
        <v>172.71258946798309</v>
      </c>
    </row>
    <row r="6" spans="1:45" ht="12.75" customHeight="1" thickBot="1">
      <c r="A6" s="495" t="s">
        <v>221</v>
      </c>
      <c r="B6" s="496"/>
      <c r="C6" s="482">
        <f>SUM(D6:G6)</f>
        <v>-101.25634942971131</v>
      </c>
      <c r="D6" s="497">
        <v>-101.869888772661</v>
      </c>
      <c r="E6" s="485">
        <v>-0.8079766727235479</v>
      </c>
      <c r="F6" s="498"/>
      <c r="G6" s="498">
        <v>1.4215160156732278</v>
      </c>
      <c r="H6" s="499">
        <f>SUM(I6:K6)</f>
        <v>-122.93905189963694</v>
      </c>
      <c r="I6" s="500">
        <v>-136.53826589963694</v>
      </c>
      <c r="J6" s="501">
        <v>0</v>
      </c>
      <c r="K6" s="500">
        <v>13.599214000000003</v>
      </c>
      <c r="L6" s="499">
        <f>SUM(M6:Z6)</f>
        <v>151.33981188504902</v>
      </c>
      <c r="M6" s="487">
        <v>38.730964773999993</v>
      </c>
      <c r="N6" s="487">
        <v>-8.8751519999999999</v>
      </c>
      <c r="O6" s="489"/>
      <c r="P6" s="489">
        <v>-9.6980083333333713</v>
      </c>
      <c r="Q6" s="489">
        <v>12.883201938880001</v>
      </c>
      <c r="R6" s="489">
        <v>82.12024884504001</v>
      </c>
      <c r="S6" s="489">
        <v>23.637599999999999</v>
      </c>
      <c r="T6" s="489">
        <v>1.4659197380156652</v>
      </c>
      <c r="U6" s="489">
        <v>8.3874136006762399</v>
      </c>
      <c r="V6" s="489">
        <v>3.2040911090633046</v>
      </c>
      <c r="W6" s="498">
        <v>-0.51646778729281662</v>
      </c>
      <c r="X6" s="498">
        <v>0</v>
      </c>
      <c r="Y6" s="498">
        <v>0</v>
      </c>
      <c r="Z6" s="500">
        <v>0</v>
      </c>
      <c r="AA6" s="499">
        <v>0</v>
      </c>
      <c r="AB6" s="502">
        <f>SUM(AC6:AM6)</f>
        <v>4.4601014379600006</v>
      </c>
      <c r="AC6" s="503"/>
      <c r="AD6" s="504"/>
      <c r="AE6" s="504">
        <v>0.26707427819999968</v>
      </c>
      <c r="AF6" s="504"/>
      <c r="AG6" s="504"/>
      <c r="AH6" s="504"/>
      <c r="AI6" s="504">
        <v>1.7828522013120007</v>
      </c>
      <c r="AJ6" s="504">
        <v>2.4101749584479997</v>
      </c>
      <c r="AK6" s="500"/>
      <c r="AL6" s="500"/>
      <c r="AM6" s="498"/>
      <c r="AN6" s="505"/>
      <c r="AO6" s="505"/>
      <c r="AP6" s="502"/>
      <c r="AQ6" s="506">
        <f t="shared" si="0"/>
        <v>-68.395488006339221</v>
      </c>
    </row>
    <row r="7" spans="1:45" s="42" customFormat="1" ht="12.75" customHeight="1">
      <c r="A7" s="507" t="s">
        <v>222</v>
      </c>
      <c r="B7" s="508"/>
      <c r="C7" s="509">
        <f t="shared" ref="C7:AP7" si="1">C2+C3-C4-C5+C6</f>
        <v>787.05173223022086</v>
      </c>
      <c r="D7" s="510">
        <f t="shared" si="1"/>
        <v>727.70471229823943</v>
      </c>
      <c r="E7" s="511">
        <f t="shared" si="1"/>
        <v>46.817168899951085</v>
      </c>
      <c r="F7" s="511">
        <f t="shared" si="1"/>
        <v>0</v>
      </c>
      <c r="G7" s="511">
        <f t="shared" si="1"/>
        <v>12.529851032030438</v>
      </c>
      <c r="H7" s="512">
        <f t="shared" si="1"/>
        <v>685.95222908664709</v>
      </c>
      <c r="I7" s="510">
        <f t="shared" si="1"/>
        <v>551.68208308664714</v>
      </c>
      <c r="J7" s="513">
        <f t="shared" si="1"/>
        <v>127.70399999999999</v>
      </c>
      <c r="K7" s="511">
        <f t="shared" si="1"/>
        <v>6.5661460000000034</v>
      </c>
      <c r="L7" s="512">
        <f t="shared" si="1"/>
        <v>7400.1225475385372</v>
      </c>
      <c r="M7" s="510">
        <f t="shared" si="1"/>
        <v>3092.2052611591994</v>
      </c>
      <c r="N7" s="510">
        <f t="shared" si="1"/>
        <v>7.7582254992000017</v>
      </c>
      <c r="O7" s="511">
        <f t="shared" si="1"/>
        <v>0</v>
      </c>
      <c r="P7" s="511">
        <f t="shared" si="1"/>
        <v>190.01618135555535</v>
      </c>
      <c r="Q7" s="511">
        <f t="shared" si="1"/>
        <v>360.35708069088003</v>
      </c>
      <c r="R7" s="511">
        <f t="shared" si="1"/>
        <v>1468.0708519300797</v>
      </c>
      <c r="S7" s="511">
        <f t="shared" si="1"/>
        <v>-895.87064706723163</v>
      </c>
      <c r="T7" s="511">
        <f t="shared" si="1"/>
        <v>123.72255052198433</v>
      </c>
      <c r="U7" s="511">
        <f t="shared" si="1"/>
        <v>2681.9542281981408</v>
      </c>
      <c r="V7" s="511">
        <f t="shared" si="1"/>
        <v>169.57766154671168</v>
      </c>
      <c r="W7" s="511">
        <f t="shared" si="1"/>
        <v>-29.252130973066301</v>
      </c>
      <c r="X7" s="511">
        <f t="shared" si="1"/>
        <v>195.36275312176252</v>
      </c>
      <c r="Y7" s="511">
        <f t="shared" si="1"/>
        <v>1.2096467108549098</v>
      </c>
      <c r="Z7" s="511">
        <f t="shared" si="1"/>
        <v>35.010884844467988</v>
      </c>
      <c r="AA7" s="512">
        <f t="shared" si="1"/>
        <v>4480.2572507256682</v>
      </c>
      <c r="AB7" s="512">
        <f t="shared" si="1"/>
        <v>1481.6042993098815</v>
      </c>
      <c r="AC7" s="510">
        <f t="shared" si="1"/>
        <v>59.691708987970003</v>
      </c>
      <c r="AD7" s="511">
        <f t="shared" si="1"/>
        <v>743.01992281532614</v>
      </c>
      <c r="AE7" s="511">
        <f t="shared" si="1"/>
        <v>273.04514180129252</v>
      </c>
      <c r="AF7" s="511">
        <f t="shared" si="1"/>
        <v>139.99992739520798</v>
      </c>
      <c r="AG7" s="511">
        <f t="shared" si="1"/>
        <v>33.531818868055431</v>
      </c>
      <c r="AH7" s="511">
        <f t="shared" si="1"/>
        <v>16.813132576534866</v>
      </c>
      <c r="AI7" s="511">
        <f t="shared" si="1"/>
        <v>128.62672037577602</v>
      </c>
      <c r="AJ7" s="511">
        <f t="shared" si="1"/>
        <v>27.916404744672001</v>
      </c>
      <c r="AK7" s="514">
        <f t="shared" si="1"/>
        <v>1.8899880806415161</v>
      </c>
      <c r="AL7" s="514">
        <f t="shared" si="1"/>
        <v>13.54608560366562</v>
      </c>
      <c r="AM7" s="510">
        <f t="shared" si="1"/>
        <v>43.523448060739646</v>
      </c>
      <c r="AN7" s="512">
        <f t="shared" si="1"/>
        <v>145.43710297949829</v>
      </c>
      <c r="AO7" s="512">
        <f t="shared" si="1"/>
        <v>-2.3847739799999772</v>
      </c>
      <c r="AP7" s="515">
        <f t="shared" si="1"/>
        <v>0</v>
      </c>
      <c r="AQ7" s="516">
        <f t="shared" si="0"/>
        <v>14978.040387890453</v>
      </c>
      <c r="AR7" s="38"/>
      <c r="AS7" s="41"/>
    </row>
    <row r="8" spans="1:45" s="42" customFormat="1" ht="12.75" customHeight="1" thickBot="1">
      <c r="A8" s="517" t="s">
        <v>223</v>
      </c>
      <c r="B8" s="518"/>
      <c r="C8" s="519">
        <f t="shared" ref="C8:AP8" si="2">C7-C27</f>
        <v>787.05173223022086</v>
      </c>
      <c r="D8" s="520">
        <f t="shared" si="2"/>
        <v>727.70471229823943</v>
      </c>
      <c r="E8" s="521">
        <f t="shared" si="2"/>
        <v>46.817168899951085</v>
      </c>
      <c r="F8" s="522">
        <f t="shared" si="2"/>
        <v>0</v>
      </c>
      <c r="G8" s="522">
        <f t="shared" si="2"/>
        <v>12.529851032030438</v>
      </c>
      <c r="H8" s="523">
        <f t="shared" si="2"/>
        <v>685.95222908664709</v>
      </c>
      <c r="I8" s="520">
        <f t="shared" si="2"/>
        <v>551.68208308664714</v>
      </c>
      <c r="J8" s="524">
        <f t="shared" si="2"/>
        <v>127.70399999999999</v>
      </c>
      <c r="K8" s="521">
        <f t="shared" si="2"/>
        <v>6.5661460000000034</v>
      </c>
      <c r="L8" s="523">
        <f t="shared" si="2"/>
        <v>7168.5392628614518</v>
      </c>
      <c r="M8" s="520">
        <f t="shared" si="2"/>
        <v>3092.2052611591994</v>
      </c>
      <c r="N8" s="520">
        <f t="shared" si="2"/>
        <v>7.7582254992000017</v>
      </c>
      <c r="O8" s="521">
        <f t="shared" si="2"/>
        <v>0</v>
      </c>
      <c r="P8" s="521">
        <f t="shared" si="2"/>
        <v>190.01618135555535</v>
      </c>
      <c r="Q8" s="521">
        <f t="shared" si="2"/>
        <v>360.35708069088003</v>
      </c>
      <c r="R8" s="521">
        <f t="shared" si="2"/>
        <v>1468.0708519300797</v>
      </c>
      <c r="S8" s="521">
        <f t="shared" si="2"/>
        <v>-895.87064706723163</v>
      </c>
      <c r="T8" s="521">
        <f t="shared" si="2"/>
        <v>123.72255052198433</v>
      </c>
      <c r="U8" s="521">
        <f t="shared" si="2"/>
        <v>2681.9542281981408</v>
      </c>
      <c r="V8" s="521">
        <f t="shared" si="2"/>
        <v>169.57766154671168</v>
      </c>
      <c r="W8" s="522">
        <f t="shared" si="2"/>
        <v>-29.252130973066301</v>
      </c>
      <c r="X8" s="522">
        <f t="shared" si="2"/>
        <v>0</v>
      </c>
      <c r="Y8" s="522">
        <f t="shared" si="2"/>
        <v>0</v>
      </c>
      <c r="Z8" s="521">
        <f t="shared" si="2"/>
        <v>0</v>
      </c>
      <c r="AA8" s="523">
        <f t="shared" si="2"/>
        <v>4480.2572507256682</v>
      </c>
      <c r="AB8" s="525">
        <f t="shared" si="2"/>
        <v>1481.6042993098815</v>
      </c>
      <c r="AC8" s="520">
        <f t="shared" si="2"/>
        <v>59.691708987970003</v>
      </c>
      <c r="AD8" s="521">
        <f t="shared" si="2"/>
        <v>743.01992281532614</v>
      </c>
      <c r="AE8" s="521">
        <f t="shared" si="2"/>
        <v>273.04514180129252</v>
      </c>
      <c r="AF8" s="521">
        <f t="shared" si="2"/>
        <v>139.99992739520798</v>
      </c>
      <c r="AG8" s="521">
        <f t="shared" si="2"/>
        <v>33.531818868055431</v>
      </c>
      <c r="AH8" s="521">
        <f t="shared" si="2"/>
        <v>16.813132576534866</v>
      </c>
      <c r="AI8" s="521">
        <f t="shared" si="2"/>
        <v>128.62672037577602</v>
      </c>
      <c r="AJ8" s="521">
        <f t="shared" si="2"/>
        <v>27.916404744672001</v>
      </c>
      <c r="AK8" s="526">
        <f t="shared" si="2"/>
        <v>1.8899880806415161</v>
      </c>
      <c r="AL8" s="526">
        <f t="shared" si="2"/>
        <v>13.54608560366562</v>
      </c>
      <c r="AM8" s="520">
        <f t="shared" si="2"/>
        <v>43.523448060739646</v>
      </c>
      <c r="AN8" s="523">
        <f t="shared" si="2"/>
        <v>145.43710297949829</v>
      </c>
      <c r="AO8" s="523">
        <f t="shared" si="2"/>
        <v>-2.3847739799999772</v>
      </c>
      <c r="AP8" s="520">
        <f t="shared" si="2"/>
        <v>0</v>
      </c>
      <c r="AQ8" s="527">
        <f t="shared" si="0"/>
        <v>14746.457103213368</v>
      </c>
      <c r="AR8" s="38"/>
      <c r="AS8" s="41"/>
    </row>
    <row r="9" spans="1:45" s="42" customFormat="1" ht="12.75" customHeight="1">
      <c r="A9" s="507" t="s">
        <v>224</v>
      </c>
      <c r="B9" s="508"/>
      <c r="C9" s="509">
        <f t="shared" ref="C9:AP9" si="3">SUM(C10:C14)</f>
        <v>489.13419536754503</v>
      </c>
      <c r="D9" s="514">
        <f t="shared" si="3"/>
        <v>489.13419536754503</v>
      </c>
      <c r="E9" s="511">
        <f t="shared" si="3"/>
        <v>0</v>
      </c>
      <c r="F9" s="528">
        <f t="shared" si="3"/>
        <v>0</v>
      </c>
      <c r="G9" s="528">
        <f t="shared" si="3"/>
        <v>0</v>
      </c>
      <c r="H9" s="512">
        <f t="shared" si="3"/>
        <v>541.02658367795425</v>
      </c>
      <c r="I9" s="514">
        <f t="shared" si="3"/>
        <v>541.02658367795425</v>
      </c>
      <c r="J9" s="513">
        <f t="shared" si="3"/>
        <v>0</v>
      </c>
      <c r="K9" s="511">
        <f t="shared" si="3"/>
        <v>0</v>
      </c>
      <c r="L9" s="512">
        <f t="shared" si="3"/>
        <v>3165.7216476484605</v>
      </c>
      <c r="M9" s="511">
        <f t="shared" si="3"/>
        <v>3092.2052611591994</v>
      </c>
      <c r="N9" s="511">
        <f t="shared" ref="N9" si="4">SUM(N10:N14)</f>
        <v>38.786602361842682</v>
      </c>
      <c r="O9" s="511">
        <f t="shared" si="3"/>
        <v>0</v>
      </c>
      <c r="P9" s="511">
        <f t="shared" si="3"/>
        <v>0</v>
      </c>
      <c r="Q9" s="511">
        <f t="shared" si="3"/>
        <v>0</v>
      </c>
      <c r="R9" s="511">
        <f t="shared" si="3"/>
        <v>0</v>
      </c>
      <c r="S9" s="511">
        <f t="shared" si="3"/>
        <v>25.868327226603597</v>
      </c>
      <c r="T9" s="511">
        <f t="shared" si="3"/>
        <v>0.63499472294399995</v>
      </c>
      <c r="U9" s="511">
        <f t="shared" si="3"/>
        <v>8.2264621778709284</v>
      </c>
      <c r="V9" s="511">
        <f t="shared" si="3"/>
        <v>0</v>
      </c>
      <c r="W9" s="528">
        <f t="shared" si="3"/>
        <v>0</v>
      </c>
      <c r="X9" s="528">
        <f t="shared" si="3"/>
        <v>0</v>
      </c>
      <c r="Y9" s="528">
        <f t="shared" si="3"/>
        <v>0</v>
      </c>
      <c r="Z9" s="511">
        <f t="shared" si="3"/>
        <v>0</v>
      </c>
      <c r="AA9" s="512">
        <f t="shared" si="3"/>
        <v>2501.2994242635782</v>
      </c>
      <c r="AB9" s="510">
        <f t="shared" si="3"/>
        <v>215.90352917717644</v>
      </c>
      <c r="AC9" s="529">
        <f t="shared" si="3"/>
        <v>0</v>
      </c>
      <c r="AD9" s="511">
        <f t="shared" si="3"/>
        <v>0</v>
      </c>
      <c r="AE9" s="511">
        <f t="shared" si="3"/>
        <v>76.028615684916531</v>
      </c>
      <c r="AF9" s="511">
        <f t="shared" ref="AF9" si="5">SUM(AF10:AF14)</f>
        <v>99.30702317107577</v>
      </c>
      <c r="AG9" s="511">
        <f t="shared" si="3"/>
        <v>33.531818868055431</v>
      </c>
      <c r="AH9" s="511">
        <f t="shared" si="3"/>
        <v>7.0360714531287174</v>
      </c>
      <c r="AI9" s="511">
        <f t="shared" si="3"/>
        <v>0</v>
      </c>
      <c r="AJ9" s="511">
        <f t="shared" ref="AJ9" si="6">SUM(AJ10:AJ14)</f>
        <v>0</v>
      </c>
      <c r="AK9" s="514">
        <f t="shared" si="3"/>
        <v>0</v>
      </c>
      <c r="AL9" s="514">
        <f t="shared" ref="AL9" si="7">SUM(AL10:AL14)</f>
        <v>0</v>
      </c>
      <c r="AM9" s="528">
        <f t="shared" si="3"/>
        <v>0</v>
      </c>
      <c r="AN9" s="512">
        <f t="shared" si="3"/>
        <v>90.714163374524205</v>
      </c>
      <c r="AO9" s="512">
        <f t="shared" si="3"/>
        <v>54.38453208</v>
      </c>
      <c r="AP9" s="510">
        <f t="shared" si="3"/>
        <v>0</v>
      </c>
      <c r="AQ9" s="530">
        <f t="shared" si="0"/>
        <v>7058.184075589239</v>
      </c>
      <c r="AR9" s="38"/>
      <c r="AS9" s="41"/>
    </row>
    <row r="10" spans="1:45" ht="12.75" customHeight="1">
      <c r="A10" s="531" t="s">
        <v>1132</v>
      </c>
      <c r="B10" s="532"/>
      <c r="C10" s="533">
        <f>SUM(D10:G10)</f>
        <v>489.13419536754503</v>
      </c>
      <c r="D10" s="534">
        <v>489.13419536754503</v>
      </c>
      <c r="E10" s="535"/>
      <c r="F10" s="536"/>
      <c r="G10" s="536"/>
      <c r="H10" s="537">
        <f>SUM(I10:K10)</f>
        <v>467.10845991760607</v>
      </c>
      <c r="I10" s="534">
        <v>467.10845991760607</v>
      </c>
      <c r="J10" s="538">
        <v>0</v>
      </c>
      <c r="K10" s="535"/>
      <c r="L10" s="537">
        <f>SUM(M10:Z10)</f>
        <v>34.094789404474525</v>
      </c>
      <c r="M10" s="535"/>
      <c r="N10" s="535"/>
      <c r="O10" s="535"/>
      <c r="P10" s="535"/>
      <c r="Q10" s="535"/>
      <c r="R10" s="535"/>
      <c r="S10" s="535">
        <v>25.868327226603597</v>
      </c>
      <c r="T10" s="535"/>
      <c r="U10" s="535">
        <v>8.2264621778709284</v>
      </c>
      <c r="V10" s="535"/>
      <c r="W10" s="536"/>
      <c r="X10" s="536"/>
      <c r="Y10" s="536"/>
      <c r="Z10" s="535"/>
      <c r="AA10" s="537">
        <v>2187.6033883210698</v>
      </c>
      <c r="AB10" s="539">
        <f>SUM(AC10:AM10)</f>
        <v>205.30590173319058</v>
      </c>
      <c r="AC10" s="540"/>
      <c r="AD10" s="535"/>
      <c r="AE10" s="535">
        <v>72.467059694059387</v>
      </c>
      <c r="AF10" s="535">
        <v>99.30702317107577</v>
      </c>
      <c r="AG10" s="535">
        <v>33.531818868055431</v>
      </c>
      <c r="AH10" s="535"/>
      <c r="AI10" s="535"/>
      <c r="AJ10" s="535"/>
      <c r="AK10" s="534"/>
      <c r="AL10" s="534"/>
      <c r="AM10" s="536"/>
      <c r="AN10" s="541">
        <v>90.714163374524205</v>
      </c>
      <c r="AO10" s="537"/>
      <c r="AP10" s="539"/>
      <c r="AQ10" s="542">
        <f t="shared" si="0"/>
        <v>3473.9608981184101</v>
      </c>
    </row>
    <row r="11" spans="1:45" ht="12.75" customHeight="1">
      <c r="A11" s="480" t="s">
        <v>1133</v>
      </c>
      <c r="B11" s="481"/>
      <c r="C11" s="482">
        <f>SUM(D11:G11)</f>
        <v>0</v>
      </c>
      <c r="D11" s="487">
        <v>0</v>
      </c>
      <c r="E11" s="489"/>
      <c r="F11" s="485"/>
      <c r="G11" s="485"/>
      <c r="H11" s="486">
        <f>SUM(I11:K11)</f>
        <v>5.8425469182429177</v>
      </c>
      <c r="I11" s="487">
        <v>5.8425469182429177</v>
      </c>
      <c r="J11" s="488"/>
      <c r="K11" s="489"/>
      <c r="L11" s="486">
        <f>SUM(M11:Z11)</f>
        <v>0.63499472294399995</v>
      </c>
      <c r="M11" s="489"/>
      <c r="N11" s="543"/>
      <c r="O11" s="543">
        <v>0</v>
      </c>
      <c r="P11" s="489"/>
      <c r="Q11" s="489"/>
      <c r="R11" s="489"/>
      <c r="S11" s="489">
        <v>0</v>
      </c>
      <c r="T11" s="489">
        <v>0.63499472294399995</v>
      </c>
      <c r="U11" s="489">
        <v>0</v>
      </c>
      <c r="V11" s="489"/>
      <c r="W11" s="485"/>
      <c r="X11" s="485"/>
      <c r="Y11" s="485"/>
      <c r="Z11" s="489"/>
      <c r="AA11" s="486">
        <v>272.96145103491432</v>
      </c>
      <c r="AB11" s="490">
        <f>SUM(AC11:AM11)</f>
        <v>10.597627443985861</v>
      </c>
      <c r="AC11" s="491"/>
      <c r="AD11" s="489"/>
      <c r="AE11" s="489">
        <v>3.5615559908571428</v>
      </c>
      <c r="AF11" s="489"/>
      <c r="AG11" s="489"/>
      <c r="AH11" s="489">
        <v>7.0360714531287174</v>
      </c>
      <c r="AI11" s="489"/>
      <c r="AJ11" s="489"/>
      <c r="AK11" s="487"/>
      <c r="AL11" s="487"/>
      <c r="AM11" s="485"/>
      <c r="AN11" s="492"/>
      <c r="AO11" s="492"/>
      <c r="AP11" s="490"/>
      <c r="AQ11" s="493">
        <f t="shared" si="0"/>
        <v>290.03662012008709</v>
      </c>
    </row>
    <row r="12" spans="1:45" ht="12.75" customHeight="1">
      <c r="A12" s="480" t="s">
        <v>1134</v>
      </c>
      <c r="B12" s="481"/>
      <c r="C12" s="482"/>
      <c r="D12" s="487"/>
      <c r="E12" s="489"/>
      <c r="F12" s="485"/>
      <c r="G12" s="485"/>
      <c r="H12" s="486"/>
      <c r="I12" s="487"/>
      <c r="J12" s="488"/>
      <c r="K12" s="489"/>
      <c r="L12" s="486"/>
      <c r="M12" s="489"/>
      <c r="N12" s="543"/>
      <c r="O12" s="543"/>
      <c r="P12" s="489"/>
      <c r="Q12" s="489"/>
      <c r="R12" s="489"/>
      <c r="S12" s="489"/>
      <c r="T12" s="489"/>
      <c r="U12" s="489"/>
      <c r="V12" s="489"/>
      <c r="W12" s="485"/>
      <c r="X12" s="485"/>
      <c r="Y12" s="485"/>
      <c r="Z12" s="489"/>
      <c r="AA12" s="486"/>
      <c r="AB12" s="490"/>
      <c r="AC12" s="491"/>
      <c r="AD12" s="489"/>
      <c r="AE12" s="489"/>
      <c r="AF12" s="489"/>
      <c r="AG12" s="489"/>
      <c r="AH12" s="489"/>
      <c r="AI12" s="489"/>
      <c r="AJ12" s="489"/>
      <c r="AK12" s="487"/>
      <c r="AL12" s="487"/>
      <c r="AM12" s="485"/>
      <c r="AN12" s="492"/>
      <c r="AO12" s="492">
        <v>42.942060079999997</v>
      </c>
      <c r="AP12" s="490"/>
      <c r="AQ12" s="493">
        <f t="shared" si="0"/>
        <v>42.942060079999997</v>
      </c>
    </row>
    <row r="13" spans="1:45" ht="12.75" customHeight="1">
      <c r="A13" s="480" t="s">
        <v>1135</v>
      </c>
      <c r="B13" s="481"/>
      <c r="C13" s="482">
        <f>SUM(D13:G13)</f>
        <v>0</v>
      </c>
      <c r="D13" s="487"/>
      <c r="E13" s="485"/>
      <c r="F13" s="485"/>
      <c r="G13" s="485"/>
      <c r="H13" s="486">
        <f>SUM(I13:K13)</f>
        <v>68.075576842105264</v>
      </c>
      <c r="I13" s="487">
        <v>68.075576842105264</v>
      </c>
      <c r="J13" s="488"/>
      <c r="K13" s="489"/>
      <c r="L13" s="486">
        <f>SUM(M13:Z13)</f>
        <v>0</v>
      </c>
      <c r="M13" s="489"/>
      <c r="N13" s="489"/>
      <c r="O13" s="489"/>
      <c r="P13" s="489"/>
      <c r="Q13" s="489"/>
      <c r="R13" s="489"/>
      <c r="S13" s="489"/>
      <c r="T13" s="489"/>
      <c r="U13" s="489"/>
      <c r="V13" s="489"/>
      <c r="W13" s="485"/>
      <c r="X13" s="485"/>
      <c r="Y13" s="485"/>
      <c r="Z13" s="489"/>
      <c r="AA13" s="486"/>
      <c r="AB13" s="490">
        <f>SUM(AC13:AM13)</f>
        <v>0</v>
      </c>
      <c r="AC13" s="491"/>
      <c r="AD13" s="489"/>
      <c r="AE13" s="489"/>
      <c r="AF13" s="489"/>
      <c r="AG13" s="489"/>
      <c r="AH13" s="489"/>
      <c r="AI13" s="489"/>
      <c r="AJ13" s="489"/>
      <c r="AK13" s="487"/>
      <c r="AL13" s="487"/>
      <c r="AM13" s="485"/>
      <c r="AN13" s="492"/>
      <c r="AO13" s="492"/>
      <c r="AP13" s="490"/>
      <c r="AQ13" s="493">
        <f t="shared" si="0"/>
        <v>68.075576842105264</v>
      </c>
    </row>
    <row r="14" spans="1:45" ht="12.75" customHeight="1">
      <c r="A14" s="544" t="s">
        <v>1136</v>
      </c>
      <c r="B14" s="545"/>
      <c r="C14" s="546">
        <f>SUM(D14:G14)</f>
        <v>0</v>
      </c>
      <c r="D14" s="547"/>
      <c r="E14" s="548"/>
      <c r="F14" s="549"/>
      <c r="G14" s="549"/>
      <c r="H14" s="550">
        <f>SUM(I14:K14)</f>
        <v>0</v>
      </c>
      <c r="I14" s="547"/>
      <c r="J14" s="551"/>
      <c r="K14" s="548"/>
      <c r="L14" s="550">
        <f>SUM(M14:Z14)</f>
        <v>3130.991863521042</v>
      </c>
      <c r="M14" s="548">
        <v>3092.2052611591994</v>
      </c>
      <c r="N14" s="548">
        <v>38.786602361842682</v>
      </c>
      <c r="O14" s="548"/>
      <c r="P14" s="548"/>
      <c r="Q14" s="548"/>
      <c r="R14" s="548"/>
      <c r="S14" s="548"/>
      <c r="T14" s="548"/>
      <c r="U14" s="548"/>
      <c r="V14" s="548"/>
      <c r="W14" s="549"/>
      <c r="X14" s="549"/>
      <c r="Y14" s="549"/>
      <c r="Z14" s="548"/>
      <c r="AA14" s="550">
        <v>40.734584907594211</v>
      </c>
      <c r="AB14" s="552">
        <f>SUM(AC14:AM14)</f>
        <v>0</v>
      </c>
      <c r="AC14" s="553"/>
      <c r="AD14" s="548"/>
      <c r="AE14" s="548"/>
      <c r="AF14" s="548"/>
      <c r="AG14" s="548"/>
      <c r="AH14" s="548"/>
      <c r="AI14" s="548"/>
      <c r="AJ14" s="548"/>
      <c r="AK14" s="547"/>
      <c r="AL14" s="547"/>
      <c r="AM14" s="549"/>
      <c r="AN14" s="554"/>
      <c r="AO14" s="554">
        <v>11.442471999999999</v>
      </c>
      <c r="AP14" s="552"/>
      <c r="AQ14" s="555">
        <f t="shared" si="0"/>
        <v>3183.1689204286363</v>
      </c>
    </row>
    <row r="15" spans="1:45" s="42" customFormat="1" ht="12.75" customHeight="1">
      <c r="A15" s="556" t="s">
        <v>225</v>
      </c>
      <c r="B15" s="557"/>
      <c r="C15" s="558">
        <f t="shared" ref="C15:AP15" si="8">SUM(C16:C20)</f>
        <v>0</v>
      </c>
      <c r="D15" s="559">
        <f t="shared" si="8"/>
        <v>0</v>
      </c>
      <c r="E15" s="560">
        <f t="shared" si="8"/>
        <v>0</v>
      </c>
      <c r="F15" s="561">
        <f t="shared" si="8"/>
        <v>0</v>
      </c>
      <c r="G15" s="561">
        <f t="shared" si="8"/>
        <v>0</v>
      </c>
      <c r="H15" s="562">
        <f t="shared" si="8"/>
        <v>64.671797999999995</v>
      </c>
      <c r="I15" s="559">
        <f t="shared" si="8"/>
        <v>0</v>
      </c>
      <c r="J15" s="563">
        <f t="shared" si="8"/>
        <v>0</v>
      </c>
      <c r="K15" s="560">
        <f t="shared" si="8"/>
        <v>64.671797999999995</v>
      </c>
      <c r="L15" s="562">
        <f t="shared" si="8"/>
        <v>3166.7858692089685</v>
      </c>
      <c r="M15" s="560">
        <f t="shared" si="8"/>
        <v>0</v>
      </c>
      <c r="N15" s="560">
        <f t="shared" si="8"/>
        <v>0</v>
      </c>
      <c r="O15" s="560">
        <f t="shared" si="8"/>
        <v>90.017983923640699</v>
      </c>
      <c r="P15" s="560">
        <f t="shared" si="8"/>
        <v>640.53679657777786</v>
      </c>
      <c r="Q15" s="560">
        <f t="shared" si="8"/>
        <v>226.77459106847999</v>
      </c>
      <c r="R15" s="560">
        <f t="shared" si="8"/>
        <v>0</v>
      </c>
      <c r="S15" s="560">
        <f t="shared" si="8"/>
        <v>960.95017928079096</v>
      </c>
      <c r="T15" s="560">
        <f t="shared" si="8"/>
        <v>64.797462901984332</v>
      </c>
      <c r="U15" s="560">
        <f t="shared" si="8"/>
        <v>1146.9502117491124</v>
      </c>
      <c r="V15" s="560">
        <f t="shared" si="8"/>
        <v>0</v>
      </c>
      <c r="W15" s="561">
        <f t="shared" si="8"/>
        <v>36.758643707182323</v>
      </c>
      <c r="X15" s="561">
        <f t="shared" si="8"/>
        <v>0</v>
      </c>
      <c r="Y15" s="561">
        <f t="shared" si="8"/>
        <v>0</v>
      </c>
      <c r="Z15" s="560">
        <f t="shared" si="8"/>
        <v>0</v>
      </c>
      <c r="AA15" s="562">
        <f t="shared" si="8"/>
        <v>0</v>
      </c>
      <c r="AB15" s="564">
        <f t="shared" si="8"/>
        <v>0</v>
      </c>
      <c r="AC15" s="565">
        <f t="shared" si="8"/>
        <v>0</v>
      </c>
      <c r="AD15" s="560">
        <f t="shared" si="8"/>
        <v>0</v>
      </c>
      <c r="AE15" s="560">
        <f t="shared" si="8"/>
        <v>0</v>
      </c>
      <c r="AF15" s="560">
        <f t="shared" si="8"/>
        <v>0</v>
      </c>
      <c r="AG15" s="566">
        <f t="shared" si="8"/>
        <v>0</v>
      </c>
      <c r="AH15" s="566">
        <f t="shared" si="8"/>
        <v>0</v>
      </c>
      <c r="AI15" s="566">
        <f t="shared" si="8"/>
        <v>0</v>
      </c>
      <c r="AJ15" s="566">
        <f t="shared" si="8"/>
        <v>0</v>
      </c>
      <c r="AK15" s="559">
        <f t="shared" si="8"/>
        <v>0</v>
      </c>
      <c r="AL15" s="559">
        <f t="shared" si="8"/>
        <v>0</v>
      </c>
      <c r="AM15" s="561">
        <f t="shared" si="8"/>
        <v>0</v>
      </c>
      <c r="AN15" s="562">
        <f t="shared" si="8"/>
        <v>0</v>
      </c>
      <c r="AO15" s="562">
        <f t="shared" si="8"/>
        <v>1873.361490524092</v>
      </c>
      <c r="AP15" s="564">
        <f t="shared" si="8"/>
        <v>0</v>
      </c>
      <c r="AQ15" s="567">
        <f t="shared" si="0"/>
        <v>5104.8191577330599</v>
      </c>
      <c r="AR15" s="38"/>
      <c r="AS15" s="41"/>
    </row>
    <row r="16" spans="1:45" ht="12.75" customHeight="1">
      <c r="A16" s="531" t="s">
        <v>1137</v>
      </c>
      <c r="B16" s="532"/>
      <c r="C16" s="533">
        <f>SUM(D16:G16)</f>
        <v>0</v>
      </c>
      <c r="D16" s="534"/>
      <c r="E16" s="535"/>
      <c r="F16" s="536"/>
      <c r="G16" s="536"/>
      <c r="H16" s="537">
        <f>SUM(I16:K16)</f>
        <v>0</v>
      </c>
      <c r="I16" s="534"/>
      <c r="J16" s="535"/>
      <c r="K16" s="535"/>
      <c r="L16" s="537">
        <f>SUM(M16:Z16)</f>
        <v>0</v>
      </c>
      <c r="M16" s="535"/>
      <c r="N16" s="535"/>
      <c r="O16" s="535"/>
      <c r="P16" s="535"/>
      <c r="Q16" s="535"/>
      <c r="R16" s="535"/>
      <c r="S16" s="535"/>
      <c r="T16" s="535"/>
      <c r="U16" s="535"/>
      <c r="V16" s="535"/>
      <c r="W16" s="536"/>
      <c r="X16" s="536"/>
      <c r="Y16" s="536"/>
      <c r="Z16" s="535"/>
      <c r="AA16" s="537"/>
      <c r="AB16" s="539">
        <f>SUM(AC16:AL16)</f>
        <v>0</v>
      </c>
      <c r="AC16" s="540"/>
      <c r="AD16" s="535"/>
      <c r="AE16" s="535"/>
      <c r="AF16" s="535"/>
      <c r="AG16" s="543"/>
      <c r="AH16" s="543"/>
      <c r="AI16" s="543"/>
      <c r="AJ16" s="543"/>
      <c r="AK16" s="534"/>
      <c r="AL16" s="534"/>
      <c r="AM16" s="536"/>
      <c r="AN16" s="541"/>
      <c r="AO16" s="541">
        <v>1667.7865923774164</v>
      </c>
      <c r="AP16" s="539"/>
      <c r="AQ16" s="568">
        <f>C16+H16+L16+AA16+AO16+AP16</f>
        <v>1667.7865923774164</v>
      </c>
    </row>
    <row r="17" spans="1:45" ht="12.75" customHeight="1">
      <c r="A17" s="480" t="s">
        <v>1138</v>
      </c>
      <c r="B17" s="481"/>
      <c r="C17" s="482">
        <f>SUM(D17:G17)</f>
        <v>0</v>
      </c>
      <c r="D17" s="487"/>
      <c r="E17" s="489"/>
      <c r="F17" s="485"/>
      <c r="G17" s="485"/>
      <c r="H17" s="486">
        <f>SUM(I17:K17)</f>
        <v>0</v>
      </c>
      <c r="I17" s="487"/>
      <c r="J17" s="489"/>
      <c r="K17" s="489"/>
      <c r="L17" s="486">
        <f>SUM(M17:Z17)</f>
        <v>0</v>
      </c>
      <c r="M17" s="489"/>
      <c r="N17" s="489"/>
      <c r="O17" s="489"/>
      <c r="P17" s="489"/>
      <c r="Q17" s="489"/>
      <c r="R17" s="489"/>
      <c r="S17" s="489"/>
      <c r="T17" s="489"/>
      <c r="U17" s="489"/>
      <c r="V17" s="489"/>
      <c r="W17" s="485"/>
      <c r="X17" s="485"/>
      <c r="Y17" s="485"/>
      <c r="Z17" s="489"/>
      <c r="AA17" s="486"/>
      <c r="AB17" s="490">
        <f>SUM(AC17:AL17)</f>
        <v>0</v>
      </c>
      <c r="AC17" s="491"/>
      <c r="AD17" s="489"/>
      <c r="AE17" s="489"/>
      <c r="AF17" s="489"/>
      <c r="AG17" s="489"/>
      <c r="AH17" s="489"/>
      <c r="AI17" s="489"/>
      <c r="AJ17" s="489"/>
      <c r="AK17" s="487"/>
      <c r="AL17" s="487"/>
      <c r="AM17" s="485"/>
      <c r="AN17" s="492"/>
      <c r="AO17" s="569">
        <v>185.14395873624346</v>
      </c>
      <c r="AP17" s="490"/>
      <c r="AQ17" s="493">
        <f>C17+H17+L17+AA17+AO17+AP17</f>
        <v>185.14395873624346</v>
      </c>
    </row>
    <row r="18" spans="1:45" ht="12.75" customHeight="1">
      <c r="A18" s="480" t="s">
        <v>1139</v>
      </c>
      <c r="B18" s="481"/>
      <c r="C18" s="482"/>
      <c r="D18" s="487"/>
      <c r="E18" s="489"/>
      <c r="F18" s="485"/>
      <c r="G18" s="485"/>
      <c r="H18" s="486"/>
      <c r="I18" s="487"/>
      <c r="J18" s="489"/>
      <c r="K18" s="489"/>
      <c r="L18" s="486"/>
      <c r="M18" s="489"/>
      <c r="N18" s="489"/>
      <c r="O18" s="489"/>
      <c r="P18" s="489"/>
      <c r="Q18" s="489"/>
      <c r="R18" s="489"/>
      <c r="S18" s="489"/>
      <c r="T18" s="489"/>
      <c r="U18" s="489"/>
      <c r="V18" s="489"/>
      <c r="W18" s="485"/>
      <c r="X18" s="485"/>
      <c r="Y18" s="485"/>
      <c r="Z18" s="489"/>
      <c r="AA18" s="486"/>
      <c r="AB18" s="490"/>
      <c r="AC18" s="491"/>
      <c r="AD18" s="489"/>
      <c r="AE18" s="489"/>
      <c r="AF18" s="489"/>
      <c r="AG18" s="489"/>
      <c r="AH18" s="489"/>
      <c r="AI18" s="489"/>
      <c r="AJ18" s="489"/>
      <c r="AK18" s="487"/>
      <c r="AL18" s="487"/>
      <c r="AM18" s="485"/>
      <c r="AN18" s="492"/>
      <c r="AO18" s="492">
        <v>20.430939410432</v>
      </c>
      <c r="AP18" s="490"/>
      <c r="AQ18" s="493">
        <f t="shared" si="0"/>
        <v>20.430939410432</v>
      </c>
    </row>
    <row r="19" spans="1:45" ht="12.75" customHeight="1">
      <c r="A19" s="480" t="s">
        <v>1140</v>
      </c>
      <c r="B19" s="481"/>
      <c r="C19" s="482"/>
      <c r="D19" s="38"/>
      <c r="E19" s="489"/>
      <c r="F19" s="485"/>
      <c r="G19" s="485"/>
      <c r="H19" s="486">
        <f>SUM(I19:K19)</f>
        <v>64.671797999999995</v>
      </c>
      <c r="I19" s="487"/>
      <c r="J19" s="489"/>
      <c r="K19" s="489">
        <v>64.671797999999995</v>
      </c>
      <c r="L19" s="486">
        <f>SUM(M19:Z19)</f>
        <v>0</v>
      </c>
      <c r="M19" s="489"/>
      <c r="N19" s="489"/>
      <c r="O19" s="489"/>
      <c r="P19" s="489"/>
      <c r="Q19" s="489"/>
      <c r="R19" s="489"/>
      <c r="S19" s="489"/>
      <c r="T19" s="489"/>
      <c r="U19" s="489"/>
      <c r="V19" s="489"/>
      <c r="W19" s="485"/>
      <c r="X19" s="485"/>
      <c r="Y19" s="485"/>
      <c r="Z19" s="489"/>
      <c r="AA19" s="486"/>
      <c r="AB19" s="490">
        <f>SUM(AC19:AL19)</f>
        <v>0</v>
      </c>
      <c r="AC19" s="491"/>
      <c r="AD19" s="489"/>
      <c r="AE19" s="489"/>
      <c r="AF19" s="489"/>
      <c r="AG19" s="489"/>
      <c r="AH19" s="489"/>
      <c r="AI19" s="489"/>
      <c r="AJ19" s="489"/>
      <c r="AK19" s="487"/>
      <c r="AL19" s="487"/>
      <c r="AM19" s="485"/>
      <c r="AN19" s="492"/>
      <c r="AO19" s="492"/>
      <c r="AP19" s="490"/>
      <c r="AQ19" s="493">
        <f t="shared" si="0"/>
        <v>64.671797999999995</v>
      </c>
    </row>
    <row r="20" spans="1:45" ht="12.75" customHeight="1">
      <c r="A20" s="544" t="s">
        <v>1141</v>
      </c>
      <c r="B20" s="545"/>
      <c r="C20" s="546"/>
      <c r="D20" s="547"/>
      <c r="E20" s="548"/>
      <c r="F20" s="549"/>
      <c r="G20" s="549"/>
      <c r="H20" s="550">
        <f>SUM(I20:K20)</f>
        <v>0</v>
      </c>
      <c r="I20" s="547"/>
      <c r="J20" s="548"/>
      <c r="K20" s="548"/>
      <c r="L20" s="550">
        <f>SUM(M20:Z20)</f>
        <v>3166.7858692089685</v>
      </c>
      <c r="M20" s="548"/>
      <c r="N20" s="548"/>
      <c r="O20" s="548">
        <v>90.017983923640699</v>
      </c>
      <c r="P20" s="548">
        <v>640.53679657777786</v>
      </c>
      <c r="Q20" s="548">
        <v>226.77459106847999</v>
      </c>
      <c r="R20" s="548">
        <v>0</v>
      </c>
      <c r="S20" s="548">
        <v>960.95017928079096</v>
      </c>
      <c r="T20" s="548">
        <v>64.797462901984332</v>
      </c>
      <c r="U20" s="548">
        <v>1146.9502117491124</v>
      </c>
      <c r="V20" s="548"/>
      <c r="W20" s="549">
        <v>36.758643707182323</v>
      </c>
      <c r="X20" s="549"/>
      <c r="Y20" s="549"/>
      <c r="Z20" s="548"/>
      <c r="AA20" s="550"/>
      <c r="AB20" s="552">
        <f>SUM(AC20:AL20)</f>
        <v>0</v>
      </c>
      <c r="AC20" s="553"/>
      <c r="AD20" s="548"/>
      <c r="AE20" s="548"/>
      <c r="AF20" s="548"/>
      <c r="AG20" s="548"/>
      <c r="AH20" s="548"/>
      <c r="AI20" s="548"/>
      <c r="AJ20" s="548"/>
      <c r="AK20" s="547"/>
      <c r="AL20" s="547"/>
      <c r="AM20" s="549"/>
      <c r="AN20" s="554"/>
      <c r="AO20" s="554"/>
      <c r="AP20" s="552"/>
      <c r="AQ20" s="555">
        <f t="shared" si="0"/>
        <v>3166.7858692089685</v>
      </c>
    </row>
    <row r="21" spans="1:45" ht="12.75" customHeight="1">
      <c r="A21" s="570" t="s">
        <v>226</v>
      </c>
      <c r="B21" s="571"/>
      <c r="C21" s="572">
        <f>SUM(C22:C24)</f>
        <v>22.240061570656763</v>
      </c>
      <c r="D21" s="573">
        <f>SUM(D22:D24)</f>
        <v>-17.141361188350004</v>
      </c>
      <c r="E21" s="574">
        <f>SUM(E22:E24)</f>
        <v>39.381422759006767</v>
      </c>
      <c r="F21" s="575">
        <f>SUM(F22:F24)</f>
        <v>0</v>
      </c>
      <c r="G21" s="575">
        <f>SUM(G22:G24)</f>
        <v>0</v>
      </c>
      <c r="H21" s="576">
        <f>SUM(I21:K21)</f>
        <v>0</v>
      </c>
      <c r="I21" s="573">
        <f>SUM(I22:I24)</f>
        <v>0</v>
      </c>
      <c r="J21" s="574">
        <f>SUM(J22:J24)</f>
        <v>0</v>
      </c>
      <c r="K21" s="574">
        <f>SUM(K22:K24)</f>
        <v>0</v>
      </c>
      <c r="L21" s="576">
        <f>SUM(M21:Z21)</f>
        <v>-24.684016341344112</v>
      </c>
      <c r="M21" s="574">
        <f t="shared" ref="M21:AQ21" si="9">SUM(M22:M24)</f>
        <v>0</v>
      </c>
      <c r="N21" s="574">
        <f t="shared" si="9"/>
        <v>30.880435114089789</v>
      </c>
      <c r="O21" s="574">
        <f t="shared" si="9"/>
        <v>0</v>
      </c>
      <c r="P21" s="574">
        <f t="shared" si="9"/>
        <v>-31.331710700000009</v>
      </c>
      <c r="Q21" s="574">
        <f t="shared" si="9"/>
        <v>361.91080481920005</v>
      </c>
      <c r="R21" s="574">
        <f t="shared" si="9"/>
        <v>-361.12225342559998</v>
      </c>
      <c r="S21" s="574">
        <f t="shared" si="9"/>
        <v>-0.17168420677966101</v>
      </c>
      <c r="T21" s="574">
        <f t="shared" si="9"/>
        <v>0</v>
      </c>
      <c r="U21" s="574">
        <f t="shared" si="9"/>
        <v>-2.6095463715975598</v>
      </c>
      <c r="V21" s="574">
        <f t="shared" si="9"/>
        <v>-22.240061570656767</v>
      </c>
      <c r="W21" s="575">
        <f t="shared" si="9"/>
        <v>0</v>
      </c>
      <c r="X21" s="575">
        <f t="shared" si="9"/>
        <v>0</v>
      </c>
      <c r="Y21" s="575">
        <f t="shared" si="9"/>
        <v>0</v>
      </c>
      <c r="Z21" s="574">
        <f t="shared" si="9"/>
        <v>0</v>
      </c>
      <c r="AA21" s="576">
        <f t="shared" si="9"/>
        <v>0</v>
      </c>
      <c r="AB21" s="577">
        <f t="shared" si="9"/>
        <v>-804.60161988393759</v>
      </c>
      <c r="AC21" s="578">
        <f t="shared" si="9"/>
        <v>-59.691708987970003</v>
      </c>
      <c r="AD21" s="574">
        <f t="shared" si="9"/>
        <v>-743.01992281532614</v>
      </c>
      <c r="AE21" s="574">
        <f t="shared" si="9"/>
        <v>0</v>
      </c>
      <c r="AF21" s="574">
        <f t="shared" si="9"/>
        <v>0</v>
      </c>
      <c r="AG21" s="579">
        <f t="shared" si="9"/>
        <v>0</v>
      </c>
      <c r="AH21" s="579">
        <f t="shared" si="9"/>
        <v>0</v>
      </c>
      <c r="AI21" s="579">
        <f t="shared" si="9"/>
        <v>0</v>
      </c>
      <c r="AJ21" s="579">
        <f t="shared" si="9"/>
        <v>0</v>
      </c>
      <c r="AK21" s="573">
        <f t="shared" si="9"/>
        <v>-1.8899880806415161</v>
      </c>
      <c r="AL21" s="579">
        <f t="shared" si="9"/>
        <v>0</v>
      </c>
      <c r="AM21" s="575">
        <f t="shared" si="9"/>
        <v>0</v>
      </c>
      <c r="AN21" s="580">
        <f t="shared" si="9"/>
        <v>0</v>
      </c>
      <c r="AO21" s="576">
        <f t="shared" si="9"/>
        <v>804.60161988393759</v>
      </c>
      <c r="AP21" s="577">
        <f t="shared" si="9"/>
        <v>0</v>
      </c>
      <c r="AQ21" s="581">
        <f t="shared" si="9"/>
        <v>-2.4439547706873483</v>
      </c>
    </row>
    <row r="22" spans="1:45" ht="12.75" customHeight="1">
      <c r="A22" s="531" t="s">
        <v>1142</v>
      </c>
      <c r="B22" s="532"/>
      <c r="C22" s="582"/>
      <c r="D22" s="583"/>
      <c r="E22" s="584"/>
      <c r="F22" s="536"/>
      <c r="G22" s="536"/>
      <c r="H22" s="537"/>
      <c r="I22" s="585"/>
      <c r="J22" s="535"/>
      <c r="K22" s="535"/>
      <c r="L22" s="537"/>
      <c r="M22" s="535"/>
      <c r="N22" s="535"/>
      <c r="O22" s="535"/>
      <c r="P22" s="535"/>
      <c r="Q22" s="535"/>
      <c r="R22" s="535"/>
      <c r="S22" s="535"/>
      <c r="T22" s="535"/>
      <c r="U22" s="535"/>
      <c r="V22" s="535"/>
      <c r="W22" s="536"/>
      <c r="X22" s="536"/>
      <c r="Y22" s="536"/>
      <c r="Z22" s="535"/>
      <c r="AA22" s="537"/>
      <c r="AB22" s="539">
        <f>SUM(AC22:AM22)</f>
        <v>-804.60161988393759</v>
      </c>
      <c r="AC22" s="540">
        <f>-AC2</f>
        <v>-59.691708987970003</v>
      </c>
      <c r="AD22" s="535">
        <f>-AD2</f>
        <v>-743.01992281532614</v>
      </c>
      <c r="AE22" s="535"/>
      <c r="AF22" s="535"/>
      <c r="AG22" s="543"/>
      <c r="AH22" s="543"/>
      <c r="AI22" s="543"/>
      <c r="AJ22" s="543"/>
      <c r="AK22" s="534">
        <v>-1.8899880806415161</v>
      </c>
      <c r="AL22" s="543"/>
      <c r="AM22" s="536"/>
      <c r="AN22" s="541"/>
      <c r="AO22" s="537">
        <f>-(C22+H22+L22+AA22+AB22)</f>
        <v>804.60161988393759</v>
      </c>
      <c r="AP22" s="539"/>
      <c r="AQ22" s="568">
        <f>C22+H22+L22+AA22+AB22+AN22+AO22+AP22</f>
        <v>0</v>
      </c>
    </row>
    <row r="23" spans="1:45" ht="12.75" customHeight="1">
      <c r="A23" s="586" t="s">
        <v>1143</v>
      </c>
      <c r="B23" s="557"/>
      <c r="C23" s="587"/>
      <c r="D23" s="588"/>
      <c r="E23" s="560"/>
      <c r="F23" s="589"/>
      <c r="G23" s="589"/>
      <c r="H23" s="562"/>
      <c r="I23" s="590"/>
      <c r="J23" s="591"/>
      <c r="K23" s="591"/>
      <c r="L23" s="562"/>
      <c r="M23" s="591"/>
      <c r="N23" s="591"/>
      <c r="O23" s="591"/>
      <c r="P23" s="591"/>
      <c r="Q23" s="591"/>
      <c r="R23" s="591"/>
      <c r="S23" s="591"/>
      <c r="T23" s="591"/>
      <c r="U23" s="591"/>
      <c r="V23" s="591"/>
      <c r="W23" s="589"/>
      <c r="X23" s="589"/>
      <c r="Y23" s="589"/>
      <c r="Z23" s="591"/>
      <c r="AA23" s="562"/>
      <c r="AB23" s="564"/>
      <c r="AC23" s="592"/>
      <c r="AD23" s="591"/>
      <c r="AE23" s="591"/>
      <c r="AF23" s="591"/>
      <c r="AG23" s="591"/>
      <c r="AH23" s="591"/>
      <c r="AI23" s="591"/>
      <c r="AJ23" s="591"/>
      <c r="AK23" s="593"/>
      <c r="AL23" s="593"/>
      <c r="AM23" s="589"/>
      <c r="AN23" s="594"/>
      <c r="AO23" s="562"/>
      <c r="AP23" s="564"/>
      <c r="AQ23" s="595">
        <f>C23+H23+L23+AA23+AB23+AN23+AO23+AP23</f>
        <v>0</v>
      </c>
    </row>
    <row r="24" spans="1:45" ht="12.75" customHeight="1" thickBot="1">
      <c r="A24" s="495" t="s">
        <v>1144</v>
      </c>
      <c r="B24" s="496"/>
      <c r="C24" s="596">
        <f>SUM(D24:G24)</f>
        <v>22.240061570656763</v>
      </c>
      <c r="D24" s="597">
        <v>-17.141361188350004</v>
      </c>
      <c r="E24" s="504">
        <f>-D24-V24</f>
        <v>39.381422759006767</v>
      </c>
      <c r="F24" s="498"/>
      <c r="G24" s="498"/>
      <c r="H24" s="499"/>
      <c r="I24" s="598"/>
      <c r="J24" s="504"/>
      <c r="K24" s="504"/>
      <c r="L24" s="499">
        <f>SUM(N24:Z24)</f>
        <v>-24.684016341344112</v>
      </c>
      <c r="M24" s="504"/>
      <c r="N24" s="504">
        <v>30.880435114089789</v>
      </c>
      <c r="O24" s="504"/>
      <c r="P24" s="504">
        <v>-31.331710700000009</v>
      </c>
      <c r="Q24" s="504">
        <v>361.91080481920005</v>
      </c>
      <c r="R24" s="504">
        <v>-361.12225342559998</v>
      </c>
      <c r="S24" s="504">
        <v>-0.17168420677966101</v>
      </c>
      <c r="T24" s="504"/>
      <c r="U24" s="504">
        <v>-2.6095463715975598</v>
      </c>
      <c r="V24" s="498">
        <v>-22.240061570656767</v>
      </c>
      <c r="W24" s="498">
        <v>0</v>
      </c>
      <c r="X24" s="498"/>
      <c r="Y24" s="498"/>
      <c r="Z24" s="504"/>
      <c r="AA24" s="499"/>
      <c r="AB24" s="499">
        <f>SUM(AC24:AM24)</f>
        <v>0</v>
      </c>
      <c r="AC24" s="503"/>
      <c r="AD24" s="504"/>
      <c r="AE24" s="504"/>
      <c r="AF24" s="504"/>
      <c r="AG24" s="504"/>
      <c r="AH24" s="504"/>
      <c r="AI24" s="504"/>
      <c r="AJ24" s="504"/>
      <c r="AK24" s="500"/>
      <c r="AL24" s="500"/>
      <c r="AM24" s="498"/>
      <c r="AN24" s="505"/>
      <c r="AO24" s="499"/>
      <c r="AP24" s="502"/>
      <c r="AQ24" s="506">
        <f>C24+H24+L24+AA24+AB24+AN24+AO24+AP24</f>
        <v>-2.4439547706873483</v>
      </c>
    </row>
    <row r="25" spans="1:45" ht="12.75" customHeight="1" thickBot="1">
      <c r="A25" s="556" t="s">
        <v>227</v>
      </c>
      <c r="B25" s="557"/>
      <c r="C25" s="558">
        <f>SUM(D25:G25)</f>
        <v>0</v>
      </c>
      <c r="D25" s="559"/>
      <c r="E25" s="560"/>
      <c r="F25" s="589"/>
      <c r="G25" s="589"/>
      <c r="H25" s="562">
        <f>SUM(I25:K25)</f>
        <v>10.28324833984202</v>
      </c>
      <c r="I25" s="589">
        <v>10.28324833984202</v>
      </c>
      <c r="J25" s="599"/>
      <c r="K25" s="591"/>
      <c r="L25" s="562">
        <f>SUM(O25:Z25)</f>
        <v>98.284657617035819</v>
      </c>
      <c r="M25" s="591"/>
      <c r="N25" s="591"/>
      <c r="O25" s="591">
        <v>95.274692021714102</v>
      </c>
      <c r="P25" s="591"/>
      <c r="Q25" s="591"/>
      <c r="R25" s="591"/>
      <c r="S25" s="591">
        <v>0</v>
      </c>
      <c r="T25" s="591">
        <v>4.1693256233877908E-3</v>
      </c>
      <c r="U25" s="591">
        <v>3.0057962696983291</v>
      </c>
      <c r="V25" s="591"/>
      <c r="W25" s="589"/>
      <c r="X25" s="589"/>
      <c r="Y25" s="589"/>
      <c r="Z25" s="591"/>
      <c r="AA25" s="562">
        <v>57.528599543766255</v>
      </c>
      <c r="AB25" s="564">
        <f>SUM(AC25:AI25)</f>
        <v>0</v>
      </c>
      <c r="AC25" s="565"/>
      <c r="AD25" s="591"/>
      <c r="AE25" s="591"/>
      <c r="AF25" s="591"/>
      <c r="AG25" s="591"/>
      <c r="AH25" s="591"/>
      <c r="AI25" s="591"/>
      <c r="AJ25" s="591"/>
      <c r="AK25" s="593"/>
      <c r="AL25" s="593"/>
      <c r="AM25" s="589"/>
      <c r="AN25" s="594"/>
      <c r="AO25" s="562">
        <v>259.46681438260055</v>
      </c>
      <c r="AP25" s="564"/>
      <c r="AQ25" s="595">
        <f>C25+H25+L25+AA25+AB25+AN25+AO25+AP25</f>
        <v>425.56331988324462</v>
      </c>
    </row>
    <row r="26" spans="1:45" s="42" customFormat="1" ht="12.75" customHeight="1" thickBot="1">
      <c r="A26" s="600" t="s">
        <v>228</v>
      </c>
      <c r="B26" s="601"/>
      <c r="C26" s="602">
        <f t="shared" ref="C26:AP26" si="10">C7-C9+C15+C21-C25</f>
        <v>320.15759843333262</v>
      </c>
      <c r="D26" s="603">
        <f t="shared" si="10"/>
        <v>221.42915574234439</v>
      </c>
      <c r="E26" s="604">
        <f t="shared" si="10"/>
        <v>86.198591658957852</v>
      </c>
      <c r="F26" s="604">
        <f t="shared" si="10"/>
        <v>0</v>
      </c>
      <c r="G26" s="604">
        <f t="shared" si="10"/>
        <v>12.529851032030438</v>
      </c>
      <c r="H26" s="605">
        <f t="shared" si="10"/>
        <v>199.31419506885081</v>
      </c>
      <c r="I26" s="603">
        <f t="shared" si="10"/>
        <v>0.37225106885087023</v>
      </c>
      <c r="J26" s="606">
        <f t="shared" si="10"/>
        <v>127.70399999999999</v>
      </c>
      <c r="K26" s="604">
        <f t="shared" si="10"/>
        <v>71.237943999999999</v>
      </c>
      <c r="L26" s="605">
        <f t="shared" si="10"/>
        <v>7278.2180951406654</v>
      </c>
      <c r="M26" s="604">
        <f t="shared" si="10"/>
        <v>0</v>
      </c>
      <c r="N26" s="604">
        <f t="shared" si="10"/>
        <v>-0.14794174855289199</v>
      </c>
      <c r="O26" s="604">
        <f t="shared" si="10"/>
        <v>-5.2567080980734033</v>
      </c>
      <c r="P26" s="604">
        <f t="shared" si="10"/>
        <v>799.22126723333315</v>
      </c>
      <c r="Q26" s="604">
        <f t="shared" si="10"/>
        <v>949.04247657856001</v>
      </c>
      <c r="R26" s="604">
        <f t="shared" si="10"/>
        <v>1106.9485985044798</v>
      </c>
      <c r="S26" s="604">
        <f t="shared" si="10"/>
        <v>39.03952078017609</v>
      </c>
      <c r="T26" s="604">
        <f t="shared" si="10"/>
        <v>187.88084937540125</v>
      </c>
      <c r="U26" s="604">
        <f t="shared" si="10"/>
        <v>3815.0626351280866</v>
      </c>
      <c r="V26" s="604">
        <f t="shared" si="10"/>
        <v>147.33759997605492</v>
      </c>
      <c r="W26" s="604">
        <f t="shared" si="10"/>
        <v>7.506512734116022</v>
      </c>
      <c r="X26" s="604">
        <f t="shared" si="10"/>
        <v>195.36275312176252</v>
      </c>
      <c r="Y26" s="604">
        <f t="shared" si="10"/>
        <v>1.2096467108549098</v>
      </c>
      <c r="Z26" s="604">
        <f t="shared" si="10"/>
        <v>35.010884844467988</v>
      </c>
      <c r="AA26" s="605">
        <f t="shared" si="10"/>
        <v>1921.4292269183238</v>
      </c>
      <c r="AB26" s="607">
        <f t="shared" si="10"/>
        <v>461.09915024876761</v>
      </c>
      <c r="AC26" s="529">
        <f t="shared" si="10"/>
        <v>0</v>
      </c>
      <c r="AD26" s="511">
        <f t="shared" si="10"/>
        <v>0</v>
      </c>
      <c r="AE26" s="511">
        <f t="shared" si="10"/>
        <v>197.01652611637599</v>
      </c>
      <c r="AF26" s="511">
        <f t="shared" si="10"/>
        <v>40.692904224132207</v>
      </c>
      <c r="AG26" s="511">
        <f t="shared" si="10"/>
        <v>0</v>
      </c>
      <c r="AH26" s="511">
        <f t="shared" si="10"/>
        <v>9.7770611234061491</v>
      </c>
      <c r="AI26" s="511">
        <f t="shared" si="10"/>
        <v>128.62672037577602</v>
      </c>
      <c r="AJ26" s="511">
        <f t="shared" si="10"/>
        <v>27.916404744672001</v>
      </c>
      <c r="AK26" s="514">
        <f t="shared" si="10"/>
        <v>0</v>
      </c>
      <c r="AL26" s="514">
        <f t="shared" si="10"/>
        <v>13.54608560366562</v>
      </c>
      <c r="AM26" s="608">
        <f t="shared" si="10"/>
        <v>43.523448060739646</v>
      </c>
      <c r="AN26" s="605">
        <f t="shared" si="10"/>
        <v>54.722939604974087</v>
      </c>
      <c r="AO26" s="605">
        <f t="shared" si="10"/>
        <v>2361.7269899654289</v>
      </c>
      <c r="AP26" s="607">
        <f t="shared" si="10"/>
        <v>0</v>
      </c>
      <c r="AQ26" s="609">
        <f>C26+H26+L26+AA26+AB26+AN26+AO26+AP26</f>
        <v>12596.668195380342</v>
      </c>
      <c r="AR26" s="38"/>
      <c r="AS26" s="41"/>
    </row>
    <row r="27" spans="1:45" s="42" customFormat="1" ht="12.75" customHeight="1">
      <c r="A27" s="507" t="s">
        <v>229</v>
      </c>
      <c r="B27" s="508"/>
      <c r="C27" s="509">
        <f t="shared" ref="C27:V27" si="11">C28</f>
        <v>0</v>
      </c>
      <c r="D27" s="514">
        <f t="shared" si="11"/>
        <v>0</v>
      </c>
      <c r="E27" s="511">
        <f t="shared" si="11"/>
        <v>0</v>
      </c>
      <c r="F27" s="528">
        <f t="shared" si="11"/>
        <v>0</v>
      </c>
      <c r="G27" s="528">
        <f t="shared" si="11"/>
        <v>0</v>
      </c>
      <c r="H27" s="512">
        <f t="shared" si="11"/>
        <v>0</v>
      </c>
      <c r="I27" s="514">
        <f t="shared" si="11"/>
        <v>0</v>
      </c>
      <c r="J27" s="513">
        <f t="shared" si="11"/>
        <v>0</v>
      </c>
      <c r="K27" s="511">
        <f t="shared" si="11"/>
        <v>0</v>
      </c>
      <c r="L27" s="512">
        <f t="shared" si="11"/>
        <v>231.58328467708543</v>
      </c>
      <c r="M27" s="511">
        <f t="shared" si="11"/>
        <v>0</v>
      </c>
      <c r="N27" s="511">
        <f t="shared" si="11"/>
        <v>0</v>
      </c>
      <c r="O27" s="511">
        <f t="shared" si="11"/>
        <v>0</v>
      </c>
      <c r="P27" s="511">
        <f t="shared" si="11"/>
        <v>0</v>
      </c>
      <c r="Q27" s="511">
        <f t="shared" si="11"/>
        <v>0</v>
      </c>
      <c r="R27" s="511">
        <f t="shared" si="11"/>
        <v>0</v>
      </c>
      <c r="S27" s="511">
        <f t="shared" si="11"/>
        <v>0</v>
      </c>
      <c r="T27" s="511">
        <f t="shared" si="11"/>
        <v>0</v>
      </c>
      <c r="U27" s="511">
        <f t="shared" si="11"/>
        <v>0</v>
      </c>
      <c r="V27" s="511">
        <f t="shared" si="11"/>
        <v>0</v>
      </c>
      <c r="W27" s="528"/>
      <c r="X27" s="528">
        <f t="shared" ref="X27:AQ27" si="12">X28</f>
        <v>195.36275312176252</v>
      </c>
      <c r="Y27" s="528">
        <f t="shared" si="12"/>
        <v>1.2096467108549098</v>
      </c>
      <c r="Z27" s="511">
        <f t="shared" si="12"/>
        <v>35.010884844467988</v>
      </c>
      <c r="AA27" s="512">
        <f t="shared" si="12"/>
        <v>0</v>
      </c>
      <c r="AB27" s="510">
        <f t="shared" si="12"/>
        <v>0</v>
      </c>
      <c r="AC27" s="529">
        <f t="shared" si="12"/>
        <v>0</v>
      </c>
      <c r="AD27" s="511">
        <f t="shared" si="12"/>
        <v>0</v>
      </c>
      <c r="AE27" s="511">
        <f t="shared" si="12"/>
        <v>0</v>
      </c>
      <c r="AF27" s="511">
        <f t="shared" si="12"/>
        <v>0</v>
      </c>
      <c r="AG27" s="511">
        <f t="shared" si="12"/>
        <v>0</v>
      </c>
      <c r="AH27" s="511">
        <f t="shared" si="12"/>
        <v>0</v>
      </c>
      <c r="AI27" s="511">
        <f t="shared" si="12"/>
        <v>0</v>
      </c>
      <c r="AJ27" s="511">
        <f t="shared" si="12"/>
        <v>0</v>
      </c>
      <c r="AK27" s="514">
        <f t="shared" si="12"/>
        <v>0</v>
      </c>
      <c r="AL27" s="514">
        <f t="shared" si="12"/>
        <v>0</v>
      </c>
      <c r="AM27" s="528">
        <f t="shared" si="12"/>
        <v>0</v>
      </c>
      <c r="AN27" s="512">
        <f t="shared" si="12"/>
        <v>0</v>
      </c>
      <c r="AO27" s="512">
        <f t="shared" si="12"/>
        <v>0</v>
      </c>
      <c r="AP27" s="510">
        <f t="shared" si="12"/>
        <v>0</v>
      </c>
      <c r="AQ27" s="516">
        <f t="shared" si="12"/>
        <v>231.58328467708543</v>
      </c>
      <c r="AR27" s="38"/>
      <c r="AS27" s="41"/>
    </row>
    <row r="28" spans="1:45" ht="12.75" customHeight="1" thickBot="1">
      <c r="A28" s="610" t="s">
        <v>230</v>
      </c>
      <c r="B28" s="611"/>
      <c r="C28" s="612">
        <f>SUM(D28:G28)</f>
        <v>0</v>
      </c>
      <c r="D28" s="573"/>
      <c r="E28" s="574"/>
      <c r="F28" s="575"/>
      <c r="G28" s="575"/>
      <c r="H28" s="580">
        <f>SUM(I28:K28)</f>
        <v>0</v>
      </c>
      <c r="I28" s="573"/>
      <c r="J28" s="613"/>
      <c r="K28" s="574"/>
      <c r="L28" s="580">
        <f>SUM(M28:Z28)</f>
        <v>231.58328467708543</v>
      </c>
      <c r="M28" s="574"/>
      <c r="N28" s="574"/>
      <c r="O28" s="574"/>
      <c r="P28" s="574"/>
      <c r="Q28" s="574"/>
      <c r="R28" s="574"/>
      <c r="S28" s="574"/>
      <c r="T28" s="574"/>
      <c r="U28" s="574"/>
      <c r="V28" s="574"/>
      <c r="W28" s="575"/>
      <c r="X28" s="575">
        <f>X26</f>
        <v>195.36275312176252</v>
      </c>
      <c r="Y28" s="575">
        <f>Y26</f>
        <v>1.2096467108549098</v>
      </c>
      <c r="Z28" s="574">
        <f>Z26</f>
        <v>35.010884844467988</v>
      </c>
      <c r="AA28" s="580">
        <v>0</v>
      </c>
      <c r="AB28" s="614">
        <f>SUM(AC28:AI28)</f>
        <v>0</v>
      </c>
      <c r="AC28" s="578"/>
      <c r="AD28" s="574"/>
      <c r="AE28" s="574"/>
      <c r="AF28" s="574"/>
      <c r="AG28" s="574"/>
      <c r="AH28" s="574"/>
      <c r="AI28" s="574"/>
      <c r="AJ28" s="574"/>
      <c r="AK28" s="573"/>
      <c r="AL28" s="573"/>
      <c r="AM28" s="575"/>
      <c r="AN28" s="580"/>
      <c r="AO28" s="580"/>
      <c r="AP28" s="614"/>
      <c r="AQ28" s="581">
        <f t="shared" ref="AQ28:AQ72" si="13">C28+H28+L28+AA28+AB28+AN28+AO28+AP28</f>
        <v>231.58328467708543</v>
      </c>
    </row>
    <row r="29" spans="1:45" s="42" customFormat="1" ht="12.75" customHeight="1" thickBot="1">
      <c r="A29" s="507" t="s">
        <v>231</v>
      </c>
      <c r="B29" s="508"/>
      <c r="C29" s="509">
        <f t="shared" ref="C29:AQ29" si="14">C30+C45+C56+C58+C65+C70+C71</f>
        <v>322.73713313616526</v>
      </c>
      <c r="D29" s="514">
        <f t="shared" si="14"/>
        <v>221.25198906014759</v>
      </c>
      <c r="E29" s="511">
        <f t="shared" si="14"/>
        <v>89.647280058277374</v>
      </c>
      <c r="F29" s="528">
        <f t="shared" si="14"/>
        <v>0</v>
      </c>
      <c r="G29" s="528">
        <f t="shared" si="14"/>
        <v>11.837385289740231</v>
      </c>
      <c r="H29" s="512">
        <f t="shared" si="14"/>
        <v>197.36847005356</v>
      </c>
      <c r="I29" s="514">
        <f t="shared" si="14"/>
        <v>0.82966372355999995</v>
      </c>
      <c r="J29" s="615">
        <f t="shared" si="14"/>
        <v>127.70399999999999</v>
      </c>
      <c r="K29" s="514">
        <f t="shared" si="14"/>
        <v>68.834806329999992</v>
      </c>
      <c r="L29" s="512">
        <f t="shared" si="14"/>
        <v>7044.2916862331467</v>
      </c>
      <c r="M29" s="511">
        <f t="shared" si="14"/>
        <v>0</v>
      </c>
      <c r="N29" s="511">
        <f t="shared" si="14"/>
        <v>0</v>
      </c>
      <c r="O29" s="511">
        <f t="shared" si="14"/>
        <v>0</v>
      </c>
      <c r="P29" s="511">
        <f t="shared" si="14"/>
        <v>824.24502392197087</v>
      </c>
      <c r="Q29" s="511">
        <f t="shared" si="14"/>
        <v>934.32541284991999</v>
      </c>
      <c r="R29" s="511">
        <f t="shared" si="14"/>
        <v>1102.8442060797599</v>
      </c>
      <c r="S29" s="511">
        <f t="shared" si="14"/>
        <v>31.039400915077643</v>
      </c>
      <c r="T29" s="511">
        <f t="shared" si="14"/>
        <v>181.32381570558746</v>
      </c>
      <c r="U29" s="511">
        <f t="shared" si="14"/>
        <v>3824.001555864289</v>
      </c>
      <c r="V29" s="511">
        <f t="shared" si="14"/>
        <v>146.51227089654276</v>
      </c>
      <c r="W29" s="528">
        <f t="shared" si="14"/>
        <v>0</v>
      </c>
      <c r="X29" s="528">
        <f t="shared" si="14"/>
        <v>0</v>
      </c>
      <c r="Y29" s="528">
        <f t="shared" si="14"/>
        <v>0</v>
      </c>
      <c r="Z29" s="514">
        <f t="shared" si="14"/>
        <v>0</v>
      </c>
      <c r="AA29" s="605">
        <f t="shared" si="14"/>
        <v>1961.7039372255224</v>
      </c>
      <c r="AB29" s="510">
        <f t="shared" si="14"/>
        <v>463.5152964293224</v>
      </c>
      <c r="AC29" s="529">
        <f t="shared" si="14"/>
        <v>0</v>
      </c>
      <c r="AD29" s="511">
        <f t="shared" si="14"/>
        <v>0</v>
      </c>
      <c r="AE29" s="511">
        <f t="shared" si="14"/>
        <v>201.73619537368276</v>
      </c>
      <c r="AF29" s="511">
        <f t="shared" si="14"/>
        <v>40.692904224132199</v>
      </c>
      <c r="AG29" s="511">
        <f t="shared" si="14"/>
        <v>0</v>
      </c>
      <c r="AH29" s="511">
        <f t="shared" si="14"/>
        <v>9.7770611234061491</v>
      </c>
      <c r="AI29" s="511">
        <f t="shared" si="14"/>
        <v>126.96834918892804</v>
      </c>
      <c r="AJ29" s="511">
        <f t="shared" si="14"/>
        <v>27.271252854767994</v>
      </c>
      <c r="AK29" s="510">
        <f t="shared" si="14"/>
        <v>0</v>
      </c>
      <c r="AL29" s="510">
        <f t="shared" si="14"/>
        <v>13.546085603665619</v>
      </c>
      <c r="AM29" s="510">
        <f t="shared" si="14"/>
        <v>43.523448060739653</v>
      </c>
      <c r="AN29" s="510">
        <f t="shared" si="14"/>
        <v>54.722939604974094</v>
      </c>
      <c r="AO29" s="512">
        <f t="shared" si="14"/>
        <v>2397.4208343089181</v>
      </c>
      <c r="AP29" s="510">
        <f t="shared" si="14"/>
        <v>0</v>
      </c>
      <c r="AQ29" s="609">
        <f t="shared" si="14"/>
        <v>12441.760296991612</v>
      </c>
      <c r="AR29" s="38"/>
      <c r="AS29" s="41"/>
    </row>
    <row r="30" spans="1:45" s="42" customFormat="1" ht="12.75" customHeight="1">
      <c r="A30" s="616" t="s">
        <v>232</v>
      </c>
      <c r="B30" s="617"/>
      <c r="C30" s="618">
        <f>SUM(C31:C44)</f>
        <v>105.42502802800003</v>
      </c>
      <c r="D30" s="619">
        <v>105.4245493</v>
      </c>
      <c r="E30" s="619">
        <v>0</v>
      </c>
      <c r="F30" s="620"/>
      <c r="G30" s="620"/>
      <c r="H30" s="621">
        <f>SUM(H31:H44)</f>
        <v>0.82966372355999995</v>
      </c>
      <c r="I30" s="622">
        <f t="shared" ref="I30:K30" si="15">SUM(I31:I44)</f>
        <v>0.82966372355999995</v>
      </c>
      <c r="J30" s="619">
        <f t="shared" si="15"/>
        <v>0</v>
      </c>
      <c r="K30" s="619">
        <f t="shared" si="15"/>
        <v>0</v>
      </c>
      <c r="L30" s="621">
        <f>SUM(L31:L44)</f>
        <v>333.21700779482637</v>
      </c>
      <c r="M30" s="619">
        <f>SUM(M31:M44)</f>
        <v>0</v>
      </c>
      <c r="N30" s="619">
        <f>SUM(N31:N44)</f>
        <v>0</v>
      </c>
      <c r="O30" s="619">
        <f>SUM(O31:O44)</f>
        <v>0</v>
      </c>
      <c r="P30" s="619">
        <f>SUM(P31:P44)</f>
        <v>0</v>
      </c>
      <c r="Q30" s="619">
        <v>5.8273117756492638</v>
      </c>
      <c r="R30" s="619">
        <f>SUM(R31:R44)</f>
        <v>0</v>
      </c>
      <c r="S30" s="619">
        <v>30.396553446461994</v>
      </c>
      <c r="T30" s="619">
        <v>55.10581048870722</v>
      </c>
      <c r="U30" s="619">
        <v>100.77893291075623</v>
      </c>
      <c r="V30" s="619">
        <v>141.10839917325163</v>
      </c>
      <c r="W30" s="619">
        <f>SUM(W31:W44)</f>
        <v>0</v>
      </c>
      <c r="X30" s="619">
        <f>SUM(X31:X44)</f>
        <v>0</v>
      </c>
      <c r="Y30" s="619">
        <f>SUM(Y31:Y44)</f>
        <v>0</v>
      </c>
      <c r="Z30" s="619">
        <f>SUM(Z31:Z44)</f>
        <v>0</v>
      </c>
      <c r="AA30" s="621">
        <v>1006.4294471460221</v>
      </c>
      <c r="AB30" s="623">
        <f t="shared" ref="AB30:AN30" si="16">SUM(AB31:AB44)</f>
        <v>198.81521058080656</v>
      </c>
      <c r="AC30" s="624">
        <f t="shared" si="16"/>
        <v>0</v>
      </c>
      <c r="AD30" s="619">
        <f t="shared" si="16"/>
        <v>0</v>
      </c>
      <c r="AE30" s="619">
        <f t="shared" si="16"/>
        <v>153.96698996806381</v>
      </c>
      <c r="AF30" s="619">
        <f t="shared" si="16"/>
        <v>40.692904224132199</v>
      </c>
      <c r="AG30" s="619">
        <f t="shared" si="16"/>
        <v>0</v>
      </c>
      <c r="AH30" s="619">
        <f t="shared" si="16"/>
        <v>4.1553163886105651</v>
      </c>
      <c r="AI30" s="619">
        <f t="shared" si="16"/>
        <v>0</v>
      </c>
      <c r="AJ30" s="619">
        <f t="shared" si="16"/>
        <v>0</v>
      </c>
      <c r="AK30" s="619">
        <f t="shared" si="16"/>
        <v>0</v>
      </c>
      <c r="AL30" s="619">
        <f t="shared" si="16"/>
        <v>0</v>
      </c>
      <c r="AM30" s="625">
        <f t="shared" si="16"/>
        <v>0</v>
      </c>
      <c r="AN30" s="622">
        <f t="shared" si="16"/>
        <v>54.722939604974094</v>
      </c>
      <c r="AO30" s="621">
        <v>562.37095164267794</v>
      </c>
      <c r="AP30" s="623">
        <f>SUM(AP31:AP44)</f>
        <v>0</v>
      </c>
      <c r="AQ30" s="530">
        <f t="shared" ref="AQ30" si="17">C30+H30+L30+AA30+AB30+AN30+AO30+AP30</f>
        <v>2261.8102485208669</v>
      </c>
      <c r="AR30" s="38"/>
      <c r="AS30" s="41"/>
    </row>
    <row r="31" spans="1:45" ht="12.75" customHeight="1">
      <c r="A31" s="626" t="s">
        <v>233</v>
      </c>
      <c r="B31" s="627" t="s">
        <v>234</v>
      </c>
      <c r="C31" s="628">
        <f t="shared" ref="C31:C43" si="18">SUM(D31:G31)</f>
        <v>0</v>
      </c>
      <c r="D31" s="540">
        <v>0</v>
      </c>
      <c r="E31" s="629"/>
      <c r="F31" s="629"/>
      <c r="G31" s="630"/>
      <c r="H31" s="631">
        <f t="shared" ref="H31:H43" si="19">SUM(I31:K31)</f>
        <v>0</v>
      </c>
      <c r="I31" s="632"/>
      <c r="J31" s="633"/>
      <c r="K31" s="543"/>
      <c r="L31" s="631">
        <f t="shared" ref="L31:L43" si="20">SUM(M31:Z31)</f>
        <v>15.076944231866809</v>
      </c>
      <c r="M31" s="543"/>
      <c r="N31" s="543"/>
      <c r="O31" s="543"/>
      <c r="P31" s="634"/>
      <c r="Q31" s="585">
        <v>0.252</v>
      </c>
      <c r="R31" s="629"/>
      <c r="S31" s="585">
        <v>0</v>
      </c>
      <c r="T31" s="585">
        <v>9.0944231866809708E-2</v>
      </c>
      <c r="U31" s="585">
        <v>14.734</v>
      </c>
      <c r="V31" s="585">
        <v>0</v>
      </c>
      <c r="W31" s="629"/>
      <c r="X31" s="632"/>
      <c r="Y31" s="634"/>
      <c r="Z31" s="543"/>
      <c r="AA31" s="541">
        <v>11.321518316813064</v>
      </c>
      <c r="AB31" s="635">
        <f t="shared" ref="AB31:AB43" si="21">SUM(AC31:AM31)</f>
        <v>0</v>
      </c>
      <c r="AC31" s="636"/>
      <c r="AD31" s="543"/>
      <c r="AE31" s="543"/>
      <c r="AF31" s="543"/>
      <c r="AG31" s="543"/>
      <c r="AH31" s="543"/>
      <c r="AI31" s="543"/>
      <c r="AJ31" s="543"/>
      <c r="AK31" s="534"/>
      <c r="AL31" s="536"/>
      <c r="AM31" s="543"/>
      <c r="AN31" s="541"/>
      <c r="AO31" s="541">
        <v>18.942945216847264</v>
      </c>
      <c r="AP31" s="635"/>
      <c r="AQ31" s="542">
        <f t="shared" si="13"/>
        <v>45.341407765527137</v>
      </c>
    </row>
    <row r="32" spans="1:45" ht="12.75" customHeight="1">
      <c r="A32" s="637" t="s">
        <v>235</v>
      </c>
      <c r="B32" s="638" t="s">
        <v>236</v>
      </c>
      <c r="C32" s="482">
        <f t="shared" si="18"/>
        <v>18.505815952000003</v>
      </c>
      <c r="D32" s="491">
        <v>18.505815952000003</v>
      </c>
      <c r="E32" s="639"/>
      <c r="F32" s="639"/>
      <c r="G32" s="640"/>
      <c r="H32" s="486">
        <f t="shared" si="19"/>
        <v>0.82966372355999995</v>
      </c>
      <c r="I32" s="487">
        <v>0.82966372355999995</v>
      </c>
      <c r="J32" s="488"/>
      <c r="K32" s="489"/>
      <c r="L32" s="486">
        <f t="shared" si="20"/>
        <v>65.081234617624631</v>
      </c>
      <c r="M32" s="489"/>
      <c r="N32" s="489"/>
      <c r="O32" s="489"/>
      <c r="P32" s="634"/>
      <c r="Q32" s="639">
        <v>1.514</v>
      </c>
      <c r="R32" s="639"/>
      <c r="S32" s="639">
        <v>22.968462416696998</v>
      </c>
      <c r="T32" s="639">
        <v>29.49577220092764</v>
      </c>
      <c r="U32" s="639">
        <v>11.103</v>
      </c>
      <c r="V32" s="639">
        <v>0</v>
      </c>
      <c r="W32" s="639"/>
      <c r="X32" s="487"/>
      <c r="Y32" s="485"/>
      <c r="Z32" s="489"/>
      <c r="AA32" s="492">
        <v>272.71139495674981</v>
      </c>
      <c r="AB32" s="490">
        <f t="shared" si="21"/>
        <v>27.983335383690566</v>
      </c>
      <c r="AC32" s="491"/>
      <c r="AD32" s="489"/>
      <c r="AE32" s="489">
        <v>23.828018995080001</v>
      </c>
      <c r="AF32" s="489"/>
      <c r="AG32" s="543"/>
      <c r="AH32" s="543">
        <v>4.1553163886105651</v>
      </c>
      <c r="AI32" s="543"/>
      <c r="AJ32" s="543"/>
      <c r="AK32" s="487"/>
      <c r="AL32" s="485"/>
      <c r="AM32" s="489"/>
      <c r="AN32" s="492"/>
      <c r="AO32" s="492">
        <v>95.275088867672153</v>
      </c>
      <c r="AP32" s="490"/>
      <c r="AQ32" s="493">
        <f t="shared" si="13"/>
        <v>480.38653350129721</v>
      </c>
    </row>
    <row r="33" spans="1:45" ht="12.75" customHeight="1">
      <c r="A33" s="637" t="s">
        <v>237</v>
      </c>
      <c r="B33" s="641" t="s">
        <v>238</v>
      </c>
      <c r="C33" s="482">
        <f t="shared" si="18"/>
        <v>0</v>
      </c>
      <c r="D33" s="491">
        <v>0</v>
      </c>
      <c r="E33" s="639"/>
      <c r="F33" s="639"/>
      <c r="G33" s="640"/>
      <c r="H33" s="486">
        <f t="shared" si="19"/>
        <v>0</v>
      </c>
      <c r="I33" s="487"/>
      <c r="J33" s="488"/>
      <c r="K33" s="489"/>
      <c r="L33" s="486">
        <f t="shared" si="20"/>
        <v>4.2587599630269795</v>
      </c>
      <c r="M33" s="489"/>
      <c r="N33" s="489"/>
      <c r="O33" s="489"/>
      <c r="P33" s="634"/>
      <c r="Q33" s="639">
        <v>7.6999999999999999E-2</v>
      </c>
      <c r="R33" s="639"/>
      <c r="S33" s="639">
        <v>0</v>
      </c>
      <c r="T33" s="639">
        <v>3.9077599630269795</v>
      </c>
      <c r="U33" s="639">
        <v>0.27400000000000002</v>
      </c>
      <c r="V33" s="639">
        <v>0</v>
      </c>
      <c r="W33" s="639"/>
      <c r="X33" s="487"/>
      <c r="Y33" s="485"/>
      <c r="Z33" s="489"/>
      <c r="AA33" s="492">
        <v>3.3044502133205622</v>
      </c>
      <c r="AB33" s="490">
        <f t="shared" si="21"/>
        <v>0</v>
      </c>
      <c r="AC33" s="491"/>
      <c r="AD33" s="489"/>
      <c r="AE33" s="489"/>
      <c r="AF33" s="489"/>
      <c r="AG33" s="543"/>
      <c r="AH33" s="543"/>
      <c r="AI33" s="543"/>
      <c r="AJ33" s="543"/>
      <c r="AK33" s="487"/>
      <c r="AL33" s="485"/>
      <c r="AM33" s="489"/>
      <c r="AN33" s="492"/>
      <c r="AO33" s="492">
        <v>2.6521774464642336</v>
      </c>
      <c r="AP33" s="490"/>
      <c r="AQ33" s="493">
        <f t="shared" si="13"/>
        <v>10.215387622811775</v>
      </c>
    </row>
    <row r="34" spans="1:45" ht="12.75" customHeight="1">
      <c r="A34" s="637" t="s">
        <v>239</v>
      </c>
      <c r="B34" s="641" t="s">
        <v>240</v>
      </c>
      <c r="C34" s="482">
        <f t="shared" si="18"/>
        <v>0</v>
      </c>
      <c r="D34" s="491">
        <v>0</v>
      </c>
      <c r="E34" s="639"/>
      <c r="F34" s="639"/>
      <c r="G34" s="640"/>
      <c r="H34" s="486">
        <f t="shared" si="19"/>
        <v>0</v>
      </c>
      <c r="I34" s="487"/>
      <c r="J34" s="488"/>
      <c r="K34" s="489"/>
      <c r="L34" s="486">
        <f t="shared" si="20"/>
        <v>3.2131895506092896</v>
      </c>
      <c r="M34" s="489"/>
      <c r="N34" s="489"/>
      <c r="O34" s="489"/>
      <c r="P34" s="634"/>
      <c r="Q34" s="639">
        <v>0.17699999999999999</v>
      </c>
      <c r="R34" s="639"/>
      <c r="S34" s="639">
        <v>0</v>
      </c>
      <c r="T34" s="639">
        <v>0.60818955060928981</v>
      </c>
      <c r="U34" s="639">
        <v>2.4279999999999999</v>
      </c>
      <c r="V34" s="639">
        <v>0</v>
      </c>
      <c r="W34" s="639"/>
      <c r="X34" s="487"/>
      <c r="Y34" s="485"/>
      <c r="Z34" s="489"/>
      <c r="AA34" s="492">
        <v>9.6605545809524642</v>
      </c>
      <c r="AB34" s="490">
        <f t="shared" si="21"/>
        <v>127.91319688416</v>
      </c>
      <c r="AC34" s="491"/>
      <c r="AD34" s="489"/>
      <c r="AE34" s="489">
        <v>127.91319688416</v>
      </c>
      <c r="AF34" s="489"/>
      <c r="AG34" s="543"/>
      <c r="AH34" s="543"/>
      <c r="AI34" s="543"/>
      <c r="AJ34" s="543"/>
      <c r="AK34" s="487"/>
      <c r="AL34" s="485"/>
      <c r="AM34" s="489"/>
      <c r="AN34" s="492"/>
      <c r="AO34" s="492">
        <v>24.722008913423029</v>
      </c>
      <c r="AP34" s="490"/>
      <c r="AQ34" s="493">
        <f t="shared" si="13"/>
        <v>165.50894992914479</v>
      </c>
    </row>
    <row r="35" spans="1:45" ht="12.75" customHeight="1">
      <c r="A35" s="637" t="s">
        <v>241</v>
      </c>
      <c r="B35" s="641" t="s">
        <v>242</v>
      </c>
      <c r="C35" s="482">
        <f t="shared" si="18"/>
        <v>0</v>
      </c>
      <c r="D35" s="491">
        <v>0</v>
      </c>
      <c r="E35" s="639"/>
      <c r="F35" s="639"/>
      <c r="G35" s="640"/>
      <c r="H35" s="486">
        <f t="shared" si="19"/>
        <v>0</v>
      </c>
      <c r="I35" s="487"/>
      <c r="J35" s="488"/>
      <c r="K35" s="489"/>
      <c r="L35" s="486">
        <f t="shared" si="20"/>
        <v>1.6055046049530732</v>
      </c>
      <c r="M35" s="489"/>
      <c r="N35" s="489"/>
      <c r="O35" s="489"/>
      <c r="P35" s="634"/>
      <c r="Q35" s="639">
        <v>9.6000000000000002E-2</v>
      </c>
      <c r="R35" s="639"/>
      <c r="S35" s="639">
        <v>0</v>
      </c>
      <c r="T35" s="639">
        <v>0.62950460495307337</v>
      </c>
      <c r="U35" s="639">
        <v>0.88</v>
      </c>
      <c r="V35" s="639">
        <v>0</v>
      </c>
      <c r="W35" s="639"/>
      <c r="X35" s="487"/>
      <c r="Y35" s="485"/>
      <c r="Z35" s="489"/>
      <c r="AA35" s="492">
        <v>14.125994102315383</v>
      </c>
      <c r="AB35" s="490">
        <f t="shared" si="21"/>
        <v>0</v>
      </c>
      <c r="AC35" s="491"/>
      <c r="AD35" s="489"/>
      <c r="AE35" s="489"/>
      <c r="AF35" s="489"/>
      <c r="AG35" s="543"/>
      <c r="AH35" s="543"/>
      <c r="AI35" s="543"/>
      <c r="AJ35" s="543"/>
      <c r="AK35" s="487"/>
      <c r="AL35" s="485"/>
      <c r="AM35" s="489"/>
      <c r="AN35" s="492"/>
      <c r="AO35" s="492">
        <v>10.336268211589791</v>
      </c>
      <c r="AP35" s="490"/>
      <c r="AQ35" s="493">
        <f t="shared" si="13"/>
        <v>26.067766918858247</v>
      </c>
    </row>
    <row r="36" spans="1:45" ht="12.75" customHeight="1">
      <c r="A36" s="637" t="s">
        <v>243</v>
      </c>
      <c r="B36" s="641" t="s">
        <v>244</v>
      </c>
      <c r="C36" s="482">
        <f t="shared" si="18"/>
        <v>0</v>
      </c>
      <c r="D36" s="636">
        <v>0</v>
      </c>
      <c r="E36" s="639"/>
      <c r="F36" s="639"/>
      <c r="G36" s="640"/>
      <c r="H36" s="486">
        <f t="shared" si="19"/>
        <v>0</v>
      </c>
      <c r="I36" s="487"/>
      <c r="J36" s="488"/>
      <c r="K36" s="489"/>
      <c r="L36" s="486">
        <f t="shared" si="20"/>
        <v>21.418897222529047</v>
      </c>
      <c r="M36" s="489"/>
      <c r="N36" s="489"/>
      <c r="O36" s="489"/>
      <c r="P36" s="634"/>
      <c r="Q36" s="629">
        <v>0.30599999999999994</v>
      </c>
      <c r="R36" s="639"/>
      <c r="S36" s="629">
        <v>2.7458233928999998</v>
      </c>
      <c r="T36" s="629">
        <v>3.9702841224354111</v>
      </c>
      <c r="U36" s="629">
        <v>4.5789999999999997</v>
      </c>
      <c r="V36" s="629">
        <v>9.8177897071936346</v>
      </c>
      <c r="W36" s="639"/>
      <c r="X36" s="487"/>
      <c r="Y36" s="485"/>
      <c r="Z36" s="489"/>
      <c r="AA36" s="642">
        <v>129.58450822372785</v>
      </c>
      <c r="AB36" s="490">
        <f t="shared" si="21"/>
        <v>0</v>
      </c>
      <c r="AC36" s="491"/>
      <c r="AD36" s="489"/>
      <c r="AE36" s="489">
        <v>0</v>
      </c>
      <c r="AF36" s="489"/>
      <c r="AG36" s="543"/>
      <c r="AH36" s="543"/>
      <c r="AI36" s="543"/>
      <c r="AJ36" s="543"/>
      <c r="AK36" s="632"/>
      <c r="AL36" s="634"/>
      <c r="AM36" s="489"/>
      <c r="AN36" s="642"/>
      <c r="AO36" s="642">
        <v>76.140196178045755</v>
      </c>
      <c r="AP36" s="490"/>
      <c r="AQ36" s="493">
        <f t="shared" si="13"/>
        <v>227.14360162430265</v>
      </c>
    </row>
    <row r="37" spans="1:45" ht="12.75" customHeight="1">
      <c r="A37" s="637" t="s">
        <v>245</v>
      </c>
      <c r="B37" s="641" t="s">
        <v>246</v>
      </c>
      <c r="C37" s="482">
        <f t="shared" si="18"/>
        <v>0</v>
      </c>
      <c r="D37" s="491">
        <v>0</v>
      </c>
      <c r="E37" s="639"/>
      <c r="F37" s="639"/>
      <c r="G37" s="640"/>
      <c r="H37" s="486">
        <f t="shared" si="19"/>
        <v>0</v>
      </c>
      <c r="I37" s="487"/>
      <c r="J37" s="488"/>
      <c r="K37" s="489"/>
      <c r="L37" s="486">
        <f t="shared" si="20"/>
        <v>4.1927665829180274</v>
      </c>
      <c r="M37" s="489"/>
      <c r="N37" s="489"/>
      <c r="O37" s="489"/>
      <c r="P37" s="634"/>
      <c r="Q37" s="639">
        <v>0.53500000000000003</v>
      </c>
      <c r="R37" s="639"/>
      <c r="S37" s="639">
        <v>0</v>
      </c>
      <c r="T37" s="639">
        <v>2.1897665829180273</v>
      </c>
      <c r="U37" s="639">
        <v>1.468</v>
      </c>
      <c r="V37" s="639">
        <v>0</v>
      </c>
      <c r="W37" s="639"/>
      <c r="X37" s="487"/>
      <c r="Y37" s="485"/>
      <c r="Z37" s="489"/>
      <c r="AA37" s="492">
        <v>17.456036015436883</v>
      </c>
      <c r="AB37" s="490">
        <f t="shared" si="21"/>
        <v>0</v>
      </c>
      <c r="AC37" s="491"/>
      <c r="AD37" s="489"/>
      <c r="AE37" s="489"/>
      <c r="AF37" s="489"/>
      <c r="AG37" s="543"/>
      <c r="AH37" s="543"/>
      <c r="AI37" s="543"/>
      <c r="AJ37" s="543"/>
      <c r="AK37" s="487"/>
      <c r="AL37" s="485"/>
      <c r="AM37" s="489"/>
      <c r="AN37" s="492"/>
      <c r="AO37" s="492">
        <v>25.06049692993675</v>
      </c>
      <c r="AP37" s="490"/>
      <c r="AQ37" s="493">
        <f t="shared" si="13"/>
        <v>46.709299528291666</v>
      </c>
    </row>
    <row r="38" spans="1:45" ht="12.75" customHeight="1">
      <c r="A38" s="637" t="s">
        <v>247</v>
      </c>
      <c r="B38" s="641" t="s">
        <v>248</v>
      </c>
      <c r="C38" s="482">
        <f t="shared" si="18"/>
        <v>86.919212076000022</v>
      </c>
      <c r="D38" s="491">
        <v>86.919212076000022</v>
      </c>
      <c r="E38" s="639"/>
      <c r="F38" s="639"/>
      <c r="G38" s="640"/>
      <c r="H38" s="486">
        <f t="shared" si="19"/>
        <v>0</v>
      </c>
      <c r="I38" s="487"/>
      <c r="J38" s="488"/>
      <c r="K38" s="489"/>
      <c r="L38" s="486">
        <f t="shared" si="20"/>
        <v>160.32357118657256</v>
      </c>
      <c r="M38" s="489"/>
      <c r="N38" s="489"/>
      <c r="O38" s="489"/>
      <c r="P38" s="634"/>
      <c r="Q38" s="639">
        <v>1.1439999999999999</v>
      </c>
      <c r="R38" s="639"/>
      <c r="S38" s="639">
        <v>0</v>
      </c>
      <c r="T38" s="639">
        <v>2.6359617205145627</v>
      </c>
      <c r="U38" s="639">
        <v>25.253</v>
      </c>
      <c r="V38" s="639">
        <v>131.29060946605799</v>
      </c>
      <c r="W38" s="639"/>
      <c r="X38" s="487"/>
      <c r="Y38" s="485"/>
      <c r="Z38" s="489"/>
      <c r="AA38" s="492">
        <v>46.760404850906049</v>
      </c>
      <c r="AB38" s="490">
        <f t="shared" si="21"/>
        <v>42.918678312955997</v>
      </c>
      <c r="AC38" s="491"/>
      <c r="AD38" s="489"/>
      <c r="AE38" s="489">
        <v>2.2257740888237998</v>
      </c>
      <c r="AF38" s="489">
        <v>40.692904224132199</v>
      </c>
      <c r="AG38" s="543"/>
      <c r="AH38" s="543"/>
      <c r="AI38" s="543"/>
      <c r="AJ38" s="543"/>
      <c r="AK38" s="487"/>
      <c r="AL38" s="485"/>
      <c r="AM38" s="489"/>
      <c r="AN38" s="492">
        <v>54.722939604974094</v>
      </c>
      <c r="AO38" s="492">
        <v>73.686158058321269</v>
      </c>
      <c r="AP38" s="490"/>
      <c r="AQ38" s="493">
        <f t="shared" si="13"/>
        <v>465.33096408973</v>
      </c>
    </row>
    <row r="39" spans="1:45" ht="12.75" customHeight="1">
      <c r="A39" s="637" t="s">
        <v>249</v>
      </c>
      <c r="B39" s="641" t="s">
        <v>250</v>
      </c>
      <c r="C39" s="482">
        <f t="shared" si="18"/>
        <v>0</v>
      </c>
      <c r="D39" s="491">
        <v>0</v>
      </c>
      <c r="E39" s="639"/>
      <c r="F39" s="639"/>
      <c r="G39" s="640"/>
      <c r="H39" s="486">
        <f t="shared" si="19"/>
        <v>0</v>
      </c>
      <c r="I39" s="487"/>
      <c r="J39" s="488"/>
      <c r="K39" s="489"/>
      <c r="L39" s="486">
        <f t="shared" si="20"/>
        <v>5.6776554397216028</v>
      </c>
      <c r="M39" s="489"/>
      <c r="N39" s="489"/>
      <c r="O39" s="489"/>
      <c r="P39" s="634"/>
      <c r="Q39" s="639">
        <v>0.33800000000000002</v>
      </c>
      <c r="R39" s="639"/>
      <c r="S39" s="639">
        <v>1.0397614907400001</v>
      </c>
      <c r="T39" s="639">
        <v>1.5488939489816029</v>
      </c>
      <c r="U39" s="639">
        <v>2.7509999999999999</v>
      </c>
      <c r="V39" s="639">
        <v>0</v>
      </c>
      <c r="W39" s="639"/>
      <c r="X39" s="487"/>
      <c r="Y39" s="485"/>
      <c r="Z39" s="489"/>
      <c r="AA39" s="492">
        <v>411.95146425902993</v>
      </c>
      <c r="AB39" s="490">
        <f t="shared" si="21"/>
        <v>0</v>
      </c>
      <c r="AC39" s="491"/>
      <c r="AD39" s="489"/>
      <c r="AE39" s="489"/>
      <c r="AF39" s="489"/>
      <c r="AG39" s="543"/>
      <c r="AH39" s="543"/>
      <c r="AI39" s="543"/>
      <c r="AJ39" s="543"/>
      <c r="AK39" s="487"/>
      <c r="AL39" s="485"/>
      <c r="AM39" s="489"/>
      <c r="AN39" s="492"/>
      <c r="AO39" s="492">
        <v>67.595437712394457</v>
      </c>
      <c r="AP39" s="490"/>
      <c r="AQ39" s="493">
        <f t="shared" si="13"/>
        <v>485.22455741114601</v>
      </c>
    </row>
    <row r="40" spans="1:45" ht="12.75" customHeight="1">
      <c r="A40" s="637" t="s">
        <v>251</v>
      </c>
      <c r="B40" s="641" t="s">
        <v>252</v>
      </c>
      <c r="C40" s="482">
        <f t="shared" si="18"/>
        <v>0</v>
      </c>
      <c r="D40" s="491">
        <v>0</v>
      </c>
      <c r="E40" s="639"/>
      <c r="F40" s="639"/>
      <c r="G40" s="640"/>
      <c r="H40" s="486">
        <f t="shared" si="19"/>
        <v>0</v>
      </c>
      <c r="I40" s="487"/>
      <c r="J40" s="488"/>
      <c r="K40" s="489"/>
      <c r="L40" s="486">
        <f t="shared" si="20"/>
        <v>4.0583976227701353</v>
      </c>
      <c r="M40" s="489"/>
      <c r="N40" s="489"/>
      <c r="O40" s="489"/>
      <c r="P40" s="634"/>
      <c r="Q40" s="639">
        <v>0.14399999999999999</v>
      </c>
      <c r="R40" s="639"/>
      <c r="S40" s="639">
        <v>0</v>
      </c>
      <c r="T40" s="639">
        <v>2.2053976227701355</v>
      </c>
      <c r="U40" s="639">
        <v>1.7090000000000001</v>
      </c>
      <c r="V40" s="639">
        <v>0</v>
      </c>
      <c r="W40" s="639"/>
      <c r="X40" s="487"/>
      <c r="Y40" s="485"/>
      <c r="Z40" s="489"/>
      <c r="AA40" s="492">
        <v>14.088542834314019</v>
      </c>
      <c r="AB40" s="490">
        <f t="shared" si="21"/>
        <v>0</v>
      </c>
      <c r="AC40" s="491"/>
      <c r="AD40" s="489"/>
      <c r="AE40" s="489"/>
      <c r="AF40" s="489"/>
      <c r="AG40" s="543"/>
      <c r="AH40" s="543"/>
      <c r="AI40" s="543"/>
      <c r="AJ40" s="543"/>
      <c r="AK40" s="487"/>
      <c r="AL40" s="485"/>
      <c r="AM40" s="489"/>
      <c r="AN40" s="492"/>
      <c r="AO40" s="492">
        <v>17.033790245657055</v>
      </c>
      <c r="AP40" s="490"/>
      <c r="AQ40" s="493">
        <f t="shared" si="13"/>
        <v>35.180730702741215</v>
      </c>
    </row>
    <row r="41" spans="1:45" ht="12.75" customHeight="1">
      <c r="A41" s="637" t="s">
        <v>253</v>
      </c>
      <c r="B41" s="641" t="s">
        <v>254</v>
      </c>
      <c r="C41" s="482">
        <f t="shared" si="18"/>
        <v>0</v>
      </c>
      <c r="D41" s="636">
        <v>0</v>
      </c>
      <c r="E41" s="639"/>
      <c r="F41" s="639"/>
      <c r="G41" s="640"/>
      <c r="H41" s="486">
        <f t="shared" si="19"/>
        <v>0</v>
      </c>
      <c r="I41" s="487"/>
      <c r="J41" s="488"/>
      <c r="K41" s="489"/>
      <c r="L41" s="486">
        <f t="shared" si="20"/>
        <v>2.3538976736397665</v>
      </c>
      <c r="M41" s="489"/>
      <c r="N41" s="489"/>
      <c r="O41" s="489"/>
      <c r="P41" s="634"/>
      <c r="Q41" s="629">
        <v>0.184</v>
      </c>
      <c r="R41" s="639"/>
      <c r="S41" s="629">
        <v>0</v>
      </c>
      <c r="T41" s="629">
        <v>1.4408976736397665</v>
      </c>
      <c r="U41" s="629">
        <v>0.72899999999999998</v>
      </c>
      <c r="V41" s="629">
        <v>0</v>
      </c>
      <c r="W41" s="639"/>
      <c r="X41" s="487"/>
      <c r="Y41" s="485"/>
      <c r="Z41" s="489"/>
      <c r="AA41" s="642">
        <v>20.514556235548469</v>
      </c>
      <c r="AB41" s="490">
        <f t="shared" si="21"/>
        <v>0</v>
      </c>
      <c r="AC41" s="491"/>
      <c r="AD41" s="489"/>
      <c r="AE41" s="489"/>
      <c r="AF41" s="489"/>
      <c r="AG41" s="543"/>
      <c r="AH41" s="543"/>
      <c r="AI41" s="543"/>
      <c r="AJ41" s="543"/>
      <c r="AK41" s="632"/>
      <c r="AL41" s="634"/>
      <c r="AM41" s="489"/>
      <c r="AN41" s="642"/>
      <c r="AO41" s="642">
        <v>88.215343376908805</v>
      </c>
      <c r="AP41" s="490"/>
      <c r="AQ41" s="493">
        <f t="shared" si="13"/>
        <v>111.08379728609704</v>
      </c>
    </row>
    <row r="42" spans="1:45" ht="12.75" customHeight="1">
      <c r="A42" s="637" t="s">
        <v>255</v>
      </c>
      <c r="B42" s="641" t="s">
        <v>256</v>
      </c>
      <c r="C42" s="482">
        <f t="shared" si="18"/>
        <v>0</v>
      </c>
      <c r="D42" s="491">
        <v>0</v>
      </c>
      <c r="E42" s="639"/>
      <c r="F42" s="639"/>
      <c r="G42" s="640"/>
      <c r="H42" s="486">
        <f t="shared" si="19"/>
        <v>0</v>
      </c>
      <c r="I42" s="487"/>
      <c r="J42" s="488"/>
      <c r="K42" s="489"/>
      <c r="L42" s="486">
        <f t="shared" si="20"/>
        <v>1.2106523548972861</v>
      </c>
      <c r="M42" s="489"/>
      <c r="N42" s="489"/>
      <c r="O42" s="489"/>
      <c r="P42" s="634"/>
      <c r="Q42" s="639">
        <v>6.6000000000000003E-2</v>
      </c>
      <c r="R42" s="639"/>
      <c r="S42" s="639">
        <v>0</v>
      </c>
      <c r="T42" s="639">
        <v>0.92365235489728603</v>
      </c>
      <c r="U42" s="639">
        <v>0.221</v>
      </c>
      <c r="V42" s="639">
        <v>0</v>
      </c>
      <c r="W42" s="639"/>
      <c r="X42" s="487"/>
      <c r="Y42" s="485"/>
      <c r="Z42" s="489"/>
      <c r="AA42" s="492">
        <v>0.86574847863158677</v>
      </c>
      <c r="AB42" s="490">
        <f t="shared" si="21"/>
        <v>0</v>
      </c>
      <c r="AC42" s="491"/>
      <c r="AD42" s="489"/>
      <c r="AE42" s="489"/>
      <c r="AF42" s="489"/>
      <c r="AG42" s="543"/>
      <c r="AH42" s="543"/>
      <c r="AI42" s="543"/>
      <c r="AJ42" s="543"/>
      <c r="AK42" s="593"/>
      <c r="AL42" s="589"/>
      <c r="AM42" s="489"/>
      <c r="AN42" s="594"/>
      <c r="AO42" s="492">
        <v>2.5758112476166248</v>
      </c>
      <c r="AP42" s="490"/>
      <c r="AQ42" s="493">
        <f t="shared" si="13"/>
        <v>4.6522120811454979</v>
      </c>
    </row>
    <row r="43" spans="1:45" ht="12.75" customHeight="1">
      <c r="A43" s="637" t="s">
        <v>257</v>
      </c>
      <c r="B43" s="641" t="s">
        <v>258</v>
      </c>
      <c r="C43" s="482">
        <f t="shared" si="18"/>
        <v>0</v>
      </c>
      <c r="D43" s="491">
        <v>0</v>
      </c>
      <c r="E43" s="639"/>
      <c r="F43" s="639"/>
      <c r="G43" s="640"/>
      <c r="H43" s="486">
        <f t="shared" si="19"/>
        <v>0</v>
      </c>
      <c r="I43" s="487"/>
      <c r="J43" s="488"/>
      <c r="K43" s="489">
        <v>0</v>
      </c>
      <c r="L43" s="486">
        <f t="shared" si="20"/>
        <v>12.040386855324506</v>
      </c>
      <c r="M43" s="489"/>
      <c r="N43" s="489"/>
      <c r="O43" s="489"/>
      <c r="P43" s="485"/>
      <c r="Q43" s="639">
        <v>0.29299999999999998</v>
      </c>
      <c r="R43" s="639"/>
      <c r="S43" s="639">
        <v>3.6425061461249997</v>
      </c>
      <c r="T43" s="639">
        <v>4.9848807091995067</v>
      </c>
      <c r="U43" s="639">
        <v>3.12</v>
      </c>
      <c r="V43" s="639">
        <v>0</v>
      </c>
      <c r="W43" s="639"/>
      <c r="X43" s="487"/>
      <c r="Y43" s="485"/>
      <c r="Z43" s="489"/>
      <c r="AA43" s="492">
        <v>49.987455777023783</v>
      </c>
      <c r="AB43" s="490">
        <f t="shared" si="21"/>
        <v>0</v>
      </c>
      <c r="AC43" s="491"/>
      <c r="AD43" s="489"/>
      <c r="AE43" s="489"/>
      <c r="AF43" s="489"/>
      <c r="AG43" s="489"/>
      <c r="AH43" s="489"/>
      <c r="AI43" s="489"/>
      <c r="AJ43" s="489"/>
      <c r="AK43" s="487"/>
      <c r="AL43" s="485"/>
      <c r="AM43" s="489"/>
      <c r="AN43" s="492"/>
      <c r="AO43" s="492">
        <v>50.192200180420599</v>
      </c>
      <c r="AP43" s="490"/>
      <c r="AQ43" s="493">
        <f t="shared" si="13"/>
        <v>112.2200428127689</v>
      </c>
    </row>
    <row r="44" spans="1:45" ht="12.75" customHeight="1">
      <c r="A44" s="643" t="s">
        <v>1067</v>
      </c>
      <c r="B44" s="644" t="s">
        <v>1068</v>
      </c>
      <c r="C44" s="546">
        <f>SUM(D44:G44)</f>
        <v>0</v>
      </c>
      <c r="D44" s="553">
        <v>0</v>
      </c>
      <c r="E44" s="645"/>
      <c r="F44" s="645"/>
      <c r="G44" s="646"/>
      <c r="H44" s="550">
        <f>SUM(I44:K44)</f>
        <v>0</v>
      </c>
      <c r="I44" s="547"/>
      <c r="J44" s="548"/>
      <c r="K44" s="548"/>
      <c r="L44" s="550">
        <f>SUM(M44:Z44)</f>
        <v>32.705149888372631</v>
      </c>
      <c r="M44" s="548"/>
      <c r="N44" s="548"/>
      <c r="O44" s="548"/>
      <c r="P44" s="549"/>
      <c r="Q44" s="645">
        <v>0.70131177564926306</v>
      </c>
      <c r="R44" s="645"/>
      <c r="S44" s="645">
        <v>0</v>
      </c>
      <c r="T44" s="645">
        <v>0.47390520196714231</v>
      </c>
      <c r="U44" s="645">
        <v>31.529932910756227</v>
      </c>
      <c r="V44" s="645">
        <v>0</v>
      </c>
      <c r="W44" s="645"/>
      <c r="X44" s="547"/>
      <c r="Y44" s="549"/>
      <c r="Z44" s="548"/>
      <c r="AA44" s="554">
        <v>4.0968183012521333</v>
      </c>
      <c r="AB44" s="552">
        <f>SUM(AC44:AM44)</f>
        <v>0</v>
      </c>
      <c r="AC44" s="553"/>
      <c r="AD44" s="548"/>
      <c r="AE44" s="548"/>
      <c r="AF44" s="548"/>
      <c r="AG44" s="548"/>
      <c r="AH44" s="548"/>
      <c r="AI44" s="548"/>
      <c r="AJ44" s="548"/>
      <c r="AK44" s="547"/>
      <c r="AL44" s="549"/>
      <c r="AM44" s="548"/>
      <c r="AN44" s="554"/>
      <c r="AO44" s="554">
        <v>9.9430290573801638</v>
      </c>
      <c r="AP44" s="552"/>
      <c r="AQ44" s="555">
        <f>C44+H44+L44+AA44+AB44+AN44+AO44+AP44</f>
        <v>46.744997247004932</v>
      </c>
    </row>
    <row r="45" spans="1:45" s="42" customFormat="1" ht="12.75" customHeight="1">
      <c r="A45" s="556" t="s">
        <v>259</v>
      </c>
      <c r="B45" s="557"/>
      <c r="C45" s="647">
        <f t="shared" ref="C45:AP45" si="22">SUM(C46:C55)</f>
        <v>0</v>
      </c>
      <c r="D45" s="648">
        <f t="shared" si="22"/>
        <v>0</v>
      </c>
      <c r="E45" s="648">
        <f t="shared" si="22"/>
        <v>0</v>
      </c>
      <c r="F45" s="649">
        <f t="shared" si="22"/>
        <v>0</v>
      </c>
      <c r="G45" s="649">
        <f t="shared" si="22"/>
        <v>0</v>
      </c>
      <c r="H45" s="650">
        <f t="shared" si="22"/>
        <v>0</v>
      </c>
      <c r="I45" s="651">
        <f t="shared" si="22"/>
        <v>0</v>
      </c>
      <c r="J45" s="652">
        <f t="shared" si="22"/>
        <v>0</v>
      </c>
      <c r="K45" s="648">
        <f t="shared" si="22"/>
        <v>0</v>
      </c>
      <c r="L45" s="650">
        <f t="shared" si="22"/>
        <v>5012.6665578559823</v>
      </c>
      <c r="M45" s="648">
        <f t="shared" si="22"/>
        <v>0</v>
      </c>
      <c r="N45" s="648">
        <f t="shared" ref="N45" si="23">SUM(N46:N55)</f>
        <v>0</v>
      </c>
      <c r="O45" s="648">
        <f t="shared" si="22"/>
        <v>0</v>
      </c>
      <c r="P45" s="648">
        <f t="shared" si="22"/>
        <v>824.24502392197087</v>
      </c>
      <c r="Q45" s="648">
        <f t="shared" si="22"/>
        <v>0</v>
      </c>
      <c r="R45" s="648">
        <f t="shared" si="22"/>
        <v>1102.8442060797599</v>
      </c>
      <c r="S45" s="648">
        <f t="shared" si="22"/>
        <v>0</v>
      </c>
      <c r="T45" s="648">
        <f t="shared" si="22"/>
        <v>1.8520724281984335</v>
      </c>
      <c r="U45" s="648">
        <f>SUM(U46:U55)</f>
        <v>3083.7252554260544</v>
      </c>
      <c r="V45" s="648">
        <f t="shared" si="22"/>
        <v>0</v>
      </c>
      <c r="W45" s="649">
        <f t="shared" si="22"/>
        <v>0</v>
      </c>
      <c r="X45" s="649">
        <f t="shared" si="22"/>
        <v>0</v>
      </c>
      <c r="Y45" s="649">
        <f t="shared" si="22"/>
        <v>0</v>
      </c>
      <c r="Z45" s="648">
        <f t="shared" si="22"/>
        <v>0</v>
      </c>
      <c r="AA45" s="650">
        <f t="shared" si="22"/>
        <v>22.560835415583806</v>
      </c>
      <c r="AB45" s="653">
        <f t="shared" si="22"/>
        <v>154.23960204369604</v>
      </c>
      <c r="AC45" s="654">
        <f t="shared" si="22"/>
        <v>0</v>
      </c>
      <c r="AD45" s="648">
        <f t="shared" si="22"/>
        <v>0</v>
      </c>
      <c r="AE45" s="648">
        <f t="shared" si="22"/>
        <v>0</v>
      </c>
      <c r="AF45" s="648">
        <f t="shared" ref="AF45" si="24">SUM(AF46:AF55)</f>
        <v>0</v>
      </c>
      <c r="AG45" s="648">
        <f t="shared" si="22"/>
        <v>0</v>
      </c>
      <c r="AH45" s="648">
        <f t="shared" si="22"/>
        <v>0</v>
      </c>
      <c r="AI45" s="648">
        <f t="shared" si="22"/>
        <v>126.96834918892804</v>
      </c>
      <c r="AJ45" s="648">
        <f t="shared" ref="AJ45" si="25">SUM(AJ46:AJ55)</f>
        <v>27.271252854767994</v>
      </c>
      <c r="AK45" s="651">
        <f t="shared" si="22"/>
        <v>0</v>
      </c>
      <c r="AL45" s="649">
        <f t="shared" ref="AL45" si="26">SUM(AL46:AL55)</f>
        <v>0</v>
      </c>
      <c r="AM45" s="648">
        <f t="shared" si="22"/>
        <v>0</v>
      </c>
      <c r="AN45" s="650">
        <f t="shared" si="22"/>
        <v>0</v>
      </c>
      <c r="AO45" s="650">
        <f t="shared" si="22"/>
        <v>5.3733816232262495</v>
      </c>
      <c r="AP45" s="653">
        <f t="shared" si="22"/>
        <v>0</v>
      </c>
      <c r="AQ45" s="655">
        <f t="shared" si="13"/>
        <v>5194.8403769384886</v>
      </c>
      <c r="AR45" s="38"/>
      <c r="AS45" s="41"/>
    </row>
    <row r="46" spans="1:45" ht="12.75" customHeight="1">
      <c r="A46" s="656" t="s">
        <v>260</v>
      </c>
      <c r="B46" s="532"/>
      <c r="C46" s="533">
        <f t="shared" ref="C46:C64" si="27">SUM(D46:G46)</f>
        <v>0</v>
      </c>
      <c r="D46" s="657"/>
      <c r="E46" s="584"/>
      <c r="F46" s="536"/>
      <c r="G46" s="536"/>
      <c r="H46" s="537">
        <f t="shared" ref="H46:H64" si="28">SUM(I46:K46)</f>
        <v>0</v>
      </c>
      <c r="I46" s="534"/>
      <c r="J46" s="538"/>
      <c r="K46" s="535"/>
      <c r="L46" s="537">
        <f t="shared" ref="L46:L64" si="29">SUM(M46:Z46)</f>
        <v>703.5908900281911</v>
      </c>
      <c r="M46" s="535"/>
      <c r="N46" s="535"/>
      <c r="O46" s="535"/>
      <c r="P46" s="535"/>
      <c r="Q46" s="535"/>
      <c r="R46" s="535"/>
      <c r="S46" s="535"/>
      <c r="T46" s="535"/>
      <c r="U46" s="535">
        <v>703.5908900281911</v>
      </c>
      <c r="V46" s="535"/>
      <c r="W46" s="536"/>
      <c r="X46" s="536"/>
      <c r="Y46" s="536"/>
      <c r="Z46" s="535"/>
      <c r="AA46" s="541">
        <v>2.9723185667999998E-2</v>
      </c>
      <c r="AB46" s="539">
        <f t="shared" ref="AB46:AB64" si="30">SUM(AC46:AM46)</f>
        <v>30.162309971808927</v>
      </c>
      <c r="AC46" s="540"/>
      <c r="AD46" s="535"/>
      <c r="AE46" s="535"/>
      <c r="AF46" s="535"/>
      <c r="AG46" s="535"/>
      <c r="AH46" s="535"/>
      <c r="AI46" s="535">
        <v>30.162309971808927</v>
      </c>
      <c r="AJ46" s="535">
        <v>0</v>
      </c>
      <c r="AK46" s="534"/>
      <c r="AL46" s="536"/>
      <c r="AM46" s="535"/>
      <c r="AN46" s="537"/>
      <c r="AO46" s="541"/>
      <c r="AP46" s="539"/>
      <c r="AQ46" s="568">
        <f t="shared" si="13"/>
        <v>733.78292318566798</v>
      </c>
    </row>
    <row r="47" spans="1:45" ht="12.75" customHeight="1">
      <c r="A47" s="626" t="s">
        <v>261</v>
      </c>
      <c r="B47" s="658"/>
      <c r="C47" s="482">
        <f t="shared" si="27"/>
        <v>0</v>
      </c>
      <c r="D47" s="659"/>
      <c r="E47" s="660"/>
      <c r="F47" s="634"/>
      <c r="G47" s="634"/>
      <c r="H47" s="486">
        <f t="shared" si="28"/>
        <v>0</v>
      </c>
      <c r="I47" s="632"/>
      <c r="J47" s="633"/>
      <c r="K47" s="543"/>
      <c r="L47" s="631">
        <f t="shared" si="29"/>
        <v>329.18377939153407</v>
      </c>
      <c r="M47" s="543"/>
      <c r="N47" s="543"/>
      <c r="O47" s="543"/>
      <c r="P47" s="543"/>
      <c r="Q47" s="543"/>
      <c r="R47" s="543"/>
      <c r="S47" s="543"/>
      <c r="T47" s="543"/>
      <c r="U47" s="543">
        <v>329.18377939153407</v>
      </c>
      <c r="V47" s="543"/>
      <c r="W47" s="634"/>
      <c r="X47" s="634"/>
      <c r="Y47" s="634"/>
      <c r="Z47" s="543"/>
      <c r="AA47" s="642"/>
      <c r="AB47" s="635">
        <f t="shared" si="30"/>
        <v>14.111813174984674</v>
      </c>
      <c r="AC47" s="636"/>
      <c r="AD47" s="543"/>
      <c r="AE47" s="543"/>
      <c r="AF47" s="543"/>
      <c r="AG47" s="543"/>
      <c r="AH47" s="543"/>
      <c r="AI47" s="543">
        <v>14.111813174984674</v>
      </c>
      <c r="AJ47" s="543">
        <v>0</v>
      </c>
      <c r="AK47" s="632"/>
      <c r="AL47" s="634"/>
      <c r="AM47" s="543"/>
      <c r="AN47" s="631"/>
      <c r="AO47" s="642"/>
      <c r="AP47" s="635"/>
      <c r="AQ47" s="542">
        <f t="shared" si="13"/>
        <v>343.29559256651874</v>
      </c>
    </row>
    <row r="48" spans="1:45" ht="12.75" customHeight="1">
      <c r="A48" s="637" t="s">
        <v>262</v>
      </c>
      <c r="B48" s="481"/>
      <c r="C48" s="482">
        <f t="shared" si="27"/>
        <v>0</v>
      </c>
      <c r="D48" s="483"/>
      <c r="E48" s="494"/>
      <c r="F48" s="485"/>
      <c r="G48" s="485"/>
      <c r="H48" s="486">
        <f t="shared" si="28"/>
        <v>0</v>
      </c>
      <c r="I48" s="487"/>
      <c r="J48" s="488"/>
      <c r="K48" s="489"/>
      <c r="L48" s="486">
        <f t="shared" si="29"/>
        <v>1988.8117004276846</v>
      </c>
      <c r="M48" s="489"/>
      <c r="N48" s="489"/>
      <c r="O48" s="489"/>
      <c r="P48" s="489">
        <v>674.58043053629058</v>
      </c>
      <c r="Q48" s="489"/>
      <c r="R48" s="489"/>
      <c r="S48" s="489"/>
      <c r="T48" s="489">
        <v>1.8520724281984335</v>
      </c>
      <c r="U48" s="489">
        <v>1312.3791974631956</v>
      </c>
      <c r="V48" s="489"/>
      <c r="W48" s="485"/>
      <c r="X48" s="485"/>
      <c r="Y48" s="485"/>
      <c r="Z48" s="489"/>
      <c r="AA48" s="492"/>
      <c r="AB48" s="490">
        <f t="shared" si="30"/>
        <v>78.598025526444061</v>
      </c>
      <c r="AC48" s="491"/>
      <c r="AD48" s="489"/>
      <c r="AE48" s="489"/>
      <c r="AF48" s="489"/>
      <c r="AG48" s="489"/>
      <c r="AH48" s="489"/>
      <c r="AI48" s="489">
        <v>56.260518314631256</v>
      </c>
      <c r="AJ48" s="489">
        <v>22.33750721181281</v>
      </c>
      <c r="AK48" s="487"/>
      <c r="AL48" s="485"/>
      <c r="AM48" s="489"/>
      <c r="AN48" s="486"/>
      <c r="AO48" s="492">
        <v>1.0652907432262495</v>
      </c>
      <c r="AP48" s="490"/>
      <c r="AQ48" s="493">
        <f t="shared" si="13"/>
        <v>2068.4750166973549</v>
      </c>
    </row>
    <row r="49" spans="1:45" ht="12.75" customHeight="1">
      <c r="A49" s="637" t="s">
        <v>263</v>
      </c>
      <c r="B49" s="481"/>
      <c r="C49" s="482">
        <f t="shared" si="27"/>
        <v>0</v>
      </c>
      <c r="D49" s="483"/>
      <c r="E49" s="494"/>
      <c r="F49" s="485"/>
      <c r="G49" s="485"/>
      <c r="H49" s="486">
        <f t="shared" si="28"/>
        <v>0</v>
      </c>
      <c r="I49" s="487"/>
      <c r="J49" s="488"/>
      <c r="K49" s="489"/>
      <c r="L49" s="486">
        <f t="shared" si="29"/>
        <v>132.19128758585111</v>
      </c>
      <c r="M49" s="489"/>
      <c r="N49" s="489"/>
      <c r="O49" s="489"/>
      <c r="P49" s="489">
        <v>6.5053363986760129</v>
      </c>
      <c r="Q49" s="489"/>
      <c r="R49" s="489"/>
      <c r="S49" s="489"/>
      <c r="T49" s="489"/>
      <c r="U49" s="489">
        <v>125.68595118717511</v>
      </c>
      <c r="V49" s="489"/>
      <c r="W49" s="485"/>
      <c r="X49" s="485"/>
      <c r="Y49" s="485"/>
      <c r="Z49" s="489"/>
      <c r="AA49" s="492"/>
      <c r="AB49" s="490">
        <f t="shared" si="30"/>
        <v>5.6034563359273175</v>
      </c>
      <c r="AC49" s="491"/>
      <c r="AD49" s="489"/>
      <c r="AE49" s="489"/>
      <c r="AF49" s="489"/>
      <c r="AG49" s="489"/>
      <c r="AH49" s="489"/>
      <c r="AI49" s="489">
        <v>5.3880439223102039</v>
      </c>
      <c r="AJ49" s="489">
        <v>0.21541241361711327</v>
      </c>
      <c r="AK49" s="487"/>
      <c r="AL49" s="485"/>
      <c r="AM49" s="489"/>
      <c r="AN49" s="486"/>
      <c r="AO49" s="492"/>
      <c r="AP49" s="490"/>
      <c r="AQ49" s="493">
        <f t="shared" si="13"/>
        <v>137.79474392177843</v>
      </c>
    </row>
    <row r="50" spans="1:45" ht="12.75" customHeight="1">
      <c r="A50" s="637" t="s">
        <v>24</v>
      </c>
      <c r="B50" s="481"/>
      <c r="C50" s="482">
        <f t="shared" si="27"/>
        <v>0</v>
      </c>
      <c r="D50" s="483"/>
      <c r="E50" s="494"/>
      <c r="F50" s="485"/>
      <c r="G50" s="485"/>
      <c r="H50" s="486">
        <f t="shared" si="28"/>
        <v>0</v>
      </c>
      <c r="I50" s="487"/>
      <c r="J50" s="488"/>
      <c r="K50" s="489"/>
      <c r="L50" s="486">
        <f t="shared" si="29"/>
        <v>38.043221783939138</v>
      </c>
      <c r="M50" s="489"/>
      <c r="N50" s="489"/>
      <c r="O50" s="489"/>
      <c r="P50" s="489"/>
      <c r="Q50" s="489"/>
      <c r="R50" s="661"/>
      <c r="S50" s="489"/>
      <c r="T50" s="489"/>
      <c r="U50" s="489">
        <v>38.043221783939138</v>
      </c>
      <c r="V50" s="489"/>
      <c r="W50" s="485"/>
      <c r="X50" s="485"/>
      <c r="Y50" s="485"/>
      <c r="Z50" s="489"/>
      <c r="AA50" s="492"/>
      <c r="AB50" s="490">
        <f t="shared" si="30"/>
        <v>0</v>
      </c>
      <c r="AC50" s="491"/>
      <c r="AD50" s="489"/>
      <c r="AE50" s="489"/>
      <c r="AF50" s="489"/>
      <c r="AG50" s="489"/>
      <c r="AH50" s="489"/>
      <c r="AI50" s="489">
        <v>0</v>
      </c>
      <c r="AJ50" s="489"/>
      <c r="AK50" s="487"/>
      <c r="AL50" s="485"/>
      <c r="AM50" s="489"/>
      <c r="AN50" s="486"/>
      <c r="AO50" s="492">
        <v>4.30809088</v>
      </c>
      <c r="AP50" s="490"/>
      <c r="AQ50" s="493">
        <f t="shared" si="13"/>
        <v>42.35131266393914</v>
      </c>
    </row>
    <row r="51" spans="1:45" ht="12.75" customHeight="1">
      <c r="A51" s="637" t="s">
        <v>264</v>
      </c>
      <c r="B51" s="481"/>
      <c r="C51" s="482">
        <f t="shared" si="27"/>
        <v>0</v>
      </c>
      <c r="D51" s="483"/>
      <c r="E51" s="494"/>
      <c r="F51" s="485"/>
      <c r="G51" s="485"/>
      <c r="H51" s="486">
        <f t="shared" si="28"/>
        <v>0</v>
      </c>
      <c r="I51" s="487"/>
      <c r="J51" s="488"/>
      <c r="K51" s="489"/>
      <c r="L51" s="486">
        <f t="shared" si="29"/>
        <v>5.5768892778871395</v>
      </c>
      <c r="M51" s="489"/>
      <c r="N51" s="489"/>
      <c r="O51" s="489"/>
      <c r="P51" s="489">
        <v>0.66818888888888883</v>
      </c>
      <c r="Q51" s="489"/>
      <c r="R51" s="489">
        <v>4.908700388998251</v>
      </c>
      <c r="S51" s="489"/>
      <c r="T51" s="489"/>
      <c r="U51" s="489"/>
      <c r="V51" s="489"/>
      <c r="W51" s="485"/>
      <c r="X51" s="485"/>
      <c r="Y51" s="485"/>
      <c r="Z51" s="489"/>
      <c r="AA51" s="492"/>
      <c r="AB51" s="490">
        <f t="shared" si="30"/>
        <v>0</v>
      </c>
      <c r="AC51" s="491"/>
      <c r="AD51" s="489"/>
      <c r="AE51" s="489"/>
      <c r="AF51" s="489"/>
      <c r="AG51" s="489"/>
      <c r="AH51" s="489"/>
      <c r="AI51" s="489"/>
      <c r="AJ51" s="489"/>
      <c r="AK51" s="487"/>
      <c r="AL51" s="485"/>
      <c r="AM51" s="489"/>
      <c r="AN51" s="486"/>
      <c r="AO51" s="492"/>
      <c r="AP51" s="490"/>
      <c r="AQ51" s="493">
        <f t="shared" si="13"/>
        <v>5.5768892778871395</v>
      </c>
    </row>
    <row r="52" spans="1:45" ht="12.75" customHeight="1">
      <c r="A52" s="637" t="s">
        <v>265</v>
      </c>
      <c r="B52" s="641"/>
      <c r="C52" s="662">
        <f t="shared" si="27"/>
        <v>0</v>
      </c>
      <c r="D52" s="661"/>
      <c r="E52" s="661"/>
      <c r="F52" s="663"/>
      <c r="G52" s="663"/>
      <c r="H52" s="664">
        <f t="shared" si="28"/>
        <v>0</v>
      </c>
      <c r="I52" s="665"/>
      <c r="J52" s="666"/>
      <c r="K52" s="661"/>
      <c r="L52" s="664">
        <f t="shared" si="29"/>
        <v>1097.9355056907616</v>
      </c>
      <c r="M52" s="661"/>
      <c r="N52" s="661"/>
      <c r="O52" s="661"/>
      <c r="P52" s="543"/>
      <c r="Q52" s="661"/>
      <c r="R52" s="661">
        <v>1097.9355056907616</v>
      </c>
      <c r="S52" s="661"/>
      <c r="T52" s="661"/>
      <c r="U52" s="661"/>
      <c r="V52" s="661"/>
      <c r="W52" s="663"/>
      <c r="X52" s="663"/>
      <c r="Y52" s="663"/>
      <c r="Z52" s="661"/>
      <c r="AA52" s="642"/>
      <c r="AB52" s="667">
        <f t="shared" si="30"/>
        <v>0</v>
      </c>
      <c r="AC52" s="668"/>
      <c r="AD52" s="661"/>
      <c r="AE52" s="661"/>
      <c r="AF52" s="661"/>
      <c r="AG52" s="661"/>
      <c r="AH52" s="661"/>
      <c r="AI52" s="661"/>
      <c r="AJ52" s="661"/>
      <c r="AK52" s="632"/>
      <c r="AL52" s="634"/>
      <c r="AM52" s="661"/>
      <c r="AN52" s="642"/>
      <c r="AO52" s="642"/>
      <c r="AP52" s="667"/>
      <c r="AQ52" s="669">
        <f t="shared" si="13"/>
        <v>1097.9355056907616</v>
      </c>
    </row>
    <row r="53" spans="1:45" ht="12.6" customHeight="1">
      <c r="A53" s="637" t="s">
        <v>204</v>
      </c>
      <c r="B53" s="641"/>
      <c r="C53" s="662">
        <f t="shared" si="27"/>
        <v>0</v>
      </c>
      <c r="D53" s="665"/>
      <c r="E53" s="661"/>
      <c r="F53" s="663"/>
      <c r="G53" s="663"/>
      <c r="H53" s="664">
        <f t="shared" si="28"/>
        <v>0</v>
      </c>
      <c r="I53" s="665"/>
      <c r="J53" s="666"/>
      <c r="K53" s="661"/>
      <c r="L53" s="664">
        <f t="shared" si="29"/>
        <v>176.59351048332516</v>
      </c>
      <c r="M53" s="661"/>
      <c r="N53" s="661"/>
      <c r="O53" s="661"/>
      <c r="P53" s="661">
        <v>0</v>
      </c>
      <c r="Q53" s="661"/>
      <c r="R53" s="661"/>
      <c r="S53" s="661"/>
      <c r="T53" s="661"/>
      <c r="U53" s="661">
        <v>176.59351048332516</v>
      </c>
      <c r="V53" s="661"/>
      <c r="W53" s="663"/>
      <c r="X53" s="663"/>
      <c r="Y53" s="663"/>
      <c r="Z53" s="661"/>
      <c r="AA53" s="642"/>
      <c r="AB53" s="667">
        <f t="shared" si="30"/>
        <v>7.570405299014781</v>
      </c>
      <c r="AC53" s="668"/>
      <c r="AD53" s="661"/>
      <c r="AE53" s="661"/>
      <c r="AF53" s="661"/>
      <c r="AG53" s="661"/>
      <c r="AH53" s="661"/>
      <c r="AI53" s="489">
        <v>7.570405299014781</v>
      </c>
      <c r="AJ53" s="489">
        <v>0</v>
      </c>
      <c r="AK53" s="661"/>
      <c r="AL53" s="661"/>
      <c r="AM53" s="661"/>
      <c r="AN53" s="642"/>
      <c r="AO53" s="492"/>
      <c r="AP53" s="667"/>
      <c r="AQ53" s="669">
        <f t="shared" si="13"/>
        <v>184.16391578233996</v>
      </c>
      <c r="AS53" s="237"/>
    </row>
    <row r="54" spans="1:45" ht="12.75" customHeight="1">
      <c r="A54" s="480" t="s">
        <v>170</v>
      </c>
      <c r="B54" s="481"/>
      <c r="C54" s="662">
        <f t="shared" si="27"/>
        <v>0</v>
      </c>
      <c r="D54" s="665"/>
      <c r="E54" s="661"/>
      <c r="F54" s="663"/>
      <c r="G54" s="663"/>
      <c r="H54" s="664">
        <f t="shared" si="28"/>
        <v>0</v>
      </c>
      <c r="I54" s="665"/>
      <c r="J54" s="666"/>
      <c r="K54" s="661"/>
      <c r="L54" s="664">
        <f t="shared" si="29"/>
        <v>83.913724293678101</v>
      </c>
      <c r="M54" s="661"/>
      <c r="N54" s="661"/>
      <c r="O54" s="661"/>
      <c r="P54" s="661"/>
      <c r="Q54" s="661"/>
      <c r="R54" s="661"/>
      <c r="S54" s="661"/>
      <c r="T54" s="661"/>
      <c r="U54" s="661">
        <v>83.913724293678101</v>
      </c>
      <c r="V54" s="661"/>
      <c r="W54" s="663"/>
      <c r="X54" s="663"/>
      <c r="Y54" s="663"/>
      <c r="Z54" s="661"/>
      <c r="AA54" s="594"/>
      <c r="AB54" s="667">
        <f t="shared" si="30"/>
        <v>0</v>
      </c>
      <c r="AC54" s="668"/>
      <c r="AD54" s="661"/>
      <c r="AE54" s="661"/>
      <c r="AF54" s="661"/>
      <c r="AG54" s="661"/>
      <c r="AH54" s="661"/>
      <c r="AI54" s="661"/>
      <c r="AJ54" s="661"/>
      <c r="AK54" s="661"/>
      <c r="AL54" s="661"/>
      <c r="AM54" s="661"/>
      <c r="AN54" s="594"/>
      <c r="AO54" s="642"/>
      <c r="AP54" s="667"/>
      <c r="AQ54" s="669">
        <f t="shared" si="13"/>
        <v>83.913724293678101</v>
      </c>
      <c r="AS54" s="237"/>
    </row>
    <row r="55" spans="1:45" ht="12.75" customHeight="1">
      <c r="A55" s="544" t="s">
        <v>205</v>
      </c>
      <c r="B55" s="545"/>
      <c r="C55" s="546">
        <f t="shared" si="27"/>
        <v>0</v>
      </c>
      <c r="D55" s="670"/>
      <c r="E55" s="671"/>
      <c r="F55" s="549"/>
      <c r="G55" s="549"/>
      <c r="H55" s="550">
        <f t="shared" si="28"/>
        <v>0</v>
      </c>
      <c r="I55" s="547"/>
      <c r="J55" s="551"/>
      <c r="K55" s="548"/>
      <c r="L55" s="550">
        <f t="shared" si="29"/>
        <v>456.8260488931312</v>
      </c>
      <c r="M55" s="548"/>
      <c r="N55" s="548"/>
      <c r="O55" s="548"/>
      <c r="P55" s="548">
        <v>142.49106809811542</v>
      </c>
      <c r="Q55" s="548"/>
      <c r="R55" s="548"/>
      <c r="S55" s="548">
        <v>0</v>
      </c>
      <c r="T55" s="548"/>
      <c r="U55" s="548">
        <v>314.33498079501578</v>
      </c>
      <c r="V55" s="548"/>
      <c r="W55" s="549"/>
      <c r="X55" s="549"/>
      <c r="Y55" s="549"/>
      <c r="Z55" s="548"/>
      <c r="AA55" s="554">
        <v>22.531112229915806</v>
      </c>
      <c r="AB55" s="552">
        <f t="shared" si="30"/>
        <v>18.193591735516275</v>
      </c>
      <c r="AC55" s="553"/>
      <c r="AD55" s="548"/>
      <c r="AE55" s="548"/>
      <c r="AF55" s="548"/>
      <c r="AG55" s="548"/>
      <c r="AH55" s="548"/>
      <c r="AI55" s="548">
        <v>13.475258506178202</v>
      </c>
      <c r="AJ55" s="548">
        <v>4.7183332293380724</v>
      </c>
      <c r="AK55" s="547"/>
      <c r="AL55" s="549"/>
      <c r="AM55" s="548"/>
      <c r="AN55" s="550"/>
      <c r="AO55" s="554"/>
      <c r="AP55" s="552"/>
      <c r="AQ55" s="555">
        <f t="shared" si="13"/>
        <v>497.55075285856333</v>
      </c>
      <c r="AR55" s="358"/>
      <c r="AS55" s="237"/>
    </row>
    <row r="56" spans="1:45" s="42" customFormat="1" ht="12.75" customHeight="1">
      <c r="A56" s="672" t="s">
        <v>266</v>
      </c>
      <c r="B56" s="673"/>
      <c r="C56" s="674">
        <f t="shared" si="27"/>
        <v>216.79218330365393</v>
      </c>
      <c r="D56" s="675">
        <v>115.30751795563631</v>
      </c>
      <c r="E56" s="484">
        <v>89.647280058277374</v>
      </c>
      <c r="F56" s="676"/>
      <c r="G56" s="676">
        <v>11.837385289740231</v>
      </c>
      <c r="H56" s="677">
        <f t="shared" si="28"/>
        <v>196.53880633</v>
      </c>
      <c r="I56" s="675"/>
      <c r="J56" s="678">
        <v>127.70399999999999</v>
      </c>
      <c r="K56" s="566">
        <v>68.834806329999992</v>
      </c>
      <c r="L56" s="677">
        <f t="shared" si="29"/>
        <v>1254.8255059886615</v>
      </c>
      <c r="M56" s="566"/>
      <c r="N56" s="566"/>
      <c r="O56" s="566"/>
      <c r="P56" s="566">
        <v>0</v>
      </c>
      <c r="Q56" s="566">
        <v>865.67110107427072</v>
      </c>
      <c r="R56" s="566"/>
      <c r="S56" s="566">
        <v>0</v>
      </c>
      <c r="T56" s="566">
        <v>53.841522983216713</v>
      </c>
      <c r="U56" s="566">
        <v>329.909010207883</v>
      </c>
      <c r="V56" s="566">
        <v>5.4038717232911377</v>
      </c>
      <c r="W56" s="676"/>
      <c r="X56" s="676"/>
      <c r="Y56" s="676"/>
      <c r="Z56" s="566"/>
      <c r="AA56" s="677">
        <v>604.09375845912712</v>
      </c>
      <c r="AB56" s="679">
        <f t="shared" si="30"/>
        <v>71.026669556951646</v>
      </c>
      <c r="AC56" s="680"/>
      <c r="AD56" s="566"/>
      <c r="AE56" s="566">
        <v>29.776082158378955</v>
      </c>
      <c r="AF56" s="566"/>
      <c r="AG56" s="566"/>
      <c r="AH56" s="566"/>
      <c r="AI56" s="566"/>
      <c r="AJ56" s="566"/>
      <c r="AK56" s="675"/>
      <c r="AL56" s="676">
        <v>13.379590942008413</v>
      </c>
      <c r="AM56" s="566">
        <v>27.870996456564281</v>
      </c>
      <c r="AN56" s="677"/>
      <c r="AO56" s="677">
        <v>702.94473599999992</v>
      </c>
      <c r="AP56" s="679"/>
      <c r="AQ56" s="567">
        <f t="shared" si="13"/>
        <v>3046.2216596383942</v>
      </c>
      <c r="AR56" s="358"/>
      <c r="AS56" s="41"/>
    </row>
    <row r="57" spans="1:45" s="42" customFormat="1" ht="12.75" customHeight="1">
      <c r="A57" s="672" t="s">
        <v>1069</v>
      </c>
      <c r="B57" s="673"/>
      <c r="C57" s="674">
        <f>C58+C65</f>
        <v>0.51992180451127823</v>
      </c>
      <c r="D57" s="566">
        <f t="shared" ref="D57:AP57" si="31">D58+D65</f>
        <v>0.51992180451127823</v>
      </c>
      <c r="E57" s="566">
        <f t="shared" si="31"/>
        <v>0</v>
      </c>
      <c r="F57" s="676">
        <f t="shared" si="31"/>
        <v>0</v>
      </c>
      <c r="G57" s="676">
        <f t="shared" si="31"/>
        <v>0</v>
      </c>
      <c r="H57" s="677">
        <f t="shared" si="31"/>
        <v>0</v>
      </c>
      <c r="I57" s="675">
        <f t="shared" si="31"/>
        <v>0</v>
      </c>
      <c r="J57" s="675">
        <f t="shared" si="31"/>
        <v>0</v>
      </c>
      <c r="K57" s="675">
        <f t="shared" si="31"/>
        <v>0</v>
      </c>
      <c r="L57" s="677">
        <f t="shared" si="31"/>
        <v>240.86725727408077</v>
      </c>
      <c r="M57" s="566">
        <f t="shared" si="31"/>
        <v>0</v>
      </c>
      <c r="N57" s="566">
        <f t="shared" si="31"/>
        <v>0</v>
      </c>
      <c r="O57" s="566">
        <f t="shared" si="31"/>
        <v>0</v>
      </c>
      <c r="P57" s="566">
        <f t="shared" si="31"/>
        <v>0</v>
      </c>
      <c r="Q57" s="566">
        <f t="shared" si="31"/>
        <v>62.827000000000005</v>
      </c>
      <c r="R57" s="566">
        <f t="shared" si="31"/>
        <v>0</v>
      </c>
      <c r="S57" s="566">
        <f t="shared" si="31"/>
        <v>0.64284746861564912</v>
      </c>
      <c r="T57" s="566">
        <f t="shared" si="31"/>
        <v>70.524409805465098</v>
      </c>
      <c r="U57" s="566">
        <f t="shared" si="31"/>
        <v>106.87300000000002</v>
      </c>
      <c r="V57" s="566">
        <f t="shared" si="31"/>
        <v>0</v>
      </c>
      <c r="W57" s="676">
        <f t="shared" si="31"/>
        <v>0</v>
      </c>
      <c r="X57" s="676">
        <f t="shared" si="31"/>
        <v>0</v>
      </c>
      <c r="Y57" s="676">
        <f t="shared" si="31"/>
        <v>0</v>
      </c>
      <c r="Z57" s="675">
        <f t="shared" si="31"/>
        <v>0</v>
      </c>
      <c r="AA57" s="677">
        <f t="shared" si="31"/>
        <v>328.6198962047896</v>
      </c>
      <c r="AB57" s="679">
        <f t="shared" si="31"/>
        <v>39.433814247868156</v>
      </c>
      <c r="AC57" s="680">
        <f t="shared" si="31"/>
        <v>0</v>
      </c>
      <c r="AD57" s="566">
        <f t="shared" si="31"/>
        <v>0</v>
      </c>
      <c r="AE57" s="566">
        <f t="shared" si="31"/>
        <v>17.99312324724</v>
      </c>
      <c r="AF57" s="566">
        <f t="shared" si="31"/>
        <v>0</v>
      </c>
      <c r="AG57" s="566">
        <f t="shared" si="31"/>
        <v>0</v>
      </c>
      <c r="AH57" s="566">
        <f t="shared" si="31"/>
        <v>5.621744734795584</v>
      </c>
      <c r="AI57" s="566">
        <f t="shared" si="31"/>
        <v>0</v>
      </c>
      <c r="AJ57" s="566">
        <f t="shared" si="31"/>
        <v>0</v>
      </c>
      <c r="AK57" s="566">
        <f t="shared" si="31"/>
        <v>0</v>
      </c>
      <c r="AL57" s="566">
        <f t="shared" si="31"/>
        <v>0.16649466165720572</v>
      </c>
      <c r="AM57" s="675">
        <f t="shared" si="31"/>
        <v>15.65245160417537</v>
      </c>
      <c r="AN57" s="677">
        <f t="shared" si="31"/>
        <v>0</v>
      </c>
      <c r="AO57" s="677">
        <f t="shared" si="31"/>
        <v>1078.743765043014</v>
      </c>
      <c r="AP57" s="679">
        <f t="shared" si="31"/>
        <v>0</v>
      </c>
      <c r="AQ57" s="681">
        <f t="shared" si="13"/>
        <v>1688.184654574264</v>
      </c>
      <c r="AR57" s="38"/>
      <c r="AS57" s="41"/>
    </row>
    <row r="58" spans="1:45" ht="12.75" customHeight="1">
      <c r="A58" s="672" t="s">
        <v>1070</v>
      </c>
      <c r="B58" s="673"/>
      <c r="C58" s="674">
        <f t="shared" si="27"/>
        <v>0.5149225563909775</v>
      </c>
      <c r="D58" s="680">
        <v>0.5149225563909775</v>
      </c>
      <c r="E58" s="679">
        <v>0</v>
      </c>
      <c r="F58" s="679">
        <f>SUM(F59:F64)</f>
        <v>0</v>
      </c>
      <c r="G58" s="682">
        <v>0</v>
      </c>
      <c r="H58" s="677">
        <f t="shared" si="28"/>
        <v>0</v>
      </c>
      <c r="I58" s="675">
        <f>SUM(I59:I64)</f>
        <v>0</v>
      </c>
      <c r="J58" s="683">
        <f>SUM(J59:J64)</f>
        <v>0</v>
      </c>
      <c r="K58" s="675">
        <f>SUM(K59:K64)</f>
        <v>0</v>
      </c>
      <c r="L58" s="677">
        <f t="shared" si="29"/>
        <v>109.16310972047087</v>
      </c>
      <c r="M58" s="566">
        <f t="shared" ref="M58:AN58" si="32">SUM(M59:M64)</f>
        <v>0</v>
      </c>
      <c r="N58" s="676">
        <f t="shared" si="32"/>
        <v>0</v>
      </c>
      <c r="O58" s="676">
        <f t="shared" si="32"/>
        <v>0</v>
      </c>
      <c r="P58" s="679">
        <f t="shared" si="32"/>
        <v>0</v>
      </c>
      <c r="Q58" s="679">
        <v>15.841000000000001</v>
      </c>
      <c r="R58" s="679">
        <f t="shared" si="32"/>
        <v>0</v>
      </c>
      <c r="S58" s="679">
        <v>0</v>
      </c>
      <c r="T58" s="679">
        <v>41.074109720470858</v>
      </c>
      <c r="U58" s="679">
        <v>52.248000000000012</v>
      </c>
      <c r="V58" s="679">
        <f t="shared" si="32"/>
        <v>0</v>
      </c>
      <c r="W58" s="679">
        <f t="shared" si="32"/>
        <v>0</v>
      </c>
      <c r="X58" s="679">
        <f t="shared" si="32"/>
        <v>0</v>
      </c>
      <c r="Y58" s="676">
        <f t="shared" si="32"/>
        <v>0</v>
      </c>
      <c r="Z58" s="675">
        <f t="shared" si="32"/>
        <v>0</v>
      </c>
      <c r="AA58" s="677">
        <v>206.51565457653467</v>
      </c>
      <c r="AB58" s="679">
        <f t="shared" si="30"/>
        <v>20.523795887314584</v>
      </c>
      <c r="AC58" s="680">
        <f t="shared" si="32"/>
        <v>0</v>
      </c>
      <c r="AD58" s="566">
        <f t="shared" si="32"/>
        <v>0</v>
      </c>
      <c r="AE58" s="566">
        <f t="shared" si="32"/>
        <v>3.9004188670820072</v>
      </c>
      <c r="AF58" s="566"/>
      <c r="AG58" s="566">
        <f t="shared" si="32"/>
        <v>0</v>
      </c>
      <c r="AH58" s="566">
        <f t="shared" si="32"/>
        <v>0.80443075440000011</v>
      </c>
      <c r="AI58" s="566">
        <f t="shared" si="32"/>
        <v>0</v>
      </c>
      <c r="AJ58" s="566">
        <f t="shared" si="32"/>
        <v>0</v>
      </c>
      <c r="AK58" s="566"/>
      <c r="AL58" s="566">
        <v>0.16649466165720572</v>
      </c>
      <c r="AM58" s="676">
        <v>15.65245160417537</v>
      </c>
      <c r="AN58" s="677">
        <f t="shared" si="32"/>
        <v>0</v>
      </c>
      <c r="AO58" s="677">
        <v>828.90452168344279</v>
      </c>
      <c r="AP58" s="679">
        <f t="shared" ref="AP58" si="33">SUM(AP59:AP64)</f>
        <v>0</v>
      </c>
      <c r="AQ58" s="681">
        <f t="shared" si="13"/>
        <v>1165.6220044241538</v>
      </c>
    </row>
    <row r="59" spans="1:45" ht="12.75" customHeight="1">
      <c r="A59" s="480" t="s">
        <v>1071</v>
      </c>
      <c r="B59" s="684" t="s">
        <v>1072</v>
      </c>
      <c r="C59" s="533">
        <f t="shared" si="27"/>
        <v>3.9993984962406011E-3</v>
      </c>
      <c r="D59" s="491">
        <v>3.9993984962406011E-3</v>
      </c>
      <c r="E59" s="539"/>
      <c r="F59" s="539"/>
      <c r="G59" s="582"/>
      <c r="H59" s="537">
        <f t="shared" si="28"/>
        <v>0</v>
      </c>
      <c r="I59" s="657"/>
      <c r="J59" s="685"/>
      <c r="K59" s="657"/>
      <c r="L59" s="537">
        <f t="shared" si="29"/>
        <v>29.110393287676398</v>
      </c>
      <c r="M59" s="584"/>
      <c r="N59" s="686"/>
      <c r="O59" s="686"/>
      <c r="P59" s="539"/>
      <c r="Q59" s="639">
        <v>6.548</v>
      </c>
      <c r="R59" s="539"/>
      <c r="S59" s="639">
        <v>0</v>
      </c>
      <c r="T59" s="639">
        <v>11.487393287676401</v>
      </c>
      <c r="U59" s="639">
        <v>11.074999999999999</v>
      </c>
      <c r="V59" s="639">
        <v>0</v>
      </c>
      <c r="W59" s="539"/>
      <c r="X59" s="539"/>
      <c r="Y59" s="686"/>
      <c r="Z59" s="657"/>
      <c r="AA59" s="492">
        <v>52.670839129321678</v>
      </c>
      <c r="AB59" s="539">
        <f t="shared" si="30"/>
        <v>1.2953271877604666</v>
      </c>
      <c r="AC59" s="687"/>
      <c r="AD59" s="584"/>
      <c r="AE59" s="535">
        <v>1.2953271877604666</v>
      </c>
      <c r="AF59" s="535"/>
      <c r="AG59" s="535"/>
      <c r="AH59" s="535">
        <v>0</v>
      </c>
      <c r="AI59" s="535"/>
      <c r="AJ59" s="535"/>
      <c r="AK59" s="535"/>
      <c r="AL59" s="535">
        <v>0</v>
      </c>
      <c r="AM59" s="536">
        <v>0</v>
      </c>
      <c r="AN59" s="537"/>
      <c r="AO59" s="492">
        <v>225.7085564993871</v>
      </c>
      <c r="AP59" s="539"/>
      <c r="AQ59" s="568">
        <f t="shared" si="13"/>
        <v>308.78911550264189</v>
      </c>
    </row>
    <row r="60" spans="1:45" ht="12.75" customHeight="1">
      <c r="A60" s="480" t="s">
        <v>1073</v>
      </c>
      <c r="B60" s="684" t="s">
        <v>1074</v>
      </c>
      <c r="C60" s="482">
        <f t="shared" si="27"/>
        <v>8.9986466165413535E-3</v>
      </c>
      <c r="D60" s="491">
        <v>8.9986466165413535E-3</v>
      </c>
      <c r="E60" s="490"/>
      <c r="F60" s="490"/>
      <c r="G60" s="688"/>
      <c r="H60" s="486">
        <f t="shared" si="28"/>
        <v>0</v>
      </c>
      <c r="I60" s="483"/>
      <c r="J60" s="689"/>
      <c r="K60" s="483"/>
      <c r="L60" s="486">
        <f t="shared" si="29"/>
        <v>24.503931093823979</v>
      </c>
      <c r="M60" s="494"/>
      <c r="N60" s="484"/>
      <c r="O60" s="484"/>
      <c r="P60" s="490"/>
      <c r="Q60" s="639">
        <v>1.2709999999999999</v>
      </c>
      <c r="R60" s="490"/>
      <c r="S60" s="639">
        <v>0</v>
      </c>
      <c r="T60" s="639">
        <v>1.9979310938239756</v>
      </c>
      <c r="U60" s="639">
        <v>21.235000000000003</v>
      </c>
      <c r="V60" s="639">
        <v>0</v>
      </c>
      <c r="W60" s="490"/>
      <c r="X60" s="490"/>
      <c r="Y60" s="484"/>
      <c r="Z60" s="483"/>
      <c r="AA60" s="492">
        <v>23.743479725066276</v>
      </c>
      <c r="AB60" s="490">
        <f t="shared" si="30"/>
        <v>1.138556689715082E-2</v>
      </c>
      <c r="AC60" s="690"/>
      <c r="AD60" s="494"/>
      <c r="AE60" s="489">
        <v>1.138556689715082E-2</v>
      </c>
      <c r="AF60" s="489"/>
      <c r="AG60" s="489"/>
      <c r="AH60" s="489">
        <v>0</v>
      </c>
      <c r="AI60" s="489"/>
      <c r="AJ60" s="489"/>
      <c r="AK60" s="489"/>
      <c r="AL60" s="489">
        <v>0</v>
      </c>
      <c r="AM60" s="485">
        <v>0</v>
      </c>
      <c r="AN60" s="486"/>
      <c r="AO60" s="492">
        <v>81.932675558202874</v>
      </c>
      <c r="AP60" s="490"/>
      <c r="AQ60" s="493">
        <f t="shared" si="13"/>
        <v>130.20047059060681</v>
      </c>
    </row>
    <row r="61" spans="1:45" ht="12.75" customHeight="1">
      <c r="A61" s="480" t="s">
        <v>1075</v>
      </c>
      <c r="B61" s="684" t="s">
        <v>1076</v>
      </c>
      <c r="C61" s="482">
        <f t="shared" si="27"/>
        <v>0.42993533834586467</v>
      </c>
      <c r="D61" s="491">
        <v>0.42993533834586467</v>
      </c>
      <c r="E61" s="490"/>
      <c r="F61" s="490"/>
      <c r="G61" s="688"/>
      <c r="H61" s="486">
        <f t="shared" si="28"/>
        <v>0</v>
      </c>
      <c r="I61" s="483"/>
      <c r="J61" s="689"/>
      <c r="K61" s="483"/>
      <c r="L61" s="486">
        <f t="shared" si="29"/>
        <v>27.815960601382685</v>
      </c>
      <c r="M61" s="494"/>
      <c r="N61" s="484"/>
      <c r="O61" s="484"/>
      <c r="P61" s="490"/>
      <c r="Q61" s="639">
        <v>3.399</v>
      </c>
      <c r="R61" s="490"/>
      <c r="S61" s="639">
        <v>0</v>
      </c>
      <c r="T61" s="639">
        <v>19.454960601382684</v>
      </c>
      <c r="U61" s="639">
        <v>4.9619999999999997</v>
      </c>
      <c r="V61" s="639">
        <v>0</v>
      </c>
      <c r="W61" s="490"/>
      <c r="X61" s="490"/>
      <c r="Y61" s="484"/>
      <c r="Z61" s="483"/>
      <c r="AA61" s="492">
        <v>30.235657033103141</v>
      </c>
      <c r="AB61" s="490">
        <f t="shared" si="30"/>
        <v>0.86179983283049288</v>
      </c>
      <c r="AC61" s="690"/>
      <c r="AD61" s="494"/>
      <c r="AE61" s="489">
        <v>0.86179983283049288</v>
      </c>
      <c r="AF61" s="489"/>
      <c r="AG61" s="489"/>
      <c r="AH61" s="489">
        <v>0</v>
      </c>
      <c r="AI61" s="489"/>
      <c r="AJ61" s="489"/>
      <c r="AK61" s="489"/>
      <c r="AL61" s="489">
        <v>0</v>
      </c>
      <c r="AM61" s="485">
        <v>0</v>
      </c>
      <c r="AN61" s="486"/>
      <c r="AO61" s="492">
        <v>126.36748353090987</v>
      </c>
      <c r="AP61" s="490"/>
      <c r="AQ61" s="493">
        <f t="shared" si="13"/>
        <v>185.71083633657204</v>
      </c>
    </row>
    <row r="62" spans="1:45" ht="12.75" customHeight="1">
      <c r="A62" s="480" t="s">
        <v>1077</v>
      </c>
      <c r="B62" s="684" t="s">
        <v>1078</v>
      </c>
      <c r="C62" s="482">
        <f t="shared" si="27"/>
        <v>6.9989473684210534E-3</v>
      </c>
      <c r="D62" s="491">
        <v>6.9989473684210534E-3</v>
      </c>
      <c r="E62" s="490"/>
      <c r="F62" s="490"/>
      <c r="G62" s="688"/>
      <c r="H62" s="486">
        <f t="shared" si="28"/>
        <v>0</v>
      </c>
      <c r="I62" s="483"/>
      <c r="J62" s="689"/>
      <c r="K62" s="483"/>
      <c r="L62" s="486">
        <f t="shared" si="29"/>
        <v>2.6967648223282072</v>
      </c>
      <c r="M62" s="494"/>
      <c r="N62" s="484"/>
      <c r="O62" s="484"/>
      <c r="P62" s="490"/>
      <c r="Q62" s="639">
        <v>0.36299999999999999</v>
      </c>
      <c r="R62" s="490"/>
      <c r="S62" s="639">
        <v>0</v>
      </c>
      <c r="T62" s="639">
        <v>0.71476482232820748</v>
      </c>
      <c r="U62" s="639">
        <v>1.619</v>
      </c>
      <c r="V62" s="639">
        <v>0</v>
      </c>
      <c r="W62" s="490"/>
      <c r="X62" s="490"/>
      <c r="Y62" s="484"/>
      <c r="Z62" s="483"/>
      <c r="AA62" s="492">
        <v>12.942534033472208</v>
      </c>
      <c r="AB62" s="490">
        <f t="shared" si="30"/>
        <v>4.6418080426845656E-2</v>
      </c>
      <c r="AC62" s="690"/>
      <c r="AD62" s="494"/>
      <c r="AE62" s="489">
        <v>4.6418080426845656E-2</v>
      </c>
      <c r="AF62" s="489"/>
      <c r="AG62" s="489"/>
      <c r="AH62" s="489">
        <v>0</v>
      </c>
      <c r="AI62" s="489"/>
      <c r="AJ62" s="489"/>
      <c r="AK62" s="489"/>
      <c r="AL62" s="489">
        <v>0</v>
      </c>
      <c r="AM62" s="485">
        <v>0</v>
      </c>
      <c r="AN62" s="486"/>
      <c r="AO62" s="492">
        <v>234.42875082725587</v>
      </c>
      <c r="AP62" s="490"/>
      <c r="AQ62" s="493">
        <f t="shared" si="13"/>
        <v>250.12146671085156</v>
      </c>
    </row>
    <row r="63" spans="1:45" ht="12.75" customHeight="1">
      <c r="A63" s="480" t="s">
        <v>1079</v>
      </c>
      <c r="B63" s="684" t="s">
        <v>1080</v>
      </c>
      <c r="C63" s="482">
        <f t="shared" si="27"/>
        <v>5.799127819548873E-2</v>
      </c>
      <c r="D63" s="668">
        <v>5.799127819548873E-2</v>
      </c>
      <c r="E63" s="490"/>
      <c r="F63" s="490"/>
      <c r="G63" s="688"/>
      <c r="H63" s="486">
        <f t="shared" si="28"/>
        <v>0</v>
      </c>
      <c r="I63" s="483"/>
      <c r="J63" s="689"/>
      <c r="K63" s="483"/>
      <c r="L63" s="486">
        <f t="shared" si="29"/>
        <v>3.8680994311273493</v>
      </c>
      <c r="M63" s="494"/>
      <c r="N63" s="484"/>
      <c r="O63" s="484"/>
      <c r="P63" s="490"/>
      <c r="Q63" s="691">
        <v>0.68400000000000005</v>
      </c>
      <c r="R63" s="490"/>
      <c r="S63" s="691">
        <v>0</v>
      </c>
      <c r="T63" s="691">
        <v>0.16909943112734929</v>
      </c>
      <c r="U63" s="691">
        <v>3.0150000000000001</v>
      </c>
      <c r="V63" s="691">
        <v>0</v>
      </c>
      <c r="W63" s="490"/>
      <c r="X63" s="490"/>
      <c r="Y63" s="484"/>
      <c r="Z63" s="483"/>
      <c r="AA63" s="692">
        <v>11.636733155824563</v>
      </c>
      <c r="AB63" s="490">
        <f t="shared" si="30"/>
        <v>0.34769769678222129</v>
      </c>
      <c r="AC63" s="690"/>
      <c r="AD63" s="494"/>
      <c r="AE63" s="489">
        <v>0.34769769678222129</v>
      </c>
      <c r="AF63" s="489"/>
      <c r="AG63" s="489"/>
      <c r="AH63" s="489">
        <v>0</v>
      </c>
      <c r="AI63" s="489"/>
      <c r="AJ63" s="489"/>
      <c r="AK63" s="489"/>
      <c r="AL63" s="489">
        <v>0</v>
      </c>
      <c r="AM63" s="485">
        <v>0</v>
      </c>
      <c r="AN63" s="486"/>
      <c r="AO63" s="692">
        <v>42.659809837330151</v>
      </c>
      <c r="AP63" s="490"/>
      <c r="AQ63" s="493">
        <f t="shared" si="13"/>
        <v>58.570331399259771</v>
      </c>
    </row>
    <row r="64" spans="1:45" ht="12.75" customHeight="1">
      <c r="A64" s="544" t="s">
        <v>1081</v>
      </c>
      <c r="B64" s="693"/>
      <c r="C64" s="546">
        <f t="shared" si="27"/>
        <v>6.9989473684210534E-3</v>
      </c>
      <c r="D64" s="668">
        <v>6.9989473684210534E-3</v>
      </c>
      <c r="E64" s="552"/>
      <c r="F64" s="552"/>
      <c r="G64" s="694"/>
      <c r="H64" s="550">
        <f t="shared" si="28"/>
        <v>0</v>
      </c>
      <c r="I64" s="670"/>
      <c r="J64" s="695"/>
      <c r="K64" s="670"/>
      <c r="L64" s="550">
        <f t="shared" si="29"/>
        <v>21.167960484132237</v>
      </c>
      <c r="M64" s="671"/>
      <c r="N64" s="696"/>
      <c r="O64" s="696"/>
      <c r="P64" s="552"/>
      <c r="Q64" s="691">
        <v>3.5760000000000001</v>
      </c>
      <c r="R64" s="552"/>
      <c r="S64" s="691">
        <v>0</v>
      </c>
      <c r="T64" s="691">
        <v>7.2499604841322363</v>
      </c>
      <c r="U64" s="691">
        <v>10.342000000000001</v>
      </c>
      <c r="V64" s="691">
        <v>0</v>
      </c>
      <c r="W64" s="552"/>
      <c r="X64" s="552"/>
      <c r="Y64" s="696"/>
      <c r="Z64" s="670"/>
      <c r="AA64" s="692">
        <v>75.286411499746805</v>
      </c>
      <c r="AB64" s="552">
        <f t="shared" si="30"/>
        <v>17.961167522617405</v>
      </c>
      <c r="AC64" s="697"/>
      <c r="AD64" s="671"/>
      <c r="AE64" s="548">
        <v>1.3377905023848295</v>
      </c>
      <c r="AF64" s="548"/>
      <c r="AG64" s="548"/>
      <c r="AH64" s="548">
        <v>0.80443075440000011</v>
      </c>
      <c r="AI64" s="548"/>
      <c r="AJ64" s="548"/>
      <c r="AK64" s="548"/>
      <c r="AL64" s="548">
        <v>0.16649466165720572</v>
      </c>
      <c r="AM64" s="549">
        <v>15.65245160417537</v>
      </c>
      <c r="AN64" s="550"/>
      <c r="AO64" s="692">
        <v>117.80724543035701</v>
      </c>
      <c r="AP64" s="552"/>
      <c r="AQ64" s="555">
        <f t="shared" si="13"/>
        <v>232.22978388422189</v>
      </c>
    </row>
    <row r="65" spans="1:45" ht="12.75" customHeight="1">
      <c r="A65" s="672" t="s">
        <v>1082</v>
      </c>
      <c r="B65" s="673"/>
      <c r="C65" s="546">
        <f>SUM(D65:G65)</f>
        <v>4.9992481203007515E-3</v>
      </c>
      <c r="D65" s="680">
        <f>SUM(D66:D69)</f>
        <v>4.9992481203007515E-3</v>
      </c>
      <c r="E65" s="645"/>
      <c r="F65" s="645"/>
      <c r="G65" s="646"/>
      <c r="H65" s="550">
        <f>SUM(I65:K65)</f>
        <v>0</v>
      </c>
      <c r="I65" s="547"/>
      <c r="J65" s="551">
        <v>0</v>
      </c>
      <c r="K65" s="548">
        <v>0</v>
      </c>
      <c r="L65" s="550">
        <f>SUM(M65:Z65)</f>
        <v>131.70414755360989</v>
      </c>
      <c r="M65" s="548"/>
      <c r="N65" s="549"/>
      <c r="O65" s="549"/>
      <c r="P65" s="645"/>
      <c r="Q65" s="679">
        <v>46.986000000000004</v>
      </c>
      <c r="R65" s="645"/>
      <c r="S65" s="679">
        <v>0.64284746861564912</v>
      </c>
      <c r="T65" s="679">
        <v>29.45030008499424</v>
      </c>
      <c r="U65" s="679">
        <v>54.625</v>
      </c>
      <c r="V65" s="679">
        <f>SUM(V66:V69)</f>
        <v>0</v>
      </c>
      <c r="W65" s="645"/>
      <c r="X65" s="645"/>
      <c r="Y65" s="549"/>
      <c r="Z65" s="548"/>
      <c r="AA65" s="677">
        <v>122.10424162825494</v>
      </c>
      <c r="AB65" s="552">
        <f>SUM(AC65:AM65)</f>
        <v>18.910018360553575</v>
      </c>
      <c r="AC65" s="553"/>
      <c r="AD65" s="548"/>
      <c r="AE65" s="548">
        <f>SUM(AE66:AE69)</f>
        <v>14.092704380157992</v>
      </c>
      <c r="AF65" s="548"/>
      <c r="AG65" s="548"/>
      <c r="AH65" s="548">
        <v>4.8173139803955838</v>
      </c>
      <c r="AI65" s="548"/>
      <c r="AJ65" s="548"/>
      <c r="AK65" s="548"/>
      <c r="AL65" s="548"/>
      <c r="AM65" s="549"/>
      <c r="AN65" s="550"/>
      <c r="AO65" s="677">
        <v>249.83924335957121</v>
      </c>
      <c r="AP65" s="552"/>
      <c r="AQ65" s="698">
        <f t="shared" si="13"/>
        <v>522.5626501501099</v>
      </c>
    </row>
    <row r="66" spans="1:45" ht="12.75" customHeight="1">
      <c r="A66" s="531" t="s">
        <v>1083</v>
      </c>
      <c r="B66" s="699" t="s">
        <v>1084</v>
      </c>
      <c r="C66" s="533">
        <f t="shared" ref="C66:C69" si="34">SUM(D66:G66)</f>
        <v>2.9995488721804514E-3</v>
      </c>
      <c r="D66" s="540">
        <v>2.9995488721804514E-3</v>
      </c>
      <c r="E66" s="585"/>
      <c r="F66" s="585"/>
      <c r="G66" s="700"/>
      <c r="H66" s="537">
        <f t="shared" ref="H66:H69" si="35">SUM(I66:K66)</f>
        <v>0</v>
      </c>
      <c r="I66" s="583"/>
      <c r="J66" s="538"/>
      <c r="K66" s="701"/>
      <c r="L66" s="537">
        <f t="shared" ref="L66:L69" si="36">SUM(M66:Z66)</f>
        <v>4.8361472478110468</v>
      </c>
      <c r="M66" s="583"/>
      <c r="N66" s="585"/>
      <c r="O66" s="536"/>
      <c r="P66" s="585"/>
      <c r="Q66" s="585">
        <v>0.13</v>
      </c>
      <c r="R66" s="585"/>
      <c r="S66" s="585">
        <v>3.1863567217628209E-3</v>
      </c>
      <c r="T66" s="585">
        <v>1.1339608910892836</v>
      </c>
      <c r="U66" s="585">
        <v>3.569</v>
      </c>
      <c r="V66" s="585">
        <v>0</v>
      </c>
      <c r="W66" s="585"/>
      <c r="X66" s="585"/>
      <c r="Y66" s="536"/>
      <c r="Z66" s="535"/>
      <c r="AA66" s="541">
        <v>6.2855711462293291</v>
      </c>
      <c r="AB66" s="539">
        <f t="shared" ref="AB66:AB69" si="37">SUM(AC66:AM66)</f>
        <v>4.8181897932338265</v>
      </c>
      <c r="AC66" s="540"/>
      <c r="AD66" s="535"/>
      <c r="AE66" s="535">
        <v>8.7581283824237082E-4</v>
      </c>
      <c r="AF66" s="535"/>
      <c r="AG66" s="535"/>
      <c r="AH66" s="535">
        <v>4.8173139803955838</v>
      </c>
      <c r="AI66" s="535"/>
      <c r="AJ66" s="535"/>
      <c r="AK66" s="535"/>
      <c r="AL66" s="535"/>
      <c r="AM66" s="536"/>
      <c r="AN66" s="537"/>
      <c r="AO66" s="541">
        <v>62.066112125563578</v>
      </c>
      <c r="AP66" s="539"/>
      <c r="AQ66" s="568">
        <f t="shared" si="13"/>
        <v>78.009019861709959</v>
      </c>
    </row>
    <row r="67" spans="1:45" ht="12.75" customHeight="1">
      <c r="A67" s="702" t="s">
        <v>1085</v>
      </c>
      <c r="B67" s="703">
        <v>84</v>
      </c>
      <c r="C67" s="482">
        <f t="shared" si="34"/>
        <v>1.9996992481203005E-3</v>
      </c>
      <c r="D67" s="636">
        <v>1.9996992481203005E-3</v>
      </c>
      <c r="E67" s="639"/>
      <c r="F67" s="639"/>
      <c r="G67" s="640"/>
      <c r="H67" s="486">
        <f t="shared" si="35"/>
        <v>0</v>
      </c>
      <c r="I67" s="704"/>
      <c r="J67" s="488"/>
      <c r="K67" s="705"/>
      <c r="L67" s="486">
        <f t="shared" si="36"/>
        <v>37.49597693290648</v>
      </c>
      <c r="M67" s="704"/>
      <c r="N67" s="639"/>
      <c r="O67" s="485"/>
      <c r="P67" s="639"/>
      <c r="Q67" s="629">
        <v>6.9249999999999998</v>
      </c>
      <c r="R67" s="639"/>
      <c r="S67" s="629">
        <v>0.36191701764689377</v>
      </c>
      <c r="T67" s="629">
        <v>7.4190599152595853</v>
      </c>
      <c r="U67" s="629">
        <v>22.79</v>
      </c>
      <c r="V67" s="629">
        <v>0</v>
      </c>
      <c r="W67" s="639"/>
      <c r="X67" s="639"/>
      <c r="Y67" s="485"/>
      <c r="Z67" s="489"/>
      <c r="AA67" s="642">
        <v>43.318633321580478</v>
      </c>
      <c r="AB67" s="490">
        <f t="shared" si="37"/>
        <v>3.0136719763919984</v>
      </c>
      <c r="AC67" s="491"/>
      <c r="AD67" s="489"/>
      <c r="AE67" s="489">
        <v>3.0136719763919984</v>
      </c>
      <c r="AF67" s="489"/>
      <c r="AG67" s="489"/>
      <c r="AH67" s="489">
        <v>0</v>
      </c>
      <c r="AI67" s="489"/>
      <c r="AJ67" s="489"/>
      <c r="AK67" s="489"/>
      <c r="AL67" s="489"/>
      <c r="AM67" s="485"/>
      <c r="AN67" s="486"/>
      <c r="AO67" s="642">
        <v>90.275166794474018</v>
      </c>
      <c r="AP67" s="490"/>
      <c r="AQ67" s="493">
        <f t="shared" si="13"/>
        <v>174.1054487246011</v>
      </c>
    </row>
    <row r="68" spans="1:45" ht="12.75" customHeight="1">
      <c r="A68" s="480" t="s">
        <v>1086</v>
      </c>
      <c r="B68" s="684">
        <v>85</v>
      </c>
      <c r="C68" s="482">
        <f t="shared" si="34"/>
        <v>0</v>
      </c>
      <c r="D68" s="636">
        <v>0</v>
      </c>
      <c r="E68" s="639"/>
      <c r="F68" s="639"/>
      <c r="G68" s="640"/>
      <c r="H68" s="486">
        <f t="shared" si="35"/>
        <v>0</v>
      </c>
      <c r="I68" s="704"/>
      <c r="J68" s="488"/>
      <c r="K68" s="705"/>
      <c r="L68" s="486">
        <f t="shared" si="36"/>
        <v>63.764873205839493</v>
      </c>
      <c r="M68" s="704"/>
      <c r="N68" s="639"/>
      <c r="O68" s="485"/>
      <c r="P68" s="639"/>
      <c r="Q68" s="629">
        <v>27.067</v>
      </c>
      <c r="R68" s="639"/>
      <c r="S68" s="629">
        <v>5.416806426996796E-2</v>
      </c>
      <c r="T68" s="629">
        <v>17.705705141569517</v>
      </c>
      <c r="U68" s="629">
        <v>18.937999999999999</v>
      </c>
      <c r="V68" s="629">
        <v>0</v>
      </c>
      <c r="W68" s="639"/>
      <c r="X68" s="639"/>
      <c r="Y68" s="485"/>
      <c r="Z68" s="489"/>
      <c r="AA68" s="642">
        <v>27.252039348994288</v>
      </c>
      <c r="AB68" s="490">
        <f t="shared" si="37"/>
        <v>9.8108554139910407</v>
      </c>
      <c r="AC68" s="491"/>
      <c r="AD68" s="489"/>
      <c r="AE68" s="489">
        <v>9.8108554139910407</v>
      </c>
      <c r="AF68" s="489"/>
      <c r="AG68" s="489"/>
      <c r="AH68" s="489">
        <v>0</v>
      </c>
      <c r="AI68" s="489"/>
      <c r="AJ68" s="489"/>
      <c r="AK68" s="489"/>
      <c r="AL68" s="489"/>
      <c r="AM68" s="485"/>
      <c r="AN68" s="486"/>
      <c r="AO68" s="642">
        <v>58.093005834167748</v>
      </c>
      <c r="AP68" s="490"/>
      <c r="AQ68" s="493">
        <f t="shared" si="13"/>
        <v>158.92077380299256</v>
      </c>
    </row>
    <row r="69" spans="1:45" ht="12.75" customHeight="1">
      <c r="A69" s="544" t="s">
        <v>1087</v>
      </c>
      <c r="B69" s="693" t="s">
        <v>1088</v>
      </c>
      <c r="C69" s="662">
        <f t="shared" si="34"/>
        <v>0</v>
      </c>
      <c r="D69" s="553">
        <v>0</v>
      </c>
      <c r="E69" s="645"/>
      <c r="F69" s="645"/>
      <c r="G69" s="646"/>
      <c r="H69" s="664">
        <f t="shared" si="35"/>
        <v>0</v>
      </c>
      <c r="I69" s="706"/>
      <c r="J69" s="551"/>
      <c r="K69" s="707"/>
      <c r="L69" s="664">
        <f t="shared" si="36"/>
        <v>25.607150167052879</v>
      </c>
      <c r="M69" s="706"/>
      <c r="N69" s="645"/>
      <c r="O69" s="549"/>
      <c r="P69" s="645"/>
      <c r="Q69" s="645">
        <v>12.864000000000001</v>
      </c>
      <c r="R69" s="645"/>
      <c r="S69" s="645">
        <v>0.22357602997702461</v>
      </c>
      <c r="T69" s="645">
        <v>3.191574137075853</v>
      </c>
      <c r="U69" s="645">
        <v>9.3279999999999994</v>
      </c>
      <c r="V69" s="645">
        <v>0</v>
      </c>
      <c r="W69" s="645"/>
      <c r="X69" s="645"/>
      <c r="Y69" s="549"/>
      <c r="Z69" s="548"/>
      <c r="AA69" s="554">
        <v>45.247997811450865</v>
      </c>
      <c r="AB69" s="667">
        <f t="shared" si="37"/>
        <v>1.2673011769367108</v>
      </c>
      <c r="AC69" s="668"/>
      <c r="AD69" s="661"/>
      <c r="AE69" s="661">
        <v>1.2673011769367108</v>
      </c>
      <c r="AF69" s="661"/>
      <c r="AG69" s="661"/>
      <c r="AH69" s="661">
        <v>0</v>
      </c>
      <c r="AI69" s="661"/>
      <c r="AJ69" s="661"/>
      <c r="AK69" s="661"/>
      <c r="AL69" s="661"/>
      <c r="AM69" s="663"/>
      <c r="AN69" s="664"/>
      <c r="AO69" s="554">
        <v>39.40495860536587</v>
      </c>
      <c r="AP69" s="667"/>
      <c r="AQ69" s="669">
        <f t="shared" si="13"/>
        <v>111.52740776080631</v>
      </c>
    </row>
    <row r="70" spans="1:45" s="42" customFormat="1" ht="12.75" customHeight="1">
      <c r="A70" s="570" t="s">
        <v>267</v>
      </c>
      <c r="B70" s="571"/>
      <c r="C70" s="572">
        <f>SUM(D70:G70)</f>
        <v>0</v>
      </c>
      <c r="D70" s="708">
        <v>0</v>
      </c>
      <c r="E70" s="709"/>
      <c r="F70" s="710"/>
      <c r="G70" s="710"/>
      <c r="H70" s="576">
        <f>SUM(I70:K70)</f>
        <v>0</v>
      </c>
      <c r="I70" s="708"/>
      <c r="J70" s="711"/>
      <c r="K70" s="709"/>
      <c r="L70" s="576">
        <f>SUM(M70:Z70)</f>
        <v>175.46549158593075</v>
      </c>
      <c r="M70" s="709"/>
      <c r="N70" s="709"/>
      <c r="O70" s="709"/>
      <c r="P70" s="709">
        <v>0</v>
      </c>
      <c r="Q70" s="709">
        <v>0</v>
      </c>
      <c r="R70" s="709"/>
      <c r="S70" s="709"/>
      <c r="T70" s="373">
        <v>0</v>
      </c>
      <c r="U70" s="709">
        <v>175.46549158593075</v>
      </c>
      <c r="V70" s="535"/>
      <c r="W70" s="710"/>
      <c r="X70" s="710"/>
      <c r="Y70" s="710"/>
      <c r="Z70" s="709"/>
      <c r="AA70" s="576">
        <v>0</v>
      </c>
      <c r="AB70" s="577">
        <f>SUM(AC70:AM70)</f>
        <v>0</v>
      </c>
      <c r="AC70" s="712"/>
      <c r="AD70" s="709"/>
      <c r="AE70" s="709"/>
      <c r="AF70" s="709"/>
      <c r="AG70" s="709"/>
      <c r="AH70" s="709"/>
      <c r="AI70" s="709"/>
      <c r="AJ70" s="709"/>
      <c r="AK70" s="708"/>
      <c r="AL70" s="710"/>
      <c r="AM70" s="709"/>
      <c r="AN70" s="576"/>
      <c r="AO70" s="576">
        <v>47.988</v>
      </c>
      <c r="AP70" s="577"/>
      <c r="AQ70" s="567">
        <f t="shared" si="13"/>
        <v>223.45349158593075</v>
      </c>
      <c r="AR70" s="38"/>
      <c r="AS70" s="41"/>
    </row>
    <row r="71" spans="1:45" s="42" customFormat="1" ht="12.75" customHeight="1" thickBot="1">
      <c r="A71" s="713" t="s">
        <v>268</v>
      </c>
      <c r="B71" s="545"/>
      <c r="C71" s="546">
        <f>SUM(D71:G71)</f>
        <v>0</v>
      </c>
      <c r="D71" s="547"/>
      <c r="E71" s="548"/>
      <c r="F71" s="549"/>
      <c r="G71" s="549"/>
      <c r="H71" s="550">
        <f>SUM(I71:K71)</f>
        <v>0</v>
      </c>
      <c r="I71" s="547"/>
      <c r="J71" s="551"/>
      <c r="K71" s="548"/>
      <c r="L71" s="550">
        <f>SUM(M71:Z71)</f>
        <v>27.249865733664667</v>
      </c>
      <c r="M71" s="548"/>
      <c r="N71" s="548"/>
      <c r="O71" s="548"/>
      <c r="P71" s="548"/>
      <c r="Q71" s="548"/>
      <c r="R71" s="548"/>
      <c r="S71" s="548"/>
      <c r="T71" s="548"/>
      <c r="U71" s="671">
        <v>27.249865733664667</v>
      </c>
      <c r="V71" s="548"/>
      <c r="W71" s="549"/>
      <c r="X71" s="549"/>
      <c r="Y71" s="549"/>
      <c r="Z71" s="548"/>
      <c r="AA71" s="550"/>
      <c r="AB71" s="552">
        <f>SUM(AC71:AM71)</f>
        <v>0</v>
      </c>
      <c r="AC71" s="553"/>
      <c r="AD71" s="548"/>
      <c r="AE71" s="548"/>
      <c r="AF71" s="548"/>
      <c r="AG71" s="548"/>
      <c r="AH71" s="548"/>
      <c r="AI71" s="548"/>
      <c r="AJ71" s="548"/>
      <c r="AK71" s="547"/>
      <c r="AL71" s="549"/>
      <c r="AM71" s="548"/>
      <c r="AN71" s="550"/>
      <c r="AO71" s="554"/>
      <c r="AP71" s="552"/>
      <c r="AQ71" s="698">
        <f t="shared" si="13"/>
        <v>27.249865733664667</v>
      </c>
      <c r="AR71" s="38"/>
      <c r="AS71" s="41"/>
    </row>
    <row r="72" spans="1:45" s="42" customFormat="1" ht="12.75" customHeight="1" thickBot="1">
      <c r="A72" s="600" t="s">
        <v>269</v>
      </c>
      <c r="B72" s="601"/>
      <c r="C72" s="602">
        <f t="shared" ref="C72:AP72" si="38">C26-C27-C29</f>
        <v>-2.5795347028326319</v>
      </c>
      <c r="D72" s="603">
        <f t="shared" si="38"/>
        <v>0.17716668219679832</v>
      </c>
      <c r="E72" s="604">
        <f t="shared" si="38"/>
        <v>-3.4486883993195221</v>
      </c>
      <c r="F72" s="608">
        <f t="shared" si="38"/>
        <v>0</v>
      </c>
      <c r="G72" s="608">
        <f t="shared" si="38"/>
        <v>0.69246574229020652</v>
      </c>
      <c r="H72" s="605">
        <f t="shared" si="38"/>
        <v>1.9457250152908045</v>
      </c>
      <c r="I72" s="603">
        <f t="shared" si="38"/>
        <v>-0.45741265470912973</v>
      </c>
      <c r="J72" s="606">
        <f t="shared" si="38"/>
        <v>0</v>
      </c>
      <c r="K72" s="604">
        <f t="shared" si="38"/>
        <v>2.4031376700000067</v>
      </c>
      <c r="L72" s="605">
        <f t="shared" si="38"/>
        <v>2.3431242304332045</v>
      </c>
      <c r="M72" s="604">
        <f t="shared" si="38"/>
        <v>0</v>
      </c>
      <c r="N72" s="604">
        <f t="shared" si="38"/>
        <v>-0.14794174855289199</v>
      </c>
      <c r="O72" s="604">
        <f t="shared" si="38"/>
        <v>-5.2567080980734033</v>
      </c>
      <c r="P72" s="604">
        <f t="shared" si="38"/>
        <v>-25.023756688637718</v>
      </c>
      <c r="Q72" s="604">
        <f t="shared" si="38"/>
        <v>14.717063728640028</v>
      </c>
      <c r="R72" s="604">
        <f t="shared" si="38"/>
        <v>4.1043924247198902</v>
      </c>
      <c r="S72" s="604">
        <f t="shared" si="38"/>
        <v>8.0001198650984477</v>
      </c>
      <c r="T72" s="604">
        <f t="shared" si="38"/>
        <v>6.5570336698137908</v>
      </c>
      <c r="U72" s="604">
        <f t="shared" si="38"/>
        <v>-8.9389207362023626</v>
      </c>
      <c r="V72" s="604">
        <f t="shared" si="38"/>
        <v>0.82532907951215861</v>
      </c>
      <c r="W72" s="608">
        <f t="shared" si="38"/>
        <v>7.506512734116022</v>
      </c>
      <c r="X72" s="608">
        <f t="shared" si="38"/>
        <v>0</v>
      </c>
      <c r="Y72" s="608">
        <f t="shared" si="38"/>
        <v>0</v>
      </c>
      <c r="Z72" s="604">
        <f t="shared" si="38"/>
        <v>0</v>
      </c>
      <c r="AA72" s="605">
        <f t="shared" si="38"/>
        <v>-40.274710307198575</v>
      </c>
      <c r="AB72" s="607">
        <f t="shared" si="38"/>
        <v>-2.4161461805547901</v>
      </c>
      <c r="AC72" s="714">
        <f t="shared" si="38"/>
        <v>0</v>
      </c>
      <c r="AD72" s="604">
        <f t="shared" si="38"/>
        <v>0</v>
      </c>
      <c r="AE72" s="604">
        <f t="shared" si="38"/>
        <v>-4.7196692573067764</v>
      </c>
      <c r="AF72" s="604">
        <f t="shared" si="38"/>
        <v>0</v>
      </c>
      <c r="AG72" s="604">
        <f t="shared" si="38"/>
        <v>0</v>
      </c>
      <c r="AH72" s="604">
        <f t="shared" si="38"/>
        <v>0</v>
      </c>
      <c r="AI72" s="604">
        <f t="shared" si="38"/>
        <v>1.6583711868479725</v>
      </c>
      <c r="AJ72" s="604">
        <f t="shared" si="38"/>
        <v>0.64515188990400674</v>
      </c>
      <c r="AK72" s="603">
        <f t="shared" si="38"/>
        <v>0</v>
      </c>
      <c r="AL72" s="608">
        <f t="shared" si="38"/>
        <v>0</v>
      </c>
      <c r="AM72" s="604">
        <f t="shared" si="38"/>
        <v>0</v>
      </c>
      <c r="AN72" s="605">
        <f t="shared" si="38"/>
        <v>0</v>
      </c>
      <c r="AO72" s="605">
        <f t="shared" si="38"/>
        <v>-35.693844343489218</v>
      </c>
      <c r="AP72" s="607">
        <f t="shared" si="38"/>
        <v>0</v>
      </c>
      <c r="AQ72" s="609">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86" t="s">
        <v>1145</v>
      </c>
      <c r="B74" s="564"/>
      <c r="C74" s="564"/>
      <c r="D74" s="564"/>
      <c r="E74" s="564"/>
      <c r="F74" s="564"/>
      <c r="G74" s="564"/>
      <c r="H74" s="564"/>
      <c r="I74" s="564"/>
      <c r="J74" s="564"/>
      <c r="K74" s="564"/>
      <c r="L74" s="715"/>
      <c r="M74" s="564"/>
      <c r="N74" s="564"/>
      <c r="Q74" s="564"/>
      <c r="R74" s="564"/>
      <c r="S74" s="564"/>
      <c r="T74" s="564"/>
      <c r="U74" s="564"/>
      <c r="V74" s="564"/>
      <c r="W74" s="556"/>
      <c r="Y74" s="564"/>
      <c r="Z74" s="564"/>
      <c r="AA74" s="564"/>
      <c r="AB74" s="564"/>
      <c r="AC74" s="564"/>
      <c r="AD74" s="564"/>
      <c r="AE74" s="564"/>
      <c r="AF74" s="564"/>
      <c r="AG74" s="564"/>
      <c r="AH74" s="564"/>
      <c r="AI74" s="564"/>
      <c r="AJ74" s="564"/>
      <c r="AK74" s="564"/>
      <c r="AL74" s="564"/>
      <c r="AM74" s="564"/>
      <c r="AN74" s="564"/>
      <c r="AO74" s="564"/>
      <c r="AP74" s="564"/>
      <c r="AQ74" s="564"/>
      <c r="AS74" s="41"/>
    </row>
    <row r="75" spans="1:45" ht="12.75" customHeight="1">
      <c r="A75" s="716" t="s">
        <v>1146</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717" t="s">
        <v>313</v>
      </c>
      <c r="B76" s="718"/>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719" t="s">
        <v>314</v>
      </c>
      <c r="B77" s="716"/>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716"/>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720" t="s">
        <v>270</v>
      </c>
      <c r="B79" s="89"/>
      <c r="C79" s="89"/>
      <c r="D79" s="89"/>
      <c r="E79" s="721"/>
      <c r="F79" s="722"/>
      <c r="G79" s="722"/>
      <c r="H79" s="723"/>
      <c r="I79" s="722"/>
      <c r="J79" s="722"/>
      <c r="K79" s="722"/>
      <c r="L79" s="723"/>
      <c r="M79" s="722"/>
      <c r="N79" s="722"/>
      <c r="O79" s="722"/>
      <c r="P79" s="722"/>
      <c r="Q79" s="722"/>
      <c r="R79" s="722"/>
      <c r="S79" s="724"/>
      <c r="T79"/>
      <c r="U79" s="724"/>
      <c r="V79" s="724"/>
      <c r="W79" s="722"/>
      <c r="X79" s="722"/>
      <c r="Y79" s="722"/>
      <c r="Z79" s="722"/>
      <c r="AA79" s="723"/>
      <c r="AB79" s="725"/>
      <c r="AC79" s="722"/>
      <c r="AD79" s="722"/>
      <c r="AE79" s="722"/>
      <c r="AF79" s="722"/>
      <c r="AG79" s="722"/>
      <c r="AH79" s="722"/>
      <c r="AI79" s="722"/>
      <c r="AJ79" s="722"/>
      <c r="AK79" s="722"/>
      <c r="AL79" s="722"/>
      <c r="AM79" s="722"/>
      <c r="AN79" s="722"/>
      <c r="AO79" s="723"/>
      <c r="AP79" s="725"/>
      <c r="AQ79" s="722"/>
    </row>
    <row r="80" spans="1:45" ht="12.75" customHeight="1">
      <c r="A80" s="720" t="s">
        <v>271</v>
      </c>
      <c r="B80" s="89"/>
      <c r="C80" s="89"/>
      <c r="D80" s="89"/>
      <c r="E80" s="721"/>
      <c r="F80" s="722"/>
      <c r="G80" s="722"/>
      <c r="H80" s="723"/>
      <c r="I80" s="722"/>
      <c r="J80" s="722"/>
      <c r="K80" s="722"/>
      <c r="L80" s="723"/>
      <c r="M80" s="722"/>
      <c r="N80" s="722"/>
      <c r="O80" s="722"/>
      <c r="P80" s="722"/>
      <c r="Q80" s="722"/>
      <c r="R80" s="722"/>
      <c r="S80" s="724"/>
      <c r="T80"/>
      <c r="U80" s="724"/>
      <c r="V80" s="724"/>
      <c r="W80" s="722"/>
      <c r="X80" s="722"/>
      <c r="Y80" s="722"/>
      <c r="Z80" s="722"/>
      <c r="AA80" s="723"/>
      <c r="AB80" s="725"/>
      <c r="AC80" s="722"/>
      <c r="AD80" s="722"/>
      <c r="AE80" s="722"/>
      <c r="AF80" s="722"/>
      <c r="AG80" s="722"/>
      <c r="AH80" s="722"/>
      <c r="AI80" s="722"/>
      <c r="AJ80" s="722"/>
      <c r="AK80" s="722"/>
      <c r="AL80" s="722"/>
      <c r="AM80" s="722"/>
      <c r="AN80" s="722"/>
      <c r="AO80" s="723"/>
      <c r="AP80" s="725"/>
      <c r="AQ80" s="722"/>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customWidth="1"/>
    <col min="2" max="2" width="11.7109375" customWidth="1"/>
    <col min="3" max="3" width="3.140625" bestFit="1" customWidth="1"/>
    <col min="4" max="4" width="8.5703125" bestFit="1" customWidth="1"/>
    <col min="5" max="5" width="6.42578125" bestFit="1" customWidth="1"/>
    <col min="6" max="6" width="4.85546875" bestFit="1" customWidth="1"/>
    <col min="7" max="7" width="5.7109375" bestFit="1" customWidth="1"/>
    <col min="8" max="8" width="5.85546875" bestFit="1" customWidth="1"/>
    <col min="9" max="9" width="5.42578125" bestFit="1" customWidth="1"/>
    <col min="10" max="11" width="5.7109375" bestFit="1" customWidth="1"/>
    <col min="12" max="12" width="6.5703125" bestFit="1" customWidth="1"/>
    <col min="13" max="13" width="6.140625" bestFit="1" customWidth="1"/>
    <col min="14" max="14" width="6.7109375" bestFit="1" customWidth="1"/>
    <col min="15" max="15" width="6.5703125" bestFit="1" customWidth="1"/>
    <col min="16" max="16" width="7.28515625" bestFit="1" customWidth="1"/>
    <col min="17" max="17" width="5.7109375" bestFit="1" customWidth="1"/>
    <col min="18" max="18" width="6.140625" bestFit="1" customWidth="1"/>
    <col min="19" max="19" width="5.7109375" bestFit="1" customWidth="1"/>
    <col min="20" max="20" width="5.5703125" bestFit="1" customWidth="1"/>
    <col min="21" max="21" width="5.85546875" bestFit="1" customWidth="1"/>
    <col min="22" max="22" width="6.7109375" bestFit="1" customWidth="1"/>
    <col min="23" max="23" width="4.85546875" bestFit="1" customWidth="1"/>
    <col min="24" max="24" width="7.5703125" customWidth="1"/>
    <col min="25" max="25" width="6.7109375" bestFit="1" customWidth="1"/>
    <col min="26" max="26" width="6.140625" bestFit="1" customWidth="1"/>
    <col min="27" max="28" width="6" bestFit="1" customWidth="1"/>
    <col min="29" max="29" width="5.7109375" bestFit="1" customWidth="1"/>
    <col min="30" max="30" width="6.710937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7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5"/>
  <sheetViews>
    <sheetView zoomScale="85" zoomScaleNormal="85" workbookViewId="0">
      <selection activeCell="C17" sqref="C17"/>
    </sheetView>
  </sheetViews>
  <sheetFormatPr defaultRowHeight="15"/>
  <cols>
    <col min="1" max="2" width="16.28515625"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45">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row>
    <row r="13" spans="1:9">
      <c r="A13" s="37"/>
      <c r="B13" s="37" t="str">
        <f>_xlfn.TEXTJOIN(",",TRUE,Regions!$C$3:'Regions'!$AD$3)</f>
        <v>IE,IE-CW,IE-D,IE-KE,IE-KK,IE-LS,IE-LD,IE-LH,IE-MH,IE-OY,IE-WH,IE-WX,IE-WW,IE-CE,IE-CO,IE-KY,IE-LK,IE-TA,IE-WD,IE-G,IE-LM,IE-MO,IE-RN,IE-SO,IE-CN,IE-DL,IE-MN</v>
      </c>
      <c r="C13" s="323" t="s">
        <v>447</v>
      </c>
      <c r="D13" s="323" t="s">
        <v>926</v>
      </c>
      <c r="E13" s="37" t="s">
        <v>86</v>
      </c>
      <c r="F13" s="37"/>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c r="G16" s="37"/>
    </row>
    <row r="17" spans="1:10">
      <c r="B17" s="37" t="str">
        <f>_xlfn.TEXTJOIN(",",TRUE,Regions!$C$3:'Regions'!$AD$3)</f>
        <v>IE,IE-CW,IE-D,IE-KE,IE-KK,IE-LS,IE-LD,IE-LH,IE-MH,IE-OY,IE-WH,IE-WX,IE-WW,IE-CE,IE-CO,IE-KY,IE-LK,IE-TA,IE-WD,IE-G,IE-LM,IE-MO,IE-RN,IE-SO,IE-CN,IE-DL,IE-MN</v>
      </c>
      <c r="C17" s="323" t="s">
        <v>1115</v>
      </c>
      <c r="D17" s="323" t="s">
        <v>930</v>
      </c>
      <c r="E17" s="37" t="s">
        <v>86</v>
      </c>
      <c r="F17" s="37"/>
      <c r="G17" s="37"/>
    </row>
    <row r="18" spans="1:10">
      <c r="A18" s="79"/>
      <c r="B18" s="124" t="str">
        <f>_xlfn.TEXTJOIN(",",TRUE,Regions!$C$3:'Regions'!$AD$3)</f>
        <v>IE,IE-CW,IE-D,IE-KE,IE-KK,IE-LS,IE-LD,IE-LH,IE-MH,IE-OY,IE-WH,IE-WX,IE-WW,IE-CE,IE-CO,IE-KY,IE-LK,IE-TA,IE-WD,IE-G,IE-LM,IE-MO,IE-RN,IE-SO,IE-CN,IE-DL,IE-MN</v>
      </c>
      <c r="C18" s="413" t="s">
        <v>92</v>
      </c>
      <c r="D18" s="413" t="s">
        <v>931</v>
      </c>
      <c r="E18" s="79" t="s">
        <v>86</v>
      </c>
      <c r="F18" s="79"/>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23" t="s">
        <v>96</v>
      </c>
      <c r="D29" s="37" t="s">
        <v>101</v>
      </c>
      <c r="E29" t="s">
        <v>104</v>
      </c>
      <c r="F29" s="37"/>
      <c r="G29" s="37"/>
      <c r="H29" s="37"/>
      <c r="I29" s="37"/>
    </row>
    <row r="30" spans="1:10">
      <c r="B30" s="37" t="str">
        <f>_xlfn.TEXTJOIN(",",TRUE,Regions!$C$3:'Regions'!$AD$3)</f>
        <v>IE,IE-CW,IE-D,IE-KE,IE-KK,IE-LS,IE-LD,IE-LH,IE-MH,IE-OY,IE-WH,IE-WX,IE-WW,IE-CE,IE-CO,IE-KY,IE-LK,IE-TA,IE-WD,IE-G,IE-LM,IE-MO,IE-RN,IE-SO,IE-CN,IE-DL,IE-MN</v>
      </c>
      <c r="C30" s="23" t="s">
        <v>97</v>
      </c>
      <c r="D30" s="37" t="s">
        <v>102</v>
      </c>
      <c r="E30" t="s">
        <v>104</v>
      </c>
      <c r="F30" s="37"/>
      <c r="G30" s="37"/>
      <c r="H30" s="37"/>
      <c r="I30" s="37"/>
    </row>
    <row r="31" spans="1:10">
      <c r="B31" s="37" t="str">
        <f>_xlfn.TEXTJOIN(",",TRUE,Regions!$C$3:'Regions'!$AD$3)</f>
        <v>IE,IE-CW,IE-D,IE-KE,IE-KK,IE-LS,IE-LD,IE-LH,IE-MH,IE-OY,IE-WH,IE-WX,IE-WW,IE-CE,IE-CO,IE-KY,IE-LK,IE-TA,IE-WD,IE-G,IE-LM,IE-MO,IE-RN,IE-SO,IE-CN,IE-DL,IE-MN</v>
      </c>
      <c r="C31" s="23" t="s">
        <v>98</v>
      </c>
      <c r="D31" s="37" t="s">
        <v>103</v>
      </c>
      <c r="E31" t="s">
        <v>104</v>
      </c>
      <c r="F31" s="37"/>
      <c r="G31" s="37"/>
      <c r="H31" s="37"/>
      <c r="I31" s="37"/>
    </row>
    <row r="32" spans="1:10">
      <c r="B32" s="37" t="str">
        <f>_xlfn.TEXTJOIN(",",TRUE,Regions!$C$3:'Regions'!$AD$3)</f>
        <v>IE,IE-CW,IE-D,IE-KE,IE-KK,IE-LS,IE-LD,IE-LH,IE-MH,IE-OY,IE-WH,IE-WX,IE-WW,IE-CE,IE-CO,IE-KY,IE-LK,IE-TA,IE-WD,IE-G,IE-LM,IE-MO,IE-RN,IE-SO,IE-CN,IE-DL,IE-MN</v>
      </c>
      <c r="C32" s="37" t="s">
        <v>108</v>
      </c>
      <c r="D32" s="37" t="s">
        <v>211</v>
      </c>
      <c r="E32" t="s">
        <v>104</v>
      </c>
      <c r="F32" s="37"/>
      <c r="G32" s="37"/>
      <c r="H32" s="37"/>
      <c r="I32" s="37"/>
    </row>
    <row r="33" spans="1:9" ht="15.75" thickBot="1">
      <c r="A33" s="125"/>
      <c r="B33" s="126" t="str">
        <f>_xlfn.TEXTJOIN(",",TRUE,Regions!$C$3:'Regions'!$AD$3)</f>
        <v>IE,IE-CW,IE-D,IE-KE,IE-KK,IE-LS,IE-LD,IE-LH,IE-MH,IE-OY,IE-WH,IE-WX,IE-WW,IE-CE,IE-CO,IE-KY,IE-LK,IE-TA,IE-WD,IE-G,IE-LM,IE-MO,IE-RN,IE-SO,IE-CN,IE-DL,IE-MN</v>
      </c>
      <c r="C33" s="126" t="s">
        <v>109</v>
      </c>
      <c r="D33" s="126" t="s">
        <v>212</v>
      </c>
      <c r="E33" s="125" t="s">
        <v>104</v>
      </c>
      <c r="F33" s="126"/>
      <c r="G33" s="126"/>
      <c r="H33" s="126"/>
      <c r="I33" s="126"/>
    </row>
    <row r="34" spans="1:9">
      <c r="C34" s="37"/>
      <c r="D34" s="37"/>
      <c r="F34" s="37"/>
      <c r="G34" s="37"/>
      <c r="H34" s="37"/>
      <c r="I34" s="37"/>
    </row>
    <row r="35" spans="1:9">
      <c r="A35" s="103" t="s">
        <v>710</v>
      </c>
      <c r="B35" s="103"/>
      <c r="H35" s="37"/>
      <c r="I35" s="37"/>
    </row>
    <row r="36" spans="1:9">
      <c r="A36" s="103" t="s">
        <v>711</v>
      </c>
      <c r="B36" s="103"/>
    </row>
    <row r="37" spans="1:9">
      <c r="A37" s="103" t="s">
        <v>709</v>
      </c>
      <c r="B37" s="103"/>
    </row>
    <row r="38" spans="1:9">
      <c r="A38" s="103" t="s">
        <v>712</v>
      </c>
      <c r="B38" s="103"/>
    </row>
    <row r="61" spans="10:10">
      <c r="J61" s="37"/>
    </row>
    <row r="64" spans="10:10">
      <c r="J64" s="37"/>
    </row>
    <row r="65" spans="10:10">
      <c r="J65" s="37"/>
    </row>
    <row r="93" spans="11:11">
      <c r="K93"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5"/>
  <cols>
    <col min="3" max="3" width="11.28515625" customWidth="1"/>
    <col min="4" max="4" width="19.140625" bestFit="1" customWidth="1"/>
    <col min="5" max="5" width="49.14062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zoomScale="85" zoomScaleNormal="85" workbookViewId="0">
      <selection activeCell="E17" sqref="E17"/>
    </sheetView>
  </sheetViews>
  <sheetFormatPr defaultColWidth="8.85546875" defaultRowHeight="15"/>
  <cols>
    <col min="1" max="1" width="3.28515625" customWidth="1"/>
    <col min="2" max="2" width="8.7109375" customWidth="1"/>
    <col min="3" max="3" width="13" customWidth="1"/>
    <col min="4" max="4" width="20.28515625" bestFit="1" customWidth="1"/>
    <col min="5" max="5" width="11.28515625" customWidth="1"/>
    <col min="6" max="6" width="9.85546875" customWidth="1"/>
    <col min="7" max="7" width="12.85546875" bestFit="1" customWidth="1"/>
    <col min="8" max="9" width="14.85546875" bestFit="1" customWidth="1"/>
    <col min="10" max="10" width="14.140625" customWidth="1"/>
    <col min="11" max="11" width="14.28515625" customWidth="1"/>
    <col min="12" max="12" width="16.140625" customWidth="1"/>
    <col min="13" max="13" width="16.28515625" customWidth="1"/>
  </cols>
  <sheetData>
    <row r="2" spans="2:11">
      <c r="E2" s="260" t="s">
        <v>75</v>
      </c>
      <c r="F2" s="260"/>
      <c r="H2" s="260"/>
      <c r="I2" s="260"/>
      <c r="J2" s="260"/>
    </row>
    <row r="3" spans="2:11">
      <c r="B3" s="261" t="s">
        <v>768</v>
      </c>
      <c r="C3" s="261" t="s">
        <v>69</v>
      </c>
      <c r="D3" s="262" t="s">
        <v>76</v>
      </c>
      <c r="E3" s="261" t="s">
        <v>77</v>
      </c>
      <c r="F3" s="273" t="s">
        <v>788</v>
      </c>
      <c r="G3" s="263" t="s">
        <v>795</v>
      </c>
      <c r="H3" s="263" t="s">
        <v>1098</v>
      </c>
      <c r="I3" s="263" t="s">
        <v>1101</v>
      </c>
      <c r="J3" s="263" t="s">
        <v>1100</v>
      </c>
      <c r="K3" s="263" t="s">
        <v>1099</v>
      </c>
    </row>
    <row r="4" spans="2:11" ht="27" thickBot="1">
      <c r="B4" s="379" t="s">
        <v>768</v>
      </c>
      <c r="C4" s="379" t="s">
        <v>78</v>
      </c>
      <c r="D4" s="379" t="s">
        <v>79</v>
      </c>
      <c r="E4" s="379" t="s">
        <v>80</v>
      </c>
      <c r="F4" s="379" t="s">
        <v>759</v>
      </c>
      <c r="G4" s="379" t="s">
        <v>796</v>
      </c>
      <c r="H4" s="379"/>
      <c r="I4" s="379"/>
      <c r="J4" s="379"/>
      <c r="K4" s="379"/>
    </row>
    <row r="5" spans="2:11" ht="15.75" thickBot="1">
      <c r="B5" s="379" t="s">
        <v>769</v>
      </c>
      <c r="C5" s="379"/>
      <c r="D5" s="380"/>
      <c r="E5" s="380"/>
      <c r="F5" s="380"/>
      <c r="G5" s="380" t="s">
        <v>797</v>
      </c>
      <c r="H5" s="380" t="s">
        <v>770</v>
      </c>
      <c r="I5" s="380" t="s">
        <v>770</v>
      </c>
      <c r="J5" s="380" t="s">
        <v>770</v>
      </c>
      <c r="K5" s="380" t="s">
        <v>770</v>
      </c>
    </row>
    <row r="6" spans="2:11" s="277" customFormat="1" ht="12.75">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2.75">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2.75">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2.75">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2.75">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2.75">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2.75">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2.75">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4</v>
      </c>
      <c r="J13" s="277">
        <v>0.01</v>
      </c>
      <c r="K13" s="277">
        <v>5</v>
      </c>
    </row>
    <row r="14" spans="2:11" s="277" customFormat="1" ht="12.75">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4</v>
      </c>
      <c r="J14" s="277">
        <v>0.01</v>
      </c>
      <c r="K14" s="277">
        <v>5</v>
      </c>
    </row>
    <row r="15" spans="2:11" s="277" customFormat="1" ht="12.75">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2.75">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277">
        <v>4</v>
      </c>
      <c r="I16" s="277">
        <v>4</v>
      </c>
      <c r="J16" s="277">
        <v>0.01</v>
      </c>
      <c r="K16" s="277">
        <v>5</v>
      </c>
    </row>
    <row r="17" spans="1:13" s="277" customFormat="1" ht="12.75">
      <c r="B17" s="258" t="str">
        <f>Processes!C56</f>
        <v>IE,IE-CW,IE-D,IE-KE,IE-KK,IE-LS,IE-LD,IE-LH,IE-MH,IE-OY,IE-WH,IE-WX,IE-WW,IE-CE,IE-CO,IE-KY,IE-LK,IE-TA,IE-WD,IE-G,IE-LM,IE-MO,IE-RN,IE-SO,IE-CN,IE-DL,IE-MN</v>
      </c>
      <c r="C17" s="258" t="str">
        <f>Processes!D56</f>
        <v>FT-TRAH2</v>
      </c>
      <c r="D17" s="259" t="s">
        <v>1095</v>
      </c>
      <c r="E17" s="258" t="str">
        <f>Commodities!C17</f>
        <v>TRAH2</v>
      </c>
      <c r="F17" s="277">
        <v>1</v>
      </c>
      <c r="G17" s="277">
        <v>50</v>
      </c>
      <c r="H17" s="277">
        <v>4</v>
      </c>
      <c r="I17" s="277">
        <v>4</v>
      </c>
      <c r="J17" s="277">
        <v>0.01</v>
      </c>
      <c r="K17" s="277">
        <v>5</v>
      </c>
    </row>
    <row r="18" spans="1:13" s="277" customFormat="1" ht="12.75">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2.75"/>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topLeftCell="A59" zoomScale="85" zoomScaleNormal="85" workbookViewId="0">
      <selection activeCell="L102" sqref="L102"/>
    </sheetView>
  </sheetViews>
  <sheetFormatPr defaultRowHeight="15"/>
  <cols>
    <col min="2" max="2" width="8.28515625"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3:92">
      <c r="C1" s="98"/>
    </row>
    <row r="2" spans="3:92">
      <c r="C2" s="98"/>
      <c r="AI2" t="s">
        <v>997</v>
      </c>
      <c r="BM2" t="s">
        <v>297</v>
      </c>
    </row>
    <row r="3" spans="3:92">
      <c r="F3" s="141" t="s">
        <v>900</v>
      </c>
      <c r="AI3" t="s">
        <v>985</v>
      </c>
      <c r="BM3" t="s">
        <v>994</v>
      </c>
    </row>
    <row r="4" spans="3:92" ht="15.7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75">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75">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75">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75">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75">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75">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-1.5195145150609974</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75">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75">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11.625551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75">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75">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75">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75">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1.4321167629556155</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2.6504335304279696E-2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1.5785214409581267</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1.6050257762624065</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75">
      <c r="AI42" t="s">
        <v>991</v>
      </c>
      <c r="AJ42" s="101"/>
      <c r="AK42" s="101"/>
      <c r="BM42" t="s">
        <v>1005</v>
      </c>
      <c r="BN42" s="344">
        <f>BN41-Demands!C7</f>
        <v>-10.020525223737593</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7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75">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1665.1524503625003</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14662.959943104002</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7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8">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75">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75">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75">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75">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75">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75">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405">
        <f>'EB2018'!U48/('EB2018'!U48+'EB2018'!AI48)</f>
        <v>0.95889311287254497</v>
      </c>
      <c r="G101" s="404">
        <v>1</v>
      </c>
      <c r="H101" s="404">
        <v>1</v>
      </c>
      <c r="I101" s="401">
        <v>5</v>
      </c>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f>F101</f>
        <v>0.95889311287254497</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0.95889311287254497</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0.95889311287254497</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0.95889311287254497</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0.95889311287254497</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75">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5"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5" customHeight="1">
      <c r="C215" s="133" t="s">
        <v>19</v>
      </c>
      <c r="D215" s="134">
        <v>3392228806</v>
      </c>
      <c r="AH215" s="140"/>
    </row>
    <row r="216" spans="3:34" ht="39.6" customHeight="1">
      <c r="C216" s="133" t="s">
        <v>455</v>
      </c>
      <c r="D216" s="134">
        <v>162101602</v>
      </c>
      <c r="AH216" s="140"/>
    </row>
    <row r="217" spans="3:34">
      <c r="C217" s="135" t="s">
        <v>456</v>
      </c>
      <c r="AH217" s="140"/>
    </row>
    <row r="218" spans="3:34" ht="14.45"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5" customHeight="1">
      <c r="C225" s="133" t="s">
        <v>455</v>
      </c>
      <c r="D225" s="134">
        <v>33</v>
      </c>
    </row>
    <row r="226" spans="3:34" ht="14.45" customHeight="1"/>
    <row r="227" spans="3:34" ht="26.45" customHeight="1"/>
    <row r="228" spans="3:34" ht="14.45" customHeight="1">
      <c r="C228" s="127" t="s">
        <v>458</v>
      </c>
      <c r="D228" s="128"/>
    </row>
    <row r="229" spans="3:34" ht="14.45" customHeight="1">
      <c r="C229" s="129" t="s">
        <v>452</v>
      </c>
      <c r="D229" s="130" t="s">
        <v>459</v>
      </c>
    </row>
    <row r="230" spans="3:34" ht="14.45"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2.9" customHeight="1">
      <c r="AH237" s="140"/>
    </row>
    <row r="243" spans="3:9" ht="106.15" customHeight="1"/>
    <row r="244" spans="3:9">
      <c r="C244" s="436" t="s">
        <v>475</v>
      </c>
      <c r="D244" s="436"/>
      <c r="E244" s="436"/>
      <c r="F244" s="436"/>
      <c r="G244" s="436"/>
      <c r="H244" s="436"/>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ht="30">
      <c r="C264" s="140" t="s">
        <v>492</v>
      </c>
    </row>
    <row r="265" spans="3:6">
      <c r="C265" s="140" t="s">
        <v>493</v>
      </c>
    </row>
    <row r="266" spans="3:6">
      <c r="C266" s="140" t="s">
        <v>494</v>
      </c>
    </row>
    <row r="267" spans="3:6">
      <c r="C267" s="140" t="s">
        <v>495</v>
      </c>
    </row>
    <row r="268" spans="3:6">
      <c r="C268" s="140" t="s">
        <v>496</v>
      </c>
    </row>
    <row r="269" spans="3:6" ht="30">
      <c r="C269" s="140" t="s">
        <v>497</v>
      </c>
    </row>
    <row r="270" spans="3:6">
      <c r="C270" s="140" t="s">
        <v>498</v>
      </c>
    </row>
    <row r="271" spans="3:6">
      <c r="C271" s="140" t="s">
        <v>499</v>
      </c>
    </row>
    <row r="276" spans="3:8">
      <c r="C276" t="s">
        <v>695</v>
      </c>
    </row>
    <row r="277" spans="3:8" ht="76.5">
      <c r="C277" s="384" t="s">
        <v>114</v>
      </c>
      <c r="D277" s="385" t="s">
        <v>115</v>
      </c>
      <c r="E277" s="230" t="s">
        <v>116</v>
      </c>
      <c r="F277" s="230" t="s">
        <v>117</v>
      </c>
      <c r="G277" s="230" t="s">
        <v>118</v>
      </c>
      <c r="H277" s="230" t="s">
        <v>119</v>
      </c>
    </row>
    <row r="278" spans="3:8" ht="25.5">
      <c r="C278" s="386"/>
      <c r="D278" s="387"/>
      <c r="E278" s="231" t="s">
        <v>120</v>
      </c>
      <c r="F278" s="231">
        <v>28</v>
      </c>
      <c r="G278" s="231">
        <v>190</v>
      </c>
      <c r="H278" s="231" t="s">
        <v>121</v>
      </c>
    </row>
    <row r="279" spans="3:8" ht="15.75">
      <c r="C279" s="386"/>
      <c r="D279" s="387"/>
      <c r="E279" s="232" t="s">
        <v>122</v>
      </c>
      <c r="F279" s="232">
        <v>25</v>
      </c>
      <c r="G279" s="232">
        <v>262</v>
      </c>
      <c r="H279" s="232" t="s">
        <v>123</v>
      </c>
    </row>
    <row r="280" spans="3:8" ht="25.5">
      <c r="C280" s="386"/>
      <c r="D280" s="388"/>
      <c r="E280" s="231" t="s">
        <v>124</v>
      </c>
      <c r="F280" s="231">
        <v>10</v>
      </c>
      <c r="G280" s="231">
        <v>304</v>
      </c>
      <c r="H280" s="231">
        <v>2008</v>
      </c>
    </row>
    <row r="281" spans="3:8" ht="25.5">
      <c r="C281" s="386"/>
      <c r="D281" s="389" t="s">
        <v>125</v>
      </c>
      <c r="E281" s="232" t="s">
        <v>126</v>
      </c>
      <c r="F281" s="232">
        <v>5</v>
      </c>
      <c r="G281" s="232" t="s">
        <v>127</v>
      </c>
      <c r="H281" s="232" t="s">
        <v>128</v>
      </c>
    </row>
    <row r="282" spans="3:8" ht="15.75">
      <c r="C282" s="386"/>
      <c r="D282" s="390"/>
      <c r="E282" s="231" t="s">
        <v>129</v>
      </c>
      <c r="F282" s="231">
        <v>5</v>
      </c>
      <c r="G282" s="231">
        <v>28</v>
      </c>
      <c r="H282" s="231" t="s">
        <v>128</v>
      </c>
    </row>
    <row r="283" spans="3:8" ht="15.75">
      <c r="C283" s="386"/>
      <c r="D283" s="390"/>
      <c r="E283" s="232" t="s">
        <v>130</v>
      </c>
      <c r="F283" s="232">
        <v>5</v>
      </c>
      <c r="G283" s="232">
        <v>44</v>
      </c>
      <c r="H283" s="232" t="s">
        <v>128</v>
      </c>
    </row>
    <row r="284" spans="3:8" ht="15.75">
      <c r="C284" s="386"/>
      <c r="D284" s="390"/>
      <c r="E284" s="231" t="s">
        <v>131</v>
      </c>
      <c r="F284" s="231">
        <v>16</v>
      </c>
      <c r="G284" s="231">
        <v>69</v>
      </c>
      <c r="H284" s="231" t="s">
        <v>128</v>
      </c>
    </row>
    <row r="285" spans="3:8" ht="15.75">
      <c r="C285" s="391"/>
      <c r="D285" s="392"/>
      <c r="E285" s="232" t="s">
        <v>132</v>
      </c>
      <c r="F285" s="232">
        <v>5</v>
      </c>
      <c r="G285" s="232">
        <v>69</v>
      </c>
      <c r="H285" s="232" t="s">
        <v>128</v>
      </c>
    </row>
    <row r="286" spans="3:8" ht="15.75">
      <c r="C286" s="393" t="s">
        <v>133</v>
      </c>
      <c r="D286" s="233" t="s">
        <v>134</v>
      </c>
      <c r="E286" s="231" t="s">
        <v>122</v>
      </c>
      <c r="F286" s="231">
        <v>29</v>
      </c>
      <c r="G286" s="231">
        <v>185</v>
      </c>
      <c r="H286" s="231" t="s">
        <v>137</v>
      </c>
    </row>
    <row r="287" spans="3:8" ht="15.75">
      <c r="C287" s="394"/>
      <c r="D287" s="233" t="s">
        <v>135</v>
      </c>
      <c r="E287" s="232" t="s">
        <v>138</v>
      </c>
      <c r="F287" s="232">
        <v>8</v>
      </c>
      <c r="G287" s="232">
        <v>85</v>
      </c>
      <c r="H287" s="232">
        <v>2000</v>
      </c>
    </row>
    <row r="288" spans="3:8" ht="15.75">
      <c r="C288" s="395"/>
      <c r="D288" s="233" t="s">
        <v>136</v>
      </c>
      <c r="E288" s="231" t="s">
        <v>138</v>
      </c>
      <c r="F288" s="231">
        <v>8</v>
      </c>
      <c r="G288" s="231">
        <v>130</v>
      </c>
      <c r="H288" s="231">
        <v>1993</v>
      </c>
    </row>
    <row r="289" spans="3:8" ht="76.5">
      <c r="C289" s="393" t="s">
        <v>39</v>
      </c>
      <c r="D289" s="385" t="s">
        <v>139</v>
      </c>
      <c r="E289" s="232" t="s">
        <v>141</v>
      </c>
      <c r="F289" s="232">
        <v>8</v>
      </c>
      <c r="G289" s="232">
        <v>160</v>
      </c>
      <c r="H289" s="232" t="s">
        <v>142</v>
      </c>
    </row>
    <row r="290" spans="3:8" ht="25.5">
      <c r="C290" s="394"/>
      <c r="D290" s="387"/>
      <c r="E290" s="231" t="s">
        <v>143</v>
      </c>
      <c r="F290" s="231">
        <v>3</v>
      </c>
      <c r="G290" s="231">
        <v>160</v>
      </c>
      <c r="H290" s="231">
        <v>2001</v>
      </c>
    </row>
    <row r="291" spans="3:8" ht="25.5">
      <c r="C291" s="394"/>
      <c r="D291" s="388"/>
      <c r="E291" s="232" t="s">
        <v>144</v>
      </c>
      <c r="F291" s="232">
        <v>4</v>
      </c>
      <c r="G291" s="232">
        <v>160</v>
      </c>
      <c r="H291" s="232">
        <v>2000</v>
      </c>
    </row>
    <row r="292" spans="3:8" ht="15.75">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93">
      <c r="C299" s="382" t="s">
        <v>684</v>
      </c>
      <c r="D299" s="382"/>
      <c r="E299" s="382"/>
      <c r="F299" s="382"/>
    </row>
    <row r="300" spans="3:8" ht="15.75" thickBot="1">
      <c r="C300" s="396" t="s">
        <v>161</v>
      </c>
      <c r="D300" s="397"/>
      <c r="E300" s="397"/>
      <c r="F300" s="397"/>
      <c r="G300" s="397"/>
      <c r="H300" s="397"/>
    </row>
    <row r="301" spans="3:8" ht="24.75" thickBot="1">
      <c r="C301" s="229" t="s">
        <v>116</v>
      </c>
      <c r="D301" s="229" t="s">
        <v>162</v>
      </c>
      <c r="E301" s="229" t="s">
        <v>163</v>
      </c>
      <c r="F301" s="229" t="s">
        <v>164</v>
      </c>
      <c r="G301" s="229" t="s">
        <v>166</v>
      </c>
      <c r="H301" s="229" t="s">
        <v>165</v>
      </c>
    </row>
    <row r="302" spans="3:8" ht="51.75" thickBot="1">
      <c r="C302" s="225" t="s">
        <v>146</v>
      </c>
      <c r="D302" s="225" t="s">
        <v>147</v>
      </c>
      <c r="E302" s="225" t="s">
        <v>148</v>
      </c>
      <c r="F302" s="225" t="s">
        <v>149</v>
      </c>
      <c r="G302" s="226">
        <v>247</v>
      </c>
      <c r="H302" s="226">
        <f>2*6*52*G302</f>
        <v>154128</v>
      </c>
    </row>
    <row r="303" spans="3:8" ht="39" thickBot="1">
      <c r="C303" s="227" t="s">
        <v>150</v>
      </c>
      <c r="D303" s="227" t="s">
        <v>151</v>
      </c>
      <c r="E303" s="227" t="s">
        <v>148</v>
      </c>
      <c r="F303" s="227" t="s">
        <v>152</v>
      </c>
      <c r="G303" s="228">
        <v>317</v>
      </c>
      <c r="H303" s="228">
        <f>2*G303*2*52</f>
        <v>65936</v>
      </c>
    </row>
    <row r="304" spans="3:8" ht="128.25" thickBot="1">
      <c r="C304" s="225" t="s">
        <v>153</v>
      </c>
      <c r="D304" s="225" t="s">
        <v>154</v>
      </c>
      <c r="E304" s="225" t="s">
        <v>155</v>
      </c>
      <c r="F304" s="225" t="s">
        <v>156</v>
      </c>
      <c r="G304" s="226">
        <v>312</v>
      </c>
      <c r="H304" s="226">
        <f>2*G304*3*52</f>
        <v>97344</v>
      </c>
    </row>
    <row r="305" spans="3:8" ht="102.75"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zoomScaleNormal="100" workbookViewId="0">
      <selection activeCell="E15" sqref="E15"/>
    </sheetView>
  </sheetViews>
  <sheetFormatPr defaultRowHeight="15"/>
  <cols>
    <col min="2" max="2" width="22.42578125" bestFit="1" customWidth="1"/>
    <col min="3" max="4" width="13.7109375" customWidth="1"/>
    <col min="5" max="5" width="16.5703125" bestFit="1" customWidth="1"/>
    <col min="6" max="13" width="9" customWidth="1"/>
    <col min="14" max="14" width="10.85546875" customWidth="1"/>
    <col min="15" max="31" width="9" customWidth="1"/>
  </cols>
  <sheetData>
    <row r="3" spans="2:31" ht="18.75">
      <c r="B3" s="438" t="s">
        <v>789</v>
      </c>
      <c r="C3" s="438"/>
      <c r="D3" s="438"/>
      <c r="E3" s="438"/>
    </row>
    <row r="5" spans="2:31">
      <c r="E5" s="357" t="s">
        <v>901</v>
      </c>
    </row>
    <row r="6" spans="2:31" ht="15.7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f>
        <v>5.133</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f>
        <v>13.302999999999999</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f>ROUNDUP(E74,2)</f>
        <v>164.84</v>
      </c>
    </row>
    <row r="48" spans="2:31" ht="15.7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45">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437" t="s">
        <v>9</v>
      </c>
      <c r="C96" s="91" t="s">
        <v>428</v>
      </c>
      <c r="D96" s="91">
        <v>1.24</v>
      </c>
      <c r="E96" s="91">
        <v>1.25</v>
      </c>
      <c r="F96" s="91">
        <v>1.26</v>
      </c>
      <c r="G96" s="91">
        <v>1.26</v>
      </c>
      <c r="H96" s="91">
        <v>1.33</v>
      </c>
      <c r="I96" s="91">
        <v>1.34</v>
      </c>
      <c r="J96" s="91">
        <v>1.38</v>
      </c>
      <c r="K96" s="91">
        <v>1.38</v>
      </c>
    </row>
    <row r="97" spans="2:11">
      <c r="B97" s="437"/>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437" t="s">
        <v>10</v>
      </c>
      <c r="C98" s="91" t="s">
        <v>428</v>
      </c>
      <c r="D98" s="91">
        <v>1.21</v>
      </c>
      <c r="E98" s="91">
        <v>1.22</v>
      </c>
      <c r="F98" s="91">
        <v>1.23</v>
      </c>
      <c r="G98" s="91">
        <v>1.23</v>
      </c>
      <c r="H98" s="91">
        <v>1.2</v>
      </c>
      <c r="I98" s="91">
        <v>1.23</v>
      </c>
      <c r="J98" s="91">
        <v>1.22</v>
      </c>
      <c r="K98" s="91">
        <v>1.22</v>
      </c>
    </row>
    <row r="99" spans="2:11">
      <c r="B99" s="437"/>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437" t="s">
        <v>11</v>
      </c>
      <c r="C100" s="91" t="s">
        <v>428</v>
      </c>
      <c r="D100" s="91">
        <v>1.64</v>
      </c>
      <c r="E100" s="91">
        <v>1.65</v>
      </c>
      <c r="F100" s="91">
        <v>1.66</v>
      </c>
      <c r="G100" s="91">
        <v>1.68</v>
      </c>
      <c r="H100" s="91">
        <v>1.7</v>
      </c>
      <c r="I100" s="91">
        <v>1.83</v>
      </c>
      <c r="J100" s="91">
        <v>1.85</v>
      </c>
      <c r="K100" s="91">
        <v>1.85</v>
      </c>
    </row>
    <row r="101" spans="2:11">
      <c r="B101" s="437"/>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75">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84"/>
  <sheetViews>
    <sheetView topLeftCell="Q66" zoomScale="55" zoomScaleNormal="55" workbookViewId="0">
      <selection activeCell="AJ100" sqref="AJ100"/>
    </sheetView>
  </sheetViews>
  <sheetFormatPr defaultRowHeight="15"/>
  <cols>
    <col min="1" max="1" width="28" customWidth="1"/>
    <col min="2" max="2" width="18.85546875" customWidth="1"/>
    <col min="3" max="3" width="17.7109375" customWidth="1"/>
    <col min="4" max="4" width="16.85546875" customWidth="1"/>
    <col min="5" max="6" width="15.7109375" customWidth="1"/>
    <col min="7"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1" t="s">
        <v>791</v>
      </c>
      <c r="B2" s="37"/>
      <c r="C2" s="37"/>
      <c r="D2" s="37"/>
      <c r="E2" s="37"/>
      <c r="F2" s="37"/>
      <c r="G2" s="37"/>
    </row>
    <row r="3" spans="1:29" ht="15.7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 t="shared" ref="C7:AC7" si="3">(C479/1000)+C18</f>
        <v>11.625551</v>
      </c>
      <c r="D7" s="188">
        <f t="shared" si="3"/>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9"/>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9"/>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9"/>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75">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75">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75">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75">
      <c r="A75" s="192" t="s">
        <v>21</v>
      </c>
      <c r="AC75" s="191"/>
    </row>
    <row r="76" spans="1:88">
      <c r="AC76" s="7"/>
    </row>
    <row r="78" spans="1:88" ht="15.75">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441" t="s">
        <v>16</v>
      </c>
      <c r="B89" s="441"/>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75">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7.25">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7.25">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7.25">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7.25">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7.25">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7.25">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7.25">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440" t="s">
        <v>16</v>
      </c>
      <c r="B110" s="440"/>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75">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442"/>
      <c r="H130" s="442"/>
      <c r="I130" s="172"/>
      <c r="J130" s="172"/>
      <c r="Z130" s="138"/>
      <c r="AA130" s="138"/>
      <c r="AB130" s="138"/>
    </row>
    <row r="131" spans="1:29" s="52" customFormat="1">
      <c r="A131" s="168" t="s">
        <v>36</v>
      </c>
      <c r="B131" s="173">
        <v>0.97050000000000003</v>
      </c>
      <c r="C131" s="173">
        <v>0.97640000000000005</v>
      </c>
      <c r="D131" s="138"/>
      <c r="E131" s="138"/>
      <c r="F131" s="138"/>
      <c r="G131" s="442"/>
      <c r="H131" s="442"/>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75">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75">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75">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75">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75">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75">
      <c r="A206" s="101" t="s">
        <v>868</v>
      </c>
      <c r="B206" s="287"/>
      <c r="C206" s="287"/>
      <c r="I206" s="444" t="s">
        <v>863</v>
      </c>
      <c r="J206" s="444"/>
      <c r="K206" s="444"/>
      <c r="L206" s="444"/>
      <c r="M206" s="444"/>
      <c r="N206" s="444"/>
      <c r="O206" s="444"/>
      <c r="P206" s="444"/>
      <c r="Q206" s="444"/>
      <c r="R206" s="444"/>
      <c r="S206" s="444"/>
      <c r="T206" s="444"/>
      <c r="U206" s="444"/>
      <c r="V206" s="444"/>
      <c r="W206" s="444"/>
      <c r="X206" s="444"/>
      <c r="Y206" s="444"/>
      <c r="Z206" s="444"/>
      <c r="AA206" s="444"/>
      <c r="AB206" s="444"/>
    </row>
    <row r="207" spans="1:28">
      <c r="A207" s="82" t="s">
        <v>831</v>
      </c>
      <c r="B207" s="82" t="s">
        <v>419</v>
      </c>
      <c r="C207" s="82" t="s">
        <v>832</v>
      </c>
      <c r="I207" s="445" t="s">
        <v>854</v>
      </c>
      <c r="J207" s="447" t="s">
        <v>294</v>
      </c>
      <c r="K207" s="447"/>
      <c r="L207" s="447"/>
      <c r="M207" s="12"/>
      <c r="N207" s="447" t="s">
        <v>635</v>
      </c>
      <c r="O207" s="447"/>
      <c r="P207" s="447"/>
      <c r="Q207" s="12"/>
      <c r="R207" s="447" t="s">
        <v>296</v>
      </c>
      <c r="S207" s="447"/>
      <c r="T207" s="447"/>
      <c r="U207" s="12"/>
      <c r="V207" s="447" t="s">
        <v>855</v>
      </c>
      <c r="W207" s="447"/>
      <c r="X207" s="447"/>
      <c r="Y207" s="12"/>
      <c r="Z207" s="447" t="s">
        <v>530</v>
      </c>
      <c r="AA207" s="447"/>
      <c r="AB207" s="447"/>
    </row>
    <row r="208" spans="1:28" ht="23.25">
      <c r="A208" s="286"/>
      <c r="B208" s="289" t="s">
        <v>892</v>
      </c>
      <c r="C208" s="289" t="s">
        <v>833</v>
      </c>
      <c r="I208" s="446"/>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75">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75">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75">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75">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3.9"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75">
      <c r="A355" s="192" t="s">
        <v>634</v>
      </c>
    </row>
    <row r="357" spans="1:29" ht="15.75">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75">
      <c r="A366" s="101" t="s">
        <v>644</v>
      </c>
    </row>
    <row r="367" spans="1:29" ht="18">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439"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439"/>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439"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439"/>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439"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439"/>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75">
      <c r="A379" s="101" t="s">
        <v>645</v>
      </c>
    </row>
    <row r="380" spans="1:29" ht="18">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439"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439"/>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439"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439"/>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439"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439"/>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75">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75">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1.5*ACT2FLO!E72*C425/C395</f>
        <v>5.1322455729924981</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1.5*ACT2FLO!E73*C426/C396</f>
        <v>13.302620832529735</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C406" s="347"/>
      <c r="D406" s="347"/>
      <c r="E406" s="347"/>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347"/>
      <c r="D407" s="347"/>
      <c r="E407" s="347"/>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9" spans="1:31" ht="15.75">
      <c r="A409" s="101" t="s">
        <v>1018</v>
      </c>
      <c r="L409" s="304"/>
    </row>
    <row r="410" spans="1:31" ht="18">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439" t="s">
        <v>1010</v>
      </c>
      <c r="B411" t="s">
        <v>636</v>
      </c>
      <c r="E411" s="304"/>
      <c r="F411" s="448">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439"/>
      <c r="B412" t="s">
        <v>637</v>
      </c>
      <c r="C412">
        <v>292</v>
      </c>
      <c r="D412">
        <v>6667</v>
      </c>
      <c r="E412" s="364">
        <f>D412*1000/(C368+C369)</f>
        <v>20.719511209731053</v>
      </c>
      <c r="F412" s="448"/>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439" t="s">
        <v>1011</v>
      </c>
      <c r="B413" t="s">
        <v>638</v>
      </c>
      <c r="C413">
        <v>246</v>
      </c>
      <c r="D413">
        <v>4107</v>
      </c>
      <c r="E413" s="364">
        <f>D413*1000/(C370)</f>
        <v>904.6255506607929</v>
      </c>
      <c r="F413" s="449">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439"/>
      <c r="B414" t="s">
        <v>639</v>
      </c>
      <c r="C414">
        <v>894</v>
      </c>
      <c r="D414">
        <v>12416</v>
      </c>
      <c r="E414" s="364">
        <f>D414*1000/(C371)</f>
        <v>1911.9186941792423</v>
      </c>
      <c r="F414" s="449"/>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439" t="s">
        <v>1012</v>
      </c>
      <c r="B415" t="s">
        <v>640</v>
      </c>
      <c r="C415">
        <v>2606</v>
      </c>
      <c r="D415">
        <v>35975</v>
      </c>
      <c r="E415" s="364">
        <f>D415*1000/(C372)</f>
        <v>4375.45609340793</v>
      </c>
      <c r="F415" s="449">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439"/>
      <c r="B416" t="s">
        <v>641</v>
      </c>
      <c r="C416">
        <v>7500</v>
      </c>
      <c r="D416">
        <v>90871</v>
      </c>
      <c r="E416" s="364">
        <f>D416*1000/(C373)</f>
        <v>6766.7734008489088</v>
      </c>
      <c r="F416" s="449"/>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75">
      <c r="A422" s="101" t="s">
        <v>1014</v>
      </c>
    </row>
    <row r="423" spans="1:31" ht="18">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75">
      <c r="A431" s="101" t="s">
        <v>1030</v>
      </c>
    </row>
    <row r="432" spans="1:31" ht="18">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75">
      <c r="A442" s="101" t="s">
        <v>662</v>
      </c>
    </row>
    <row r="443" spans="1:29" ht="15.75">
      <c r="A443" s="82" t="s">
        <v>316</v>
      </c>
      <c r="B443" s="443" t="s">
        <v>659</v>
      </c>
      <c r="C443" s="443"/>
      <c r="D443" s="443"/>
      <c r="E443" s="443"/>
      <c r="F443" s="443"/>
      <c r="G443" s="443"/>
      <c r="H443" s="443"/>
      <c r="I443" s="443"/>
      <c r="J443" s="443"/>
      <c r="K443" s="443"/>
      <c r="L443" s="443"/>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75">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450" t="s">
        <v>664</v>
      </c>
      <c r="C461" s="450"/>
      <c r="D461" s="450"/>
      <c r="E461" s="450"/>
      <c r="F461" s="450"/>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75">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75">
      <c r="A486" s="101" t="s">
        <v>660</v>
      </c>
    </row>
    <row r="487" spans="1:29" ht="15.75">
      <c r="A487" s="82" t="s">
        <v>316</v>
      </c>
      <c r="B487" s="443" t="s">
        <v>659</v>
      </c>
      <c r="C487" s="443"/>
      <c r="D487" s="443"/>
      <c r="E487" s="443"/>
      <c r="F487" s="443"/>
      <c r="G487" s="443"/>
      <c r="H487" s="443"/>
      <c r="I487" s="443"/>
      <c r="J487" s="443"/>
      <c r="K487" s="443"/>
      <c r="L487" s="443"/>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75">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75">
      <c r="A505" s="101" t="s">
        <v>661</v>
      </c>
    </row>
    <row r="506" spans="1:12" ht="15.75">
      <c r="A506" s="82" t="s">
        <v>316</v>
      </c>
      <c r="B506" s="443" t="s">
        <v>659</v>
      </c>
      <c r="C506" s="443"/>
      <c r="D506" s="443"/>
      <c r="E506" s="443"/>
      <c r="F506" s="443"/>
      <c r="G506" s="443"/>
      <c r="H506" s="443"/>
      <c r="I506" s="443"/>
      <c r="J506" s="443"/>
      <c r="K506" s="443"/>
      <c r="L506" s="443"/>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75">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436" t="s">
        <v>682</v>
      </c>
      <c r="B524" s="436"/>
      <c r="C524" s="436"/>
      <c r="D524" s="436"/>
      <c r="E524" s="436"/>
      <c r="F524" s="436"/>
      <c r="G524" s="436"/>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451" t="s">
        <v>681</v>
      </c>
      <c r="B536" s="451"/>
      <c r="C536" s="451"/>
      <c r="D536" s="451"/>
      <c r="E536" s="451"/>
      <c r="F536" s="451"/>
      <c r="G536" s="451"/>
    </row>
    <row r="537" spans="1:7">
      <c r="A537" s="452" t="s">
        <v>683</v>
      </c>
      <c r="B537" s="452"/>
      <c r="C537" s="452"/>
      <c r="D537" s="452"/>
      <c r="E537" s="452"/>
      <c r="F537" s="452"/>
      <c r="G537" s="452"/>
    </row>
    <row r="544" spans="1:7" ht="15.75">
      <c r="A544" s="101" t="s">
        <v>701</v>
      </c>
    </row>
    <row r="545" spans="1:12" ht="15.75">
      <c r="A545" s="82" t="s">
        <v>316</v>
      </c>
      <c r="B545" s="443" t="s">
        <v>659</v>
      </c>
      <c r="C545" s="443"/>
      <c r="D545" s="443"/>
      <c r="E545" s="443"/>
      <c r="F545" s="443"/>
      <c r="G545" s="443"/>
      <c r="H545" s="443"/>
      <c r="I545" s="443"/>
      <c r="J545" s="443"/>
      <c r="K545" s="443"/>
      <c r="L545" s="443"/>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75">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450" t="s">
        <v>664</v>
      </c>
      <c r="C563" s="450"/>
      <c r="D563" s="450"/>
      <c r="E563" s="450"/>
      <c r="F563" s="450"/>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75">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75">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75">
      <c r="A594" s="101" t="s">
        <v>1043</v>
      </c>
    </row>
    <row r="595" spans="1:29" ht="18">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75">
      <c r="A604" s="101" t="s">
        <v>1042</v>
      </c>
    </row>
    <row r="605" spans="1:29" ht="18">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75">
      <c r="A614" s="192" t="s">
        <v>706</v>
      </c>
    </row>
    <row r="617" spans="1:29" ht="15.75">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75">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75">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topLeftCell="A34" zoomScale="70" zoomScaleNormal="70" workbookViewId="0">
      <selection activeCell="F80" sqref="F80"/>
    </sheetView>
  </sheetViews>
  <sheetFormatPr defaultRowHeight="15"/>
  <cols>
    <col min="2" max="2" width="22.42578125" bestFit="1" customWidth="1"/>
    <col min="3" max="3" width="12.140625" customWidth="1"/>
    <col min="4" max="4" width="11" customWidth="1"/>
    <col min="5" max="30" width="9.5703125" customWidth="1"/>
  </cols>
  <sheetData>
    <row r="1" spans="2:31">
      <c r="F1" s="2"/>
    </row>
    <row r="3" spans="2:31">
      <c r="D3" s="141"/>
    </row>
    <row r="4" spans="2:31" ht="15.7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7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 t="shared" ref="E44:AE44" si="12">E9/1000</f>
        <v>0.40118080181954258</v>
      </c>
      <c r="F44" s="10">
        <f t="shared" si="12"/>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75">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75">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75">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75">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1096</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75">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75">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75">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75">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 t="shared" ref="E162:AD162" si="61">1.085*SUMPRODUCT(E137:E143,E150:E156)</f>
        <v>1.7174841547644963</v>
      </c>
      <c r="F162" s="177">
        <f t="shared" si="61"/>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1097</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75">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75">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75">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75">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75">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75">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75">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75">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75">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75">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75">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75">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75">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75">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75">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75">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75">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75">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75">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75">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75">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75">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75">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75">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75">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75">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75">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75">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75">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75">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75">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75">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75">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75">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75">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75">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75">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75">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75">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75">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F117" sqref="F117"/>
    </sheetView>
  </sheetViews>
  <sheetFormatPr defaultRowHeight="15"/>
  <cols>
    <col min="1" max="1" width="5.42578125" customWidth="1"/>
    <col min="2" max="2" width="22.42578125" bestFit="1" customWidth="1"/>
    <col min="3" max="3" width="15.42578125" customWidth="1"/>
    <col min="4" max="30" width="10" customWidth="1"/>
    <col min="31" max="31" width="16.42578125" bestFit="1" customWidth="1"/>
  </cols>
  <sheetData>
    <row r="2" spans="2:30">
      <c r="C2" s="141" t="s">
        <v>902</v>
      </c>
    </row>
    <row r="3" spans="2:30" ht="15.7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7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7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75">
      <c r="B105" s="270" t="s">
        <v>780</v>
      </c>
    </row>
    <row r="106" spans="2:30" ht="15.7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75">
      <c r="B131" s="101" t="s">
        <v>1032</v>
      </c>
    </row>
    <row r="132" spans="2:30" ht="18">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439"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439"/>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439"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439"/>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439"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453"/>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40625" defaultRowHeight="15"/>
  <cols>
    <col min="1" max="16384" width="9.140625" style="37"/>
  </cols>
  <sheetData>
    <row r="1" spans="1:5">
      <c r="A1" s="122" t="s">
        <v>1114</v>
      </c>
      <c r="B1" s="122"/>
    </row>
    <row r="2" spans="1:5">
      <c r="A2" s="37" t="s">
        <v>1113</v>
      </c>
      <c r="B2" s="3" t="s">
        <v>1103</v>
      </c>
      <c r="C2" s="37">
        <v>4.1868000000000002E-2</v>
      </c>
      <c r="D2" s="37" t="s">
        <v>86</v>
      </c>
    </row>
    <row r="3" spans="1:5">
      <c r="A3" s="37" t="s">
        <v>1112</v>
      </c>
      <c r="B3" s="3" t="s">
        <v>1103</v>
      </c>
      <c r="C3" s="37">
        <v>1.0550999999999999</v>
      </c>
      <c r="D3" s="37" t="s">
        <v>1108</v>
      </c>
    </row>
    <row r="4" spans="1:5">
      <c r="A4" s="37" t="s">
        <v>1111</v>
      </c>
      <c r="B4" s="3" t="s">
        <v>1103</v>
      </c>
      <c r="C4" s="37">
        <v>7.33</v>
      </c>
      <c r="D4" s="37" t="s">
        <v>1110</v>
      </c>
      <c r="E4" s="417"/>
    </row>
    <row r="5" spans="1:5">
      <c r="A5" s="37" t="s">
        <v>1109</v>
      </c>
      <c r="B5" s="3" t="s">
        <v>1103</v>
      </c>
      <c r="C5" s="37">
        <f>C2/C4*1000</f>
        <v>5.7118690313778995</v>
      </c>
      <c r="D5" s="37" t="s">
        <v>1108</v>
      </c>
    </row>
    <row r="9" spans="1:5">
      <c r="A9" s="122" t="s">
        <v>1107</v>
      </c>
    </row>
    <row r="10" spans="1:5">
      <c r="A10" s="37" t="s">
        <v>1106</v>
      </c>
      <c r="B10" s="3" t="s">
        <v>1103</v>
      </c>
      <c r="C10" s="37">
        <v>1.1194745098039223</v>
      </c>
      <c r="D10" s="37" t="s">
        <v>1105</v>
      </c>
    </row>
    <row r="11" spans="1:5">
      <c r="A11" s="37" t="s">
        <v>1104</v>
      </c>
      <c r="B11" s="3" t="s">
        <v>1103</v>
      </c>
      <c r="C11" s="37">
        <v>1.1809545098039216</v>
      </c>
      <c r="D11" s="37" t="s">
        <v>1102</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2022-09-14T04:11:13Z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379970729351043</vt:r8>
  </property>
</Properties>
</file>