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8_{519C500C-E074-4806-8FEE-076F71650E61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20" l="1"/>
  <c r="C7" i="20" s="1"/>
  <c r="E24" i="20"/>
  <c r="D7" i="20" s="1"/>
  <c r="F24" i="20" l="1"/>
  <c r="E7" i="20" s="1"/>
  <c r="D4" i="20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I3" i="15" a="1"/>
  <c r="I3" i="15" s="1"/>
  <c r="Y3" i="15" a="1"/>
  <c r="Y3" i="15"/>
  <c r="J3" i="15" a="1"/>
  <c r="J3" i="15" s="1"/>
  <c r="K3" i="15" a="1"/>
  <c r="K3" i="15"/>
  <c r="T3" i="15" a="1"/>
  <c r="T3" i="15" s="1"/>
  <c r="E3" i="15" a="1"/>
  <c r="E3" i="15" s="1"/>
  <c r="N3" i="15" a="1"/>
  <c r="N3" i="15" s="1"/>
  <c r="R3" i="15" a="1"/>
  <c r="R3" i="15" s="1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B2" i="21" l="1"/>
  <c r="H4" i="21" s="1"/>
  <c r="G3" i="23"/>
  <c r="H3" i="23"/>
  <c r="B2" i="22"/>
  <c r="H4" i="22" s="1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<sst xmlns="http://schemas.openxmlformats.org/spreadsheetml/2006/main" count="168" uniqueCount="114">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</sst>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1189622</xdr:colOff>
      <xdr:row>47</xdr:row>
      <xdr:rowOff>84685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36328125" customWidth="1"/>
    <col min="15" max="15" width="13.36328125" customWidth="1"/>
  </cols>
  <sheetData>
    <row r="1" spans="1:26" x14ac:dyDescent="0.3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3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3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3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3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3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3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3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3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3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3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3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3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3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3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35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3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3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35">
      <c r="A19" s="25" t="s">
        <v>91</v>
      </c>
      <c r="B19" s="36" t="s">
        <v>104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35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35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3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35">
      <c r="A23" s="25" t="s">
        <v>94</v>
      </c>
      <c r="B23" s="36" t="s">
        <v>103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3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3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35">
      <c r="A26" s="25" t="s">
        <v>95</v>
      </c>
      <c r="B26" s="36" t="s">
        <v>103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3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3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3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35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35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3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3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3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3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3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3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3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3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3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3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3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36328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36328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 x14ac:dyDescent="0.35">
      <c r="A4">
        <v>2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opLeftCell="A10" workbookViewId="0">
      <selection activeCell="D20" sqref="D20"/>
    </sheetView>
  </sheetViews>
  <sheetFormatPr defaultColWidth="9.1796875" defaultRowHeight="14.5" x14ac:dyDescent="0.35"/>
  <cols>
    <col min="2" max="2" width="14" bestFit="1" customWidth="1"/>
    <col min="3" max="3" width="30.17968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 x14ac:dyDescent="0.35">
      <c r="B4" t="s">
        <v>61</v>
      </c>
      <c r="C4" t="str">
        <f xml:space="preserve"> _xlfn.TEXTJOIN("_",TRUE,"UC","CB",ROUND(C7,0),"Mt",C6)</f>
        <v>UC_CB_165_Mt_2021-2025</v>
      </c>
      <c r="D4" t="str">
        <f t="shared" ref="D4:E4" si="0" xml:space="preserve"> _xlfn.TEXTJOIN("_",TRUE,"UC","CB",ROUND(D7,0),"Mt",D6)</f>
        <v>UC_CB_111_Mt_2026-2030</v>
      </c>
      <c r="E4" t="str">
        <f t="shared" si="0"/>
        <v>UC_CB_-26_Mt_2031-2050</v>
      </c>
      <c r="F4" t="str">
        <f t="shared" ref="F4" si="1" xml:space="preserve"> _xlfn.TEXTJOIN("_",TRUE,"UC","CB",ROUND(F7,0),"Mt",F6)</f>
        <v>UC_CB_0_Mt_2051-2100</v>
      </c>
    </row>
    <row r="5" spans="2:6" x14ac:dyDescent="0.35">
      <c r="B5" t="s">
        <v>68</v>
      </c>
      <c r="C5" t="str">
        <f xml:space="preserve"> _xlfn.TEXTJOIN(" ",TRUE,"Carbon budget",ROUND(C7,0),"Mt",C6)</f>
        <v>Carbon budget 165 Mt 2021-2025</v>
      </c>
      <c r="D5" t="str">
        <f t="shared" ref="D5:F5" si="2" xml:space="preserve"> _xlfn.TEXTJOIN(" ",TRUE,"Carbon budget",ROUND(D7,0),"Mt",D6)</f>
        <v>Carbon budget 111 Mt 2026-2030</v>
      </c>
      <c r="E5" t="str">
        <f t="shared" si="2"/>
        <v>Carbon budget -26 Mt 2031-2050</v>
      </c>
      <c r="F5" t="str">
        <f t="shared" si="2"/>
        <v>Carbon budget 0 Mt 2051-2100</v>
      </c>
    </row>
    <row r="6" spans="2:6" x14ac:dyDescent="0.35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35">
      <c r="B7" t="s">
        <v>69</v>
      </c>
      <c r="C7" s="17">
        <f>D24</f>
        <v>165.2</v>
      </c>
      <c r="D7" s="17">
        <f t="shared" ref="D7:E7" si="3">E24</f>
        <v>111</v>
      </c>
      <c r="E7" s="17">
        <f t="shared" si="3"/>
        <v>-26.199999999999989</v>
      </c>
      <c r="F7">
        <v>0</v>
      </c>
    </row>
    <row r="8" spans="2:6" x14ac:dyDescent="0.3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35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 x14ac:dyDescent="0.3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3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3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3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35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35">
      <c r="C18" s="33"/>
    </row>
    <row r="19" spans="3:7" x14ac:dyDescent="0.35">
      <c r="C19" t="s">
        <v>110</v>
      </c>
      <c r="D19" s="35">
        <v>250</v>
      </c>
    </row>
    <row r="22" spans="3:7" x14ac:dyDescent="0.35">
      <c r="C22" s="33" t="s">
        <v>109</v>
      </c>
    </row>
    <row r="23" spans="3:7" x14ac:dyDescent="0.35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 x14ac:dyDescent="0.35">
      <c r="C24" t="s">
        <v>69</v>
      </c>
      <c r="D24" s="34">
        <f>40+54+29+7+30+5.2</f>
        <v>165.2</v>
      </c>
      <c r="E24" s="34">
        <f>20+37+23+5+24+2</f>
        <v>111</v>
      </c>
      <c r="F24" s="34">
        <f>D19-D24-E24</f>
        <v>-26.199999999999989</v>
      </c>
      <c r="G24" s="34">
        <v>0</v>
      </c>
    </row>
    <row r="26" spans="3:7" x14ac:dyDescent="0.35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tabSelected="1" workbookViewId="0">
      <selection activeCell="B7" sqref="B7"/>
    </sheetView>
  </sheetViews>
  <sheetFormatPr defaultColWidth="9.1796875" defaultRowHeight="14.5" x14ac:dyDescent="0.35"/>
  <cols>
    <col min="2" max="2" width="28.54296875" bestFit="1" customWidth="1"/>
    <col min="3" max="3" width="12" bestFit="1" customWidth="1"/>
    <col min="4" max="4" width="8.36328125" bestFit="1" customWidth="1"/>
    <col min="5" max="5" width="14.36328125" bestFit="1" customWidth="1"/>
    <col min="6" max="6" width="9.26953125" bestFit="1" customWidth="1"/>
    <col min="7" max="7" width="13.36328125" bestFit="1" customWidth="1"/>
    <col min="8" max="8" width="8.36328125" bestFit="1" customWidth="1"/>
    <col min="9" max="9" width="12.54296875" bestFit="1" customWidth="1"/>
    <col min="10" max="10" width="12.1796875" bestFit="1" customWidth="1"/>
    <col min="11" max="11" width="9.36328125" bestFit="1" customWidth="1"/>
    <col min="12" max="12" width="34.26953125" bestFit="1" customWidth="1"/>
  </cols>
  <sheetData>
    <row r="1" spans="1:12" x14ac:dyDescent="0.35">
      <c r="A1" t="s">
        <v>64</v>
      </c>
    </row>
    <row r="2" spans="1:12" x14ac:dyDescent="0.35">
      <c r="B2" s="9" t="str">
        <f>"~UC_Sets: R_E: "  &amp; _xlfn.TEXTJOIN(",",TRUE,Regions!C3)</f>
        <v>~UC_Sets: R_E: IE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35">
      <c r="B7" t="str">
        <f>VLOOKUP($B$5, config!$B$4:$F$14,2,FALSE) &amp; "_Single"</f>
        <v>UC_CB_165_Mt_2021-2025_Single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VLOOKUP($L$5, config!$B$4:$F$14,2,FALSE) &amp; " - Single"</f>
        <v>Carbon budget 165 Mt 2021-2025 - Single</v>
      </c>
    </row>
    <row r="8" spans="1:12" x14ac:dyDescent="0.35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35">
      <c r="B9" t="str">
        <f>VLOOKUP($B$5, config!$B$4:$F$14,3,FALSE) &amp; "_Single"</f>
        <v>UC_CB_111_Mt_2026-2030_Single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111000</v>
      </c>
      <c r="L9" t="str">
        <f>VLOOKUP($L$5, config!$B$4:$F$14,3,FALSE) &amp; " - Single"</f>
        <v>Carbon budget 111 Mt 2026-2030 - Single</v>
      </c>
    </row>
    <row r="10" spans="1:12" x14ac:dyDescent="0.35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35">
      <c r="B11" t="str">
        <f>VLOOKUP($B$5, config!$B$4:$F$14,4,FALSE) &amp; "_Single"</f>
        <v>UC_CB_-26_Mt_2031-2050_Single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-26199.999999999989</v>
      </c>
      <c r="L11" t="str">
        <f>VLOOKUP($L$5, config!$B$4:$F$14,4,FALSE) &amp; " - Single"</f>
        <v>Carbon budget -26 Mt 2031-2050 - Single</v>
      </c>
    </row>
    <row r="12" spans="1:12" x14ac:dyDescent="0.35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35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35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B14" sqref="B14"/>
    </sheetView>
  </sheetViews>
  <sheetFormatPr defaultColWidth="9.1796875" defaultRowHeight="14.5" x14ac:dyDescent="0.35"/>
  <cols>
    <col min="2" max="2" width="28.26953125" customWidth="1"/>
    <col min="3" max="3" width="12" bestFit="1" customWidth="1"/>
    <col min="4" max="4" width="8.36328125" bestFit="1" customWidth="1"/>
    <col min="5" max="5" width="14.36328125" bestFit="1" customWidth="1"/>
    <col min="6" max="6" width="9.26953125" bestFit="1" customWidth="1"/>
    <col min="7" max="7" width="13.36328125" bestFit="1" customWidth="1"/>
    <col min="8" max="8" width="8.36328125" bestFit="1" customWidth="1"/>
    <col min="9" max="9" width="12.54296875" bestFit="1" customWidth="1"/>
    <col min="10" max="10" width="12.1796875" bestFit="1" customWidth="1"/>
    <col min="11" max="11" width="8.36328125" bestFit="1" customWidth="1"/>
    <col min="12" max="12" width="33.81640625" bestFit="1" customWidth="1"/>
  </cols>
  <sheetData>
    <row r="1" spans="1:12" x14ac:dyDescent="0.35">
      <c r="A1" t="s">
        <v>66</v>
      </c>
    </row>
    <row r="2" spans="1:12" x14ac:dyDescent="0.35">
      <c r="B2" s="9" t="str">
        <f>"~UC_Sets: R_S: " &amp; _xlfn.TEXTJOIN(",",TRUE,Regions!D3:AD3)</f>
        <v xml:space="preserve">~UC_Sets: R_S: 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/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35">
      <c r="B7" t="str">
        <f>VLOOKUP(B$5, config!$B$4:$F$14,2,FALSE) &amp; "_Multi"</f>
        <v>UC_CB_165_Mt_2021-2025_Multi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VLOOKUP(L$5, config!$B$4:$F$14,2,FALSE) &amp; " - Multi"</f>
        <v>Carbon budget 165 Mt 2021-2025 - Multi</v>
      </c>
    </row>
    <row r="8" spans="1:12" x14ac:dyDescent="0.35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35">
      <c r="B9" t="str">
        <f>VLOOKUP(B$5, config!$B$4:$F$14,3,FALSE) &amp; "_Multi"</f>
        <v>UC_CB_111_Mt_2026-2030_Multi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111000</v>
      </c>
      <c r="L9" t="str">
        <f>VLOOKUP(L$5, config!$B$4:$F$14,3,FALSE) &amp; " - Multi"</f>
        <v>Carbon budget 111 Mt 2026-2030 - Multi</v>
      </c>
    </row>
    <row r="10" spans="1:12" x14ac:dyDescent="0.35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35">
      <c r="B11" t="str">
        <f>VLOOKUP(B$5, config!$B$4:$F$14,4,FALSE) &amp; "_Multi"</f>
        <v>UC_CB_-26_Mt_2031-2050_Multi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-26199.999999999989</v>
      </c>
      <c r="L11" t="str">
        <f>VLOOKUP(L$5, config!$B$4:$F$14,4,FALSE) &amp; " - Multi"</f>
        <v>Carbon budget -26 Mt 2031-2050 - Multi</v>
      </c>
    </row>
    <row r="12" spans="1:12" x14ac:dyDescent="0.35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 x14ac:dyDescent="0.35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35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5" x14ac:dyDescent="0.3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8" x14ac:dyDescent="0.35">
      <c r="B2" s="14" t="s">
        <v>84</v>
      </c>
    </row>
    <row r="3" spans="2:8" ht="15" thickBot="1" x14ac:dyDescent="0.4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/>
      </c>
    </row>
    <row r="4" spans="2:8" x14ac:dyDescent="0.3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2024-08-23T10:47:19Z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