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6083A2CF-886C-4B89-97DE-9D0B424E7539}" xr6:coauthVersionLast="45" xr6:coauthVersionMax="47" xr10:uidLastSave="{00000000-0000-0000-0000-000000000000}"/>
  <bookViews>
    <workbookView xWindow="-60" yWindow="-163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57" l="1"/>
  <c r="O11" i="57"/>
  <c r="O12" i="57"/>
  <c r="O18" i="57"/>
  <c r="O16" i="57"/>
  <c r="O17" i="57"/>
  <c r="O24" i="57"/>
  <c r="O22" i="57"/>
  <c r="O23" i="57"/>
  <c r="R53" i="58" l="1"/>
  <c r="F24" i="58" l="1"/>
  <c r="U7" i="57"/>
  <c r="N7" i="57" s="1"/>
  <c r="T7" i="57"/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1" i="57"/>
  <c r="O20" i="57"/>
  <c r="O19" i="57"/>
  <c r="T18" i="57"/>
  <c r="T17" i="57"/>
  <c r="T16" i="57"/>
  <c r="T15" i="57"/>
  <c r="T14" i="57"/>
  <c r="T13" i="57"/>
  <c r="O15" i="57"/>
  <c r="O14" i="57"/>
  <c r="O13" i="57"/>
  <c r="C24" i="57"/>
  <c r="J24" i="57"/>
  <c r="C23" i="57"/>
  <c r="J23" i="57"/>
  <c r="U22" i="57"/>
  <c r="N22" i="57" s="1"/>
  <c r="C22" i="57"/>
  <c r="J22" i="57"/>
  <c r="C21" i="57"/>
  <c r="J21" i="57"/>
  <c r="U20" i="57"/>
  <c r="N20" i="57" s="1"/>
  <c r="C20" i="57"/>
  <c r="J20" i="57"/>
  <c r="C19" i="57"/>
  <c r="J19" i="57"/>
  <c r="C18" i="57"/>
  <c r="J18" i="57"/>
  <c r="C17" i="57"/>
  <c r="J17" i="57"/>
  <c r="C16" i="57"/>
  <c r="J16" i="57"/>
  <c r="C15" i="57"/>
  <c r="J15" i="57"/>
  <c r="U14" i="57"/>
  <c r="N14" i="57" s="1"/>
  <c r="C14" i="57"/>
  <c r="J14" i="57"/>
  <c r="C13" i="57"/>
  <c r="J13" i="57"/>
  <c r="T12" i="57"/>
  <c r="T11" i="57"/>
  <c r="T10" i="57"/>
  <c r="T9" i="57"/>
  <c r="T8" i="57"/>
  <c r="O9" i="57"/>
  <c r="O41" i="58"/>
  <c r="O8" i="57"/>
  <c r="O7" i="57"/>
  <c r="U11" i="57"/>
  <c r="U10" i="57"/>
  <c r="U9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J9" i="57" l="1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G23" i="58"/>
  <c r="H23" i="58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X60" i="58" s="1" a="1"/>
  <c r="X60" i="58" s="1"/>
  <c r="Q42" i="58"/>
  <c r="W42" i="58" s="1"/>
  <c r="Q41" i="58"/>
  <c r="W41" i="58" s="1"/>
  <c r="W60" i="58" s="1" a="1"/>
  <c r="W60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60" i="58" s="1" a="1"/>
  <c r="V60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T60" i="58" s="1" a="1"/>
  <c r="T60" i="58" s="1"/>
  <c r="M41" i="58"/>
  <c r="S41" i="58" s="1"/>
  <c r="S60" i="58" s="1" a="1"/>
  <c r="S60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<sst xmlns="http://schemas.openxmlformats.org/spreadsheetml/2006/main" count="455" uniqueCount="243">
  <si>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</si>
  <si>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</si>
  <si>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</si>
  <si>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</si>
  <si>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</si>
  <si>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</si>
  <si>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</si>
  <si>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</si>
  <si>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</si>
  <si>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</si>
  <si>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</si>
  <si>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</si>
  <si>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</si>
  <si>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</si>
  <si>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</si>
  <si>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</si>
  <si>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</si>
  <si>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</si>
  <si>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</si>
  <si>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</si>
  <si>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</si>
  <si>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</si>
  <si>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</si>
  <si>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</si>
  <si>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</si>
  <si>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</si>
  <si>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</si>
  <si>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</si>
  <si>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</si>
  <si>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</si>
  <si>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</si>
  <si>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</si>
  <si>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</si>
  <si>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</si>
  <si>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</si>
  <si>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</si>
  <si>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</si>
  <si>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</si>
  <si>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</si>
  <si>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</si>
  <si>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</si>
  <si>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</si>
  <si>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</si>
  <si>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</si>
  <si>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</si>
  <si>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</si>
  <si>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</si>
  <si>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</si>
  <si>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</si>
  <si>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</si>
  <si>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</si>
  <si>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</si>
  <si>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</si>
  <si>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</si>
  <si>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</si>
  <si>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</si>
  <si>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</si>
  <si>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</si>
  <si>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</si>
  <si>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</si>
  <si>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</si>
  <si>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</si>
  <si>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</si>
  <si>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</si>
  <si>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</si>
  <si>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</si>
  <si>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</si>
  <si>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</si>
  <si>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</si>
  <si>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</si>
  <si>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</si>
  <si>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</si>
  <si>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</si>
  <si>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</si>
  <si>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</si>
  <si>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</si>
  <si>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</si>
  <si>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</si>
  <si>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</si>
  <si>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</si>
  <si>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</si>
  <si>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</si>
  <si>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</si>
  <si>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</si>
  <si>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</si>
  <si>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</si>
  <si>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</si>
  <si>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</si>
  <si>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</si>
  <si>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</si>
  <si>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</si>
  <si>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</si>
  <si>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</si>
  <si>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</si>
  <si>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</si>
  <si>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</si>
  <si>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</si>
  <si>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</si>
  <si>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</si>
  <si>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</si>
  <si>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</si>
  <si>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</si>
  <si>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</si>
  <si>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</si>
  <si>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</si>
  <si>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</si>
  <si>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</si>
  <si>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</si>
  <si>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</si>
  <si>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</si>
  <si>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</si>
  <si>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</si>
  <si>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</si>
  <si>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</si>
  <si>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</si>
  <si>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</si>
  <si>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</si>
  <si>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</si>
  <si>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</si>
  <si>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</si>
  <si>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</si>
  <si>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</si>
  <si>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</si>
  <si>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</si>
  <si>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</si>
  <si>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</si>
  <si>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</si>
  <si>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</si>
  <si>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</si>
  <si>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</si>
  <si>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</si>
  <si>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</si>
  <si>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</si>
  <si>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</si>
  <si>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</si>
  <si>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</si>
  <si>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</si>
  <si>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</si>
  <si>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</si>
  <si>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</si>
  <si>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</si>
  <si>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</si>
  <si>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</si>
  <si>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</si>
  <si>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</si>
  <si>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</si>
  <si>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</si>
  <si>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</si>
  <si>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</si>
  <si>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</si>
  <si>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</si>
  <si>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</si>
  <si>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</si>
  <si>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</si>
  <si>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</si>
  <si>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</si>
  <si>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</si>
  <si>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</si>
  <si>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</si>
  <si>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</si>
  <si>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</si>
  <si>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</si>
  <si>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</si>
  <si>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</si>
  <si>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</si>
  <si>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</si>
  <si>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</si>
  <si>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</si>
  <si>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</si>
  <si>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</si>
  <si>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</si>
  <si>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</si>
  <si>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</si>
  <si>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</si>
  <si>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</si>
  <si>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</si>
  <si>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</si>
  <si>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</si>
  <si>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</si>
  <si>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</si>
  <si>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</si>
  <si>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</si>
  <si>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</si>
  <si>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</si>
  <si>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</si>
  <si>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</si>
  <si>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</si>
  <si>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</si>
  <si>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</si>
  <si>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</si>
  <si>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</si>
  <si>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</si>
  <si>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</si>
  <si>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</si>
  <si>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</si>
  <si>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</si>
  <si>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</si>
  <si>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</si>
  <si>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</si>
  <si>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</si>
  <si>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</si>
  <si>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</si>
  <si>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</si>
  <si>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</si>
  <si>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</si>
  <si>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</si>
  <si>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</si>
  <si>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</si>
  <si>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</si>
  <si>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</si>
  <si>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</si>
  <si>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</si>
  <si>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</si>
  <si>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</si>
  <si>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</si>
  <si>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</si>
  <si>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</si>
  <si>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</si>
  <si>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</si>
  <si>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</si>
  <si>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</si>
  <si>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</si>
  <si>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</si>
  <si>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</si>
  <si>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</si>
  <si>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</si>
  <si>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</si>
  <si>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</si>
  <si>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</si>
  <si>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</si>
  <si>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</si>
  <si>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</si>
  <si>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</si>
  <si>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</si>
  <si>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</si>
  <si>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</si>
  <si>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</si>
  <si>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</si>
  <si>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</si>
  <si>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</si>
  <si>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</si>
  <si>
    <t>Percentage Extra</t>
  </si>
  <si>
    <t>Based on other data deep retrofit costs extra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</si>
</sst>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8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167" fontId="0" fillId="8" borderId="0" xfId="2" applyNumberFormat="1" applyFont="1" applyFill="1" applyAlignment="1">
      <alignment horizontal="left" indent="1"/>
    </xf>
    <xf numFmtId="9" fontId="8" fillId="0" borderId="0" xfId="2" applyFont="1" applyAlignment="1">
      <alignment horizontal="left" vertical="center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9" t="s">
        <v>206</v>
      </c>
      <c r="B16" s="209"/>
      <c r="C16" s="209"/>
      <c r="D16" s="209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8" t="s">
        <v>217</v>
      </c>
      <c r="C19" s="208"/>
      <c r="D19" s="208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8" t="s">
        <v>218</v>
      </c>
      <c r="C20" s="208"/>
      <c r="D20" s="208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8" t="s">
        <v>219</v>
      </c>
      <c r="C23" s="208"/>
      <c r="D23" s="208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8" t="s">
        <v>220</v>
      </c>
      <c r="C24" s="208"/>
      <c r="D24" s="208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8" t="s">
        <v>219</v>
      </c>
      <c r="C26" s="208"/>
      <c r="D26" s="208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8" t="s">
        <v>221</v>
      </c>
      <c r="C27" s="208"/>
      <c r="D27" s="208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10" t="s">
        <v>213</v>
      </c>
      <c r="C30" s="208"/>
      <c r="D30" s="208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8" t="s">
        <v>215</v>
      </c>
      <c r="C31" s="208"/>
      <c r="D31" s="208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11" t="s">
        <v>1</v>
      </c>
      <c r="C2" s="212"/>
      <c r="D2" s="212"/>
      <c r="E2" s="213"/>
      <c r="F2" s="124"/>
      <c r="H2" s="211" t="s">
        <v>2</v>
      </c>
      <c r="I2" s="213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11" t="s">
        <v>11</v>
      </c>
      <c r="I15" s="213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4" t="s">
        <v>49</v>
      </c>
      <c r="C20" s="215"/>
      <c r="D20" s="215"/>
      <c r="E20" s="216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11" t="s">
        <v>53</v>
      </c>
      <c r="C38" s="212"/>
      <c r="D38" s="212"/>
      <c r="E38" s="213"/>
      <c r="F38" s="124"/>
      <c r="H38" s="217" t="s">
        <v>50</v>
      </c>
      <c r="I38" s="218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topLeftCell="D1" zoomScaleNormal="100" workbookViewId="0">
      <selection activeCell="S30" sqref="S30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22" width="18.85546875" style="66" customWidth="1"/>
    <col min="23" max="16384" width="9.140625" style="66"/>
  </cols>
  <sheetData>
    <row r="1" spans="1:22" ht="21" x14ac:dyDescent="0.2">
      <c r="A1" s="60" t="s">
        <v>65</v>
      </c>
      <c r="B1" s="61"/>
    </row>
    <row r="2" spans="1:22" ht="18.75" x14ac:dyDescent="0.2">
      <c r="A2" s="62" t="s">
        <v>66</v>
      </c>
    </row>
    <row r="4" spans="1:22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2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  <c r="V5" s="1" t="s">
        <v>241</v>
      </c>
    </row>
    <row r="6" spans="1:22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  <c r="V6" s="201" t="s">
        <v>242</v>
      </c>
    </row>
    <row r="7" spans="1:22" ht="15.75" thickBot="1" x14ac:dyDescent="0.25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LEFT("RSDSH_"&amp;Q7,9)&amp;"-AB"</f>
        <v>RSDSH_Apt-AB</v>
      </c>
      <c r="L7" s="202">
        <v>2020</v>
      </c>
      <c r="M7" s="202">
        <v>50</v>
      </c>
      <c r="N7" s="202">
        <f>U7</f>
        <v>7.7661668114821741E-4</v>
      </c>
      <c r="O7" s="203">
        <f>Data!O39/1000</f>
        <v>11.5335</v>
      </c>
      <c r="P7" s="186"/>
      <c r="Q7" s="204" t="s">
        <v>223</v>
      </c>
      <c r="R7" s="204" t="s">
        <v>101</v>
      </c>
      <c r="S7" s="66">
        <v>1.4304686718308429E-2</v>
      </c>
      <c r="T7" s="205">
        <f>Data!R39</f>
        <v>5.4291065329954646E-2</v>
      </c>
      <c r="U7" s="204">
        <f>S7*T7</f>
        <v>7.7661668114821741E-4</v>
      </c>
      <c r="V7" s="207"/>
    </row>
    <row r="8" spans="1:22" ht="15.75" thickBot="1" x14ac:dyDescent="0.25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>LEFT("RSDSH_"&amp;Q8,9)&amp;"-C"</f>
        <v>RSDSH_Apt-C</v>
      </c>
      <c r="L8" s="184">
        <v>2020</v>
      </c>
      <c r="M8" s="202">
        <v>50</v>
      </c>
      <c r="N8" s="184">
        <f t="shared" ref="N8:N9" si="3">U8</f>
        <v>5.6507961350996572E-4</v>
      </c>
      <c r="O8" s="185">
        <f>Data!O39/1000</f>
        <v>11.5335</v>
      </c>
      <c r="P8" s="186"/>
      <c r="Q8" s="186" t="s">
        <v>224</v>
      </c>
      <c r="R8" s="186" t="s">
        <v>101</v>
      </c>
      <c r="S8" s="66">
        <v>1.0408335332447193E-2</v>
      </c>
      <c r="T8" s="187">
        <f>Data!R39</f>
        <v>5.4291065329954646E-2</v>
      </c>
      <c r="U8" s="186">
        <f>S8*T8</f>
        <v>5.6507961350996572E-4</v>
      </c>
      <c r="V8" s="207"/>
    </row>
    <row r="9" spans="1:22" ht="15.75" thickBot="1" x14ac:dyDescent="0.25">
      <c r="A9" s="63" t="s">
        <v>27</v>
      </c>
      <c r="B9" s="184" t="str">
        <f t="shared" si="2"/>
        <v>R-RTFT-Apt_D</v>
      </c>
      <c r="C9" s="184" t="str">
        <f t="shared" ref="C9:C14" si="4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5">B9</f>
        <v>R-RTFT-Apt_D</v>
      </c>
      <c r="K9" s="184" t="str">
        <f>LEFT("RSDSH_"&amp;Q9,9)&amp;"-D"</f>
        <v>RSDSH_Apt-D</v>
      </c>
      <c r="L9" s="184">
        <v>2020</v>
      </c>
      <c r="M9" s="202">
        <v>50</v>
      </c>
      <c r="N9" s="184">
        <f t="shared" si="3"/>
        <v>4.1735599619472851E-3</v>
      </c>
      <c r="O9" s="185">
        <f>Data!O41/1000</f>
        <v>11.5335</v>
      </c>
      <c r="P9" s="186"/>
      <c r="Q9" s="186" t="s">
        <v>225</v>
      </c>
      <c r="R9" s="186" t="s">
        <v>101</v>
      </c>
      <c r="S9" s="66">
        <v>1.1385571780841791E-2</v>
      </c>
      <c r="T9" s="187">
        <f>Data!R41</f>
        <v>0.36656568877551032</v>
      </c>
      <c r="U9" s="186">
        <f t="shared" ref="U9:U12" si="6">S9*T9</f>
        <v>4.1735599619472851E-3</v>
      </c>
      <c r="V9" s="207"/>
    </row>
    <row r="10" spans="1:22" ht="15.75" thickBot="1" x14ac:dyDescent="0.25">
      <c r="A10" s="68" t="s">
        <v>27</v>
      </c>
      <c r="B10" s="184" t="str">
        <f t="shared" si="2"/>
        <v>R-RTFT-Apt_E</v>
      </c>
      <c r="C10" s="184" t="str">
        <f t="shared" si="4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5"/>
        <v>R-RTFT-Apt_E</v>
      </c>
      <c r="K10" s="184" t="str">
        <f>LEFT("RSDSH_"&amp;Q10,9)&amp;"-E"</f>
        <v>RSDSH_Apt-E</v>
      </c>
      <c r="L10" s="184">
        <v>2020</v>
      </c>
      <c r="M10" s="202">
        <v>50</v>
      </c>
      <c r="N10" s="184">
        <f t="shared" ref="N10:N12" si="7">U10</f>
        <v>8.2884518803990805E-3</v>
      </c>
      <c r="O10" s="196">
        <f>(Data!O44/1000)*(1+V10)</f>
        <v>20.100960000000004</v>
      </c>
      <c r="P10" s="186"/>
      <c r="Q10" s="186" t="s">
        <v>226</v>
      </c>
      <c r="R10" s="186" t="s">
        <v>102</v>
      </c>
      <c r="S10" s="66">
        <v>1.5205527447148294E-2</v>
      </c>
      <c r="T10" s="187">
        <f>Data!R44</f>
        <v>0.5450946643717729</v>
      </c>
      <c r="U10" s="186">
        <f t="shared" si="6"/>
        <v>8.2884518803990805E-3</v>
      </c>
      <c r="V10" s="207">
        <v>0.1</v>
      </c>
    </row>
    <row r="11" spans="1:22" ht="15.75" thickBot="1" x14ac:dyDescent="0.25">
      <c r="A11" s="63" t="s">
        <v>27</v>
      </c>
      <c r="B11" s="184" t="str">
        <f t="shared" si="2"/>
        <v>R-RTFT-Apt_F</v>
      </c>
      <c r="C11" s="184" t="str">
        <f t="shared" si="4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5"/>
        <v>R-RTFT-Apt_F</v>
      </c>
      <c r="K11" s="184" t="str">
        <f>LEFT("RSDSH_"&amp;Q11,9)&amp;"-F"</f>
        <v>RSDSH_Apt-F</v>
      </c>
      <c r="L11" s="184">
        <v>2020</v>
      </c>
      <c r="M11" s="202">
        <v>50</v>
      </c>
      <c r="N11" s="184">
        <f t="shared" si="7"/>
        <v>1.3423627595443485E-2</v>
      </c>
      <c r="O11" s="196">
        <f>(Data!O48/1000)*(1+V11)</f>
        <v>23.95008</v>
      </c>
      <c r="P11" s="186"/>
      <c r="Q11" s="186" t="s">
        <v>227</v>
      </c>
      <c r="R11" s="186" t="s">
        <v>102</v>
      </c>
      <c r="S11" s="66">
        <v>2.0667534119407107E-2</v>
      </c>
      <c r="T11" s="187">
        <f>Data!R48</f>
        <v>0.64950310559006208</v>
      </c>
      <c r="U11" s="186">
        <f t="shared" si="6"/>
        <v>1.3423627595443485E-2</v>
      </c>
      <c r="V11" s="207">
        <v>0.2</v>
      </c>
    </row>
    <row r="12" spans="1:22" ht="15.75" thickBot="1" x14ac:dyDescent="0.25">
      <c r="A12" s="68" t="s">
        <v>27</v>
      </c>
      <c r="B12" s="195" t="str">
        <f t="shared" si="2"/>
        <v>R-RTFT-Apt_G</v>
      </c>
      <c r="C12" s="195" t="str">
        <f t="shared" si="4"/>
        <v>Residential Apt_G - Deep retrofit</v>
      </c>
      <c r="D12" s="195" t="s">
        <v>13</v>
      </c>
      <c r="E12" s="195" t="s">
        <v>64</v>
      </c>
      <c r="F12" s="195" t="s">
        <v>188</v>
      </c>
      <c r="G12" s="184"/>
      <c r="H12" s="195"/>
      <c r="I12" s="195"/>
      <c r="J12" s="195" t="str">
        <f t="shared" si="5"/>
        <v>R-RTFT-Apt_G</v>
      </c>
      <c r="K12" s="195" t="str">
        <f>LEFT("RSDSH_"&amp;Q12,9)&amp;"-G"</f>
        <v>RSDSH_Apt-G</v>
      </c>
      <c r="L12" s="195">
        <v>2020</v>
      </c>
      <c r="M12" s="202">
        <v>50</v>
      </c>
      <c r="N12" s="195">
        <f t="shared" si="7"/>
        <v>1.6533815454634553E-2</v>
      </c>
      <c r="O12" s="196">
        <f>(Data!O53/1000)*(1+V12)</f>
        <v>26.943840000000002</v>
      </c>
      <c r="P12" s="186"/>
      <c r="Q12" s="197" t="s">
        <v>228</v>
      </c>
      <c r="R12" s="197" t="s">
        <v>102</v>
      </c>
      <c r="S12" s="66">
        <v>2.497409406685069E-2</v>
      </c>
      <c r="T12" s="198">
        <f>Data!R53</f>
        <v>0.66203864734299511</v>
      </c>
      <c r="U12" s="197">
        <f t="shared" si="6"/>
        <v>1.6533815454634553E-2</v>
      </c>
      <c r="V12" s="207">
        <v>0.35</v>
      </c>
    </row>
    <row r="13" spans="1:22" ht="15.75" thickBot="1" x14ac:dyDescent="0.25">
      <c r="A13" s="63" t="s">
        <v>27</v>
      </c>
      <c r="B13" s="202" t="str">
        <f t="shared" si="2"/>
        <v>R-RTFT-Att_B3</v>
      </c>
      <c r="C13" s="202" t="str">
        <f t="shared" si="4"/>
        <v>Residential Att_B3 - Shallow retrofit</v>
      </c>
      <c r="D13" s="202" t="s">
        <v>13</v>
      </c>
      <c r="E13" s="202" t="s">
        <v>64</v>
      </c>
      <c r="F13" s="202" t="s">
        <v>188</v>
      </c>
      <c r="G13" s="184"/>
      <c r="H13" s="202"/>
      <c r="I13" s="202"/>
      <c r="J13" s="202" t="str">
        <f t="shared" si="5"/>
        <v>R-RTFT-Att_B3</v>
      </c>
      <c r="K13" s="202" t="str">
        <f>LEFT("RSDSH_"&amp;Q13,9)&amp;"-AB"</f>
        <v>RSDSH_Att-AB</v>
      </c>
      <c r="L13" s="202">
        <v>2020</v>
      </c>
      <c r="M13" s="202">
        <v>50</v>
      </c>
      <c r="N13" s="202">
        <f>U13</f>
        <v>1.7351329068959851E-3</v>
      </c>
      <c r="O13" s="203">
        <f>Data!M39/1000</f>
        <v>9.0075000000000003</v>
      </c>
      <c r="Q13" s="204" t="s">
        <v>229</v>
      </c>
      <c r="R13" s="204" t="s">
        <v>101</v>
      </c>
      <c r="S13" s="186">
        <v>2.4173067251062635E-2</v>
      </c>
      <c r="T13" s="205">
        <f>Data!P39</f>
        <v>7.1779592092092059E-2</v>
      </c>
      <c r="U13" s="204">
        <f>S13*T13</f>
        <v>1.7351329068959851E-3</v>
      </c>
      <c r="V13" s="207"/>
    </row>
    <row r="14" spans="1:22" ht="15.75" thickBot="1" x14ac:dyDescent="0.25">
      <c r="A14" s="68" t="s">
        <v>27</v>
      </c>
      <c r="B14" s="184" t="str">
        <f t="shared" si="2"/>
        <v>R-RTFT-Att_C</v>
      </c>
      <c r="C14" s="184" t="str">
        <f t="shared" si="4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5"/>
        <v>R-RTFT-Att_C</v>
      </c>
      <c r="K14" s="184" t="str">
        <f>LEFT("RSDSH_"&amp;Q14,9)&amp;"-C"</f>
        <v>RSDSH_Att-C</v>
      </c>
      <c r="L14" s="184">
        <v>2020</v>
      </c>
      <c r="M14" s="202">
        <v>50</v>
      </c>
      <c r="N14" s="184">
        <f t="shared" ref="N14:N18" si="8">U14</f>
        <v>1.4767673624826536E-3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66">
        <v>2.0573638264591763E-2</v>
      </c>
      <c r="T14" s="187">
        <f>Data!P39</f>
        <v>7.1779592092092059E-2</v>
      </c>
      <c r="U14" s="186">
        <f>S14*T14</f>
        <v>1.4767673624826536E-3</v>
      </c>
      <c r="V14" s="207"/>
    </row>
    <row r="15" spans="1:22" ht="15.75" thickBot="1" x14ac:dyDescent="0.25">
      <c r="A15" s="63" t="s">
        <v>27</v>
      </c>
      <c r="B15" s="184" t="str">
        <f t="shared" si="2"/>
        <v>R-RTFT-Att_D</v>
      </c>
      <c r="C15" s="184" t="str">
        <f t="shared" ref="C15:C20" si="9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0">B15</f>
        <v>R-RTFT-Att_D</v>
      </c>
      <c r="K15" s="184" t="str">
        <f>LEFT("RSDSH_"&amp;Q15,9)&amp;"-D"</f>
        <v>RSDSH_Att-D</v>
      </c>
      <c r="L15" s="184">
        <v>2020</v>
      </c>
      <c r="M15" s="202">
        <v>50</v>
      </c>
      <c r="N15" s="184">
        <f t="shared" si="8"/>
        <v>1.158897873793953E-2</v>
      </c>
      <c r="O15" s="185">
        <f>Data!M41/1000</f>
        <v>12.815</v>
      </c>
      <c r="P15" s="186"/>
      <c r="Q15" s="186" t="s">
        <v>231</v>
      </c>
      <c r="R15" s="186" t="s">
        <v>101</v>
      </c>
      <c r="S15" s="66">
        <v>2.9346241415119621E-2</v>
      </c>
      <c r="T15" s="187">
        <f>Data!P41</f>
        <v>0.39490504334121357</v>
      </c>
      <c r="U15" s="186">
        <f t="shared" ref="U15:U18" si="11">S15*T15</f>
        <v>1.158897873793953E-2</v>
      </c>
      <c r="V15" s="207"/>
    </row>
    <row r="16" spans="1:22" ht="15.75" thickBot="1" x14ac:dyDescent="0.25">
      <c r="A16" s="68" t="s">
        <v>27</v>
      </c>
      <c r="B16" s="184" t="str">
        <f t="shared" si="2"/>
        <v>R-RTFT-Att_E</v>
      </c>
      <c r="C16" s="184" t="str">
        <f t="shared" si="9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0"/>
        <v>R-RTFT-Att_E</v>
      </c>
      <c r="K16" s="184" t="str">
        <f>LEFT("RSDSH_"&amp;Q16,9)&amp;"-E"</f>
        <v>RSDSH_Att-E</v>
      </c>
      <c r="L16" s="184">
        <v>2020</v>
      </c>
      <c r="M16" s="202">
        <v>50</v>
      </c>
      <c r="N16" s="184">
        <f t="shared" si="8"/>
        <v>2.2075128651129185E-2</v>
      </c>
      <c r="O16" s="196">
        <f>(Data!M44/1000)*(1+V16)</f>
        <v>22.334399999999999</v>
      </c>
      <c r="P16" s="186"/>
      <c r="Q16" s="186" t="s">
        <v>232</v>
      </c>
      <c r="R16" s="186" t="s">
        <v>102</v>
      </c>
      <c r="S16" s="66">
        <v>4.0014361861481003E-2</v>
      </c>
      <c r="T16" s="187">
        <f>Data!P44</f>
        <v>0.55168013743533795</v>
      </c>
      <c r="U16" s="186">
        <f t="shared" si="11"/>
        <v>2.2075128651129185E-2</v>
      </c>
      <c r="V16" s="207">
        <v>0.1</v>
      </c>
    </row>
    <row r="17" spans="1:26" ht="15.75" thickBot="1" x14ac:dyDescent="0.25">
      <c r="A17" s="63" t="s">
        <v>27</v>
      </c>
      <c r="B17" s="184" t="str">
        <f t="shared" si="2"/>
        <v>R-RTFT-Att_F</v>
      </c>
      <c r="C17" s="184" t="str">
        <f t="shared" si="9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0"/>
        <v>R-RTFT-Att_F</v>
      </c>
      <c r="K17" s="184" t="str">
        <f>LEFT("RSDSH_"&amp;Q17,9)&amp;"-F"</f>
        <v>RSDSH_Att-F</v>
      </c>
      <c r="L17" s="184">
        <v>2020</v>
      </c>
      <c r="M17" s="202">
        <v>50</v>
      </c>
      <c r="N17" s="184">
        <f>U17</f>
        <v>3.3422042455488611E-2</v>
      </c>
      <c r="O17" s="196">
        <f>(Data!M48/1000)*(1+V17)</f>
        <v>26.611199999999997</v>
      </c>
      <c r="P17" s="186"/>
      <c r="Q17" s="186" t="s">
        <v>233</v>
      </c>
      <c r="R17" s="186" t="s">
        <v>102</v>
      </c>
      <c r="S17" s="66">
        <v>5.1112754924902158E-2</v>
      </c>
      <c r="T17" s="187">
        <f>Data!P48</f>
        <v>0.65388849621966627</v>
      </c>
      <c r="U17" s="186">
        <f t="shared" si="11"/>
        <v>3.3422042455488611E-2</v>
      </c>
      <c r="V17" s="207">
        <v>0.2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9"/>
        <v>Residential Att_G - Deep retrofit</v>
      </c>
      <c r="D18" s="195" t="s">
        <v>13</v>
      </c>
      <c r="E18" s="195" t="s">
        <v>64</v>
      </c>
      <c r="F18" s="195" t="s">
        <v>188</v>
      </c>
      <c r="G18" s="184"/>
      <c r="H18" s="195"/>
      <c r="I18" s="195"/>
      <c r="J18" s="195" t="str">
        <f t="shared" si="10"/>
        <v>R-RTFT-Att_G</v>
      </c>
      <c r="K18" s="195" t="str">
        <f>LEFT("RSDSH_"&amp;Q18,9)&amp;"-G"</f>
        <v>RSDSH_Att-G</v>
      </c>
      <c r="L18" s="195">
        <v>2020</v>
      </c>
      <c r="M18" s="202">
        <v>50</v>
      </c>
      <c r="N18" s="195">
        <f t="shared" si="8"/>
        <v>3.4292348738938973E-2</v>
      </c>
      <c r="O18" s="196">
        <f>(Data!M53/1000)*(1+V18)</f>
        <v>29.9376</v>
      </c>
      <c r="P18" s="186"/>
      <c r="Q18" s="197" t="s">
        <v>234</v>
      </c>
      <c r="R18" s="197" t="s">
        <v>102</v>
      </c>
      <c r="S18" s="66">
        <v>5.2836261064159319E-2</v>
      </c>
      <c r="T18" s="198">
        <f>Data!P53</f>
        <v>0.64903057196453795</v>
      </c>
      <c r="U18" s="197">
        <f t="shared" si="11"/>
        <v>3.4292348738938973E-2</v>
      </c>
      <c r="V18" s="207">
        <v>0.35</v>
      </c>
    </row>
    <row r="19" spans="1:26" ht="15.75" thickBot="1" x14ac:dyDescent="0.25">
      <c r="A19" s="63" t="s">
        <v>27</v>
      </c>
      <c r="B19" s="202" t="str">
        <f t="shared" si="2"/>
        <v>R-RTFT-Det_B3</v>
      </c>
      <c r="C19" s="202" t="str">
        <f t="shared" si="9"/>
        <v>Residential Det_B3 - Shallow retrofit</v>
      </c>
      <c r="D19" s="202" t="s">
        <v>13</v>
      </c>
      <c r="E19" s="202" t="s">
        <v>64</v>
      </c>
      <c r="F19" s="202" t="s">
        <v>188</v>
      </c>
      <c r="G19" s="184"/>
      <c r="H19" s="202"/>
      <c r="I19" s="202"/>
      <c r="J19" s="202" t="str">
        <f t="shared" si="10"/>
        <v>R-RTFT-Det_B3</v>
      </c>
      <c r="K19" s="202" t="str">
        <f>LEFT("RSDSH_"&amp;Q19,9)&amp;"-AB"</f>
        <v>RSDSH_Det-AB</v>
      </c>
      <c r="L19" s="202">
        <v>2020</v>
      </c>
      <c r="M19" s="202">
        <v>50</v>
      </c>
      <c r="N19" s="202">
        <f>U19</f>
        <v>4.7302606585568566E-3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66">
        <v>5.7350545892960458E-2</v>
      </c>
      <c r="T19" s="205">
        <f>Data!Q39</f>
        <v>8.2479784366576991E-2</v>
      </c>
      <c r="U19" s="204">
        <f>S19*T19</f>
        <v>4.7302606585568566E-3</v>
      </c>
      <c r="V19" s="207"/>
    </row>
    <row r="20" spans="1:26" ht="15.75" thickBot="1" x14ac:dyDescent="0.25">
      <c r="A20" s="68" t="s">
        <v>27</v>
      </c>
      <c r="B20" s="184" t="str">
        <f t="shared" si="2"/>
        <v>R-RTFT-Det_C</v>
      </c>
      <c r="C20" s="184" t="str">
        <f t="shared" si="9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0"/>
        <v>R-RTFT-Det_C</v>
      </c>
      <c r="K20" s="184" t="str">
        <f>LEFT("RSDSH_"&amp;Q20,9)&amp;"-C"</f>
        <v>RSDSH_Det-C</v>
      </c>
      <c r="L20" s="184">
        <v>2020</v>
      </c>
      <c r="M20" s="202">
        <v>50</v>
      </c>
      <c r="N20" s="184">
        <f t="shared" ref="N20:N24" si="12">U20</f>
        <v>3.4880235913390704E-3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66">
        <v>4.2289436352509556E-2</v>
      </c>
      <c r="T20" s="187">
        <f>Data!Q39</f>
        <v>8.2479784366576991E-2</v>
      </c>
      <c r="U20" s="186">
        <f>S20*T20</f>
        <v>3.4880235913390704E-3</v>
      </c>
      <c r="V20" s="207"/>
    </row>
    <row r="21" spans="1:26" ht="15.75" thickBot="1" x14ac:dyDescent="0.25">
      <c r="A21" s="63" t="s">
        <v>27</v>
      </c>
      <c r="B21" s="184" t="str">
        <f t="shared" si="2"/>
        <v>R-RTFT-Det_D</v>
      </c>
      <c r="C21" s="184" t="str">
        <f t="shared" ref="C21:C24" si="13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4">B21</f>
        <v>R-RTFT-Det_D</v>
      </c>
      <c r="K21" s="184" t="str">
        <f>LEFT("RSDSH_"&amp;Q21,9)&amp;"-D"</f>
        <v>RSDSH_Det-D</v>
      </c>
      <c r="L21" s="184">
        <v>2020</v>
      </c>
      <c r="M21" s="202">
        <v>50</v>
      </c>
      <c r="N21" s="184">
        <f t="shared" si="12"/>
        <v>1.9945744160653683E-2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66">
        <v>4.954362024013631E-2</v>
      </c>
      <c r="T21" s="187">
        <f>Data!Q41</f>
        <v>0.40258955772665206</v>
      </c>
      <c r="U21" s="186">
        <f t="shared" ref="U21:U24" si="15">S21*T21</f>
        <v>1.9945744160653683E-2</v>
      </c>
      <c r="V21" s="207"/>
    </row>
    <row r="22" spans="1:26" ht="15.75" thickBot="1" x14ac:dyDescent="0.25">
      <c r="A22" s="68" t="s">
        <v>27</v>
      </c>
      <c r="B22" s="184" t="str">
        <f t="shared" si="2"/>
        <v>R-RTFT-Det_E</v>
      </c>
      <c r="C22" s="184" t="str">
        <f t="shared" si="13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4"/>
        <v>R-RTFT-Det_E</v>
      </c>
      <c r="K22" s="184" t="str">
        <f>LEFT("RSDSH_"&amp;Q22,9)&amp;"-E"</f>
        <v>RSDSH_Det-E</v>
      </c>
      <c r="L22" s="184">
        <v>2020</v>
      </c>
      <c r="M22" s="202">
        <v>50</v>
      </c>
      <c r="N22" s="184">
        <f t="shared" si="12"/>
        <v>3.4489478571996135E-2</v>
      </c>
      <c r="O22" s="196">
        <f>(Data!N44/1000)*(1+V22)</f>
        <v>24.567840000000004</v>
      </c>
      <c r="P22" s="186"/>
      <c r="Q22" s="186" t="s">
        <v>238</v>
      </c>
      <c r="R22" s="186" t="s">
        <v>102</v>
      </c>
      <c r="S22" s="66">
        <v>6.2234591699865838E-2</v>
      </c>
      <c r="T22" s="187">
        <f>Data!Q44</f>
        <v>0.55418502202643172</v>
      </c>
      <c r="U22" s="186">
        <f t="shared" si="15"/>
        <v>3.4489478571996135E-2</v>
      </c>
      <c r="V22" s="207">
        <v>0.1</v>
      </c>
    </row>
    <row r="23" spans="1:26" ht="15.75" thickBot="1" x14ac:dyDescent="0.25">
      <c r="A23" s="63" t="s">
        <v>27</v>
      </c>
      <c r="B23" s="184" t="str">
        <f t="shared" si="2"/>
        <v>R-RTFT-Det_F</v>
      </c>
      <c r="C23" s="184" t="str">
        <f t="shared" si="13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4"/>
        <v>R-RTFT-Det_F</v>
      </c>
      <c r="K23" s="184" t="str">
        <f>LEFT("RSDSH_"&amp;Q23,9)&amp;"-F"</f>
        <v>RSDSH_Det-F</v>
      </c>
      <c r="L23" s="184">
        <v>2020</v>
      </c>
      <c r="M23" s="202">
        <v>50</v>
      </c>
      <c r="N23" s="184">
        <f t="shared" si="12"/>
        <v>4.939185199641144E-2</v>
      </c>
      <c r="O23" s="196">
        <f>(Data!N48/1000)*(1+V23)</f>
        <v>29.272320000000001</v>
      </c>
      <c r="P23" s="186"/>
      <c r="Q23" s="186" t="s">
        <v>239</v>
      </c>
      <c r="R23" s="186" t="s">
        <v>102</v>
      </c>
      <c r="S23" s="66">
        <v>7.6045597890621042E-2</v>
      </c>
      <c r="T23" s="187">
        <f>Data!R48</f>
        <v>0.64950310559006208</v>
      </c>
      <c r="U23" s="186">
        <f t="shared" si="15"/>
        <v>4.939185199641144E-2</v>
      </c>
      <c r="V23" s="207">
        <v>0.2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3"/>
        <v>Residential Det_G - Deep retrofit</v>
      </c>
      <c r="D24" s="195" t="s">
        <v>13</v>
      </c>
      <c r="E24" s="195" t="s">
        <v>64</v>
      </c>
      <c r="F24" s="195" t="s">
        <v>188</v>
      </c>
      <c r="G24" s="184"/>
      <c r="H24" s="195"/>
      <c r="I24" s="195"/>
      <c r="J24" s="195" t="str">
        <f t="shared" si="14"/>
        <v>R-RTFT-Det_G</v>
      </c>
      <c r="K24" s="195" t="str">
        <f>LEFT("RSDSH_"&amp;Q24,9)&amp;"-G"</f>
        <v>RSDSH_Det-G</v>
      </c>
      <c r="L24" s="195">
        <v>2020</v>
      </c>
      <c r="M24" s="202">
        <v>50</v>
      </c>
      <c r="N24" s="195">
        <f t="shared" si="12"/>
        <v>5.2917082120671262E-2</v>
      </c>
      <c r="O24" s="196">
        <f>(Data!N53/1000)*(1+V24)</f>
        <v>32.931360000000005</v>
      </c>
      <c r="P24" s="186"/>
      <c r="Q24" s="197" t="s">
        <v>240</v>
      </c>
      <c r="R24" s="197" t="s">
        <v>102</v>
      </c>
      <c r="S24" s="66">
        <v>7.9930503050006221E-2</v>
      </c>
      <c r="T24" s="198">
        <f>Data!R53</f>
        <v>0.66203864734299511</v>
      </c>
      <c r="U24" s="197">
        <f t="shared" si="15"/>
        <v>5.2917082120671262E-2</v>
      </c>
      <c r="V24" s="207">
        <v>0.35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K13" zoomScale="80" zoomScaleNormal="80" workbookViewId="0">
      <selection activeCell="AA33" sqref="AA33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2" t="s">
        <v>167</v>
      </c>
      <c r="M2" s="223"/>
      <c r="N2" s="224"/>
      <c r="O2" s="222" t="s">
        <v>168</v>
      </c>
      <c r="P2" s="223"/>
      <c r="Q2" s="224"/>
      <c r="R2" s="222" t="s">
        <v>178</v>
      </c>
      <c r="S2" s="223"/>
      <c r="T2" s="224"/>
      <c r="AD2" s="102" t="s">
        <v>171</v>
      </c>
    </row>
    <row r="3" spans="3:42" ht="21.75" thickBot="1" x14ac:dyDescent="0.25">
      <c r="C3" s="221" t="s">
        <v>156</v>
      </c>
      <c r="D3" s="221"/>
      <c r="E3" s="221"/>
      <c r="F3" s="221"/>
      <c r="G3" s="221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72528.642938868245</v>
      </c>
      <c r="E5" s="77">
        <v>37364.451209178158</v>
      </c>
      <c r="F5" s="77">
        <v>11735.038424732089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6727.4572369101443</v>
      </c>
      <c r="E6" s="82">
        <v>8186.7925913057998</v>
      </c>
      <c r="F6" s="82">
        <v>5197.6132443555907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14584.48055403824</v>
      </c>
      <c r="E7" s="87">
        <v>18974.694526816245</v>
      </c>
      <c r="F7" s="87">
        <v>13979.419134898935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49420.927051735707</v>
      </c>
      <c r="E8" s="82">
        <v>54549.088898874157</v>
      </c>
      <c r="F8" s="82">
        <v>21709.86153487581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293672.95873330871</v>
      </c>
      <c r="E9" s="87">
        <v>264765.40185365622</v>
      </c>
      <c r="F9" s="87">
        <v>71167.091754613168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175920.34461876052</v>
      </c>
      <c r="E10" s="82">
        <v>166984.19754801539</v>
      </c>
      <c r="F10" s="82">
        <v>47490.854787158918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85755.437936808186</v>
      </c>
      <c r="E11" s="87">
        <v>74836.881491341002</v>
      </c>
      <c r="F11" s="87">
        <v>23790.684938210514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38588.997221862926</v>
      </c>
      <c r="E12" s="82">
        <v>37368.747662299225</v>
      </c>
      <c r="F12" s="82">
        <v>8010.7993972868508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38905.107366988203</v>
      </c>
      <c r="E13" s="96">
        <v>66469.176419880765</v>
      </c>
      <c r="F13" s="96">
        <v>8658.126308421115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v>776104.35365928081</v>
      </c>
      <c r="E14" s="108">
        <v>729499.43220136687</v>
      </c>
      <c r="F14" s="108">
        <v>211739.48952455298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93840.580729816618</v>
      </c>
      <c r="G18" s="108">
        <f t="shared" ref="G18:H18" si="7">SUM(E5:E7)</f>
        <v>64525.938327300202</v>
      </c>
      <c r="H18" s="108">
        <f t="shared" si="7"/>
        <v>30912.070803986615</v>
      </c>
      <c r="L18" s="100" t="s">
        <v>169</v>
      </c>
      <c r="N18" t="s">
        <v>204</v>
      </c>
      <c r="O18" s="75" t="s">
        <v>111</v>
      </c>
      <c r="P18" s="164">
        <f t="shared" ref="P18:P25" si="8">1-W4/$W$12</f>
        <v>0.82657317923529827</v>
      </c>
      <c r="Q18" s="165">
        <f t="shared" ref="Q18:Q24" si="9">1-W4/$W$11</f>
        <v>0.73202753715113</v>
      </c>
      <c r="R18" s="165">
        <f t="shared" ref="R18:R23" si="10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519014.23040380492</v>
      </c>
      <c r="G19" s="108">
        <f t="shared" ref="G19:H19" si="11">SUM(E8:E10)</f>
        <v>486298.68830054579</v>
      </c>
      <c r="H19" s="108">
        <f t="shared" si="11"/>
        <v>140367.8080766479</v>
      </c>
      <c r="O19" s="192" t="s">
        <v>114</v>
      </c>
      <c r="P19" s="164">
        <f t="shared" si="8"/>
        <v>0.79158454239957576</v>
      </c>
      <c r="Q19" s="165">
        <f t="shared" si="9"/>
        <v>0.67796443927935268</v>
      </c>
      <c r="R19" s="165">
        <f t="shared" si="10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163249.54252565932</v>
      </c>
      <c r="G20" s="108">
        <f t="shared" ref="G20:H20" si="12">SUM(E11:E13)</f>
        <v>178674.80557352101</v>
      </c>
      <c r="H20" s="108">
        <f t="shared" si="12"/>
        <v>40459.61064391848</v>
      </c>
      <c r="O20" s="194" t="s">
        <v>115</v>
      </c>
      <c r="P20" s="188">
        <f t="shared" si="8"/>
        <v>0.73294667697694738</v>
      </c>
      <c r="Q20" s="189">
        <f t="shared" si="9"/>
        <v>0.58735946166276198</v>
      </c>
      <c r="R20" s="189">
        <f t="shared" si="10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776104.35365928081</v>
      </c>
      <c r="G21" s="66"/>
      <c r="O21" s="193" t="s">
        <v>116</v>
      </c>
      <c r="P21" s="165">
        <f t="shared" si="8"/>
        <v>0.67711162025267657</v>
      </c>
      <c r="Q21" s="165">
        <f t="shared" si="9"/>
        <v>0.50108527640274758</v>
      </c>
      <c r="R21" s="165">
        <f t="shared" si="10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8"/>
        <v>0.72141928210057427</v>
      </c>
      <c r="Q22" s="165">
        <f t="shared" si="9"/>
        <v>0.56954777381867572</v>
      </c>
      <c r="R22" s="165">
        <f t="shared" si="10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0.12091232356494906</v>
      </c>
      <c r="G23" s="122">
        <f>G18/$E$14</f>
        <v>8.84523489382084E-2</v>
      </c>
      <c r="H23" s="122">
        <f>H18/$F$14</f>
        <v>0.14599105189777128</v>
      </c>
      <c r="O23" s="80" t="s">
        <v>122</v>
      </c>
      <c r="P23" s="165">
        <f t="shared" si="8"/>
        <v>0.60126424040662463</v>
      </c>
      <c r="Q23" s="165">
        <f t="shared" si="9"/>
        <v>0.38388881804434616</v>
      </c>
      <c r="R23" s="166">
        <f t="shared" si="10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206">
        <f>F19/$D$14</f>
        <v>0.66874284103250692</v>
      </c>
      <c r="G24" s="206">
        <f t="shared" ref="G24:G25" si="13">G19/$E$14</f>
        <v>0.66661969404564347</v>
      </c>
      <c r="H24" s="206">
        <f t="shared" ref="H24:H25" si="14">H19/$F$14</f>
        <v>0.66292692209580051</v>
      </c>
      <c r="O24" s="85" t="s">
        <v>125</v>
      </c>
      <c r="P24" s="165">
        <f t="shared" si="8"/>
        <v>0.47167717486503269</v>
      </c>
      <c r="Q24" s="166">
        <f t="shared" si="9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ref="F25" si="15">F20/$D$14</f>
        <v>0.21034483540254412</v>
      </c>
      <c r="G25" s="122">
        <f t="shared" si="13"/>
        <v>0.24492795701614833</v>
      </c>
      <c r="H25" s="122">
        <f t="shared" si="14"/>
        <v>0.19108202600642829</v>
      </c>
      <c r="O25" s="80" t="s">
        <v>127</v>
      </c>
      <c r="P25" s="166">
        <f t="shared" si="8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5" t="s">
        <v>155</v>
      </c>
      <c r="D29" s="226"/>
      <c r="E29" s="226"/>
      <c r="F29" s="226"/>
      <c r="G29" s="227"/>
      <c r="H29" s="225" t="s">
        <v>174</v>
      </c>
      <c r="I29" s="226"/>
      <c r="J29" s="226"/>
      <c r="K29" s="226"/>
      <c r="L29" s="227"/>
      <c r="M29" s="219" t="s">
        <v>182</v>
      </c>
      <c r="N29" s="220"/>
      <c r="O29" s="220"/>
      <c r="P29" s="219" t="s">
        <v>183</v>
      </c>
      <c r="Q29" s="220"/>
      <c r="R29" s="220"/>
      <c r="S29" s="219" t="s">
        <v>184</v>
      </c>
      <c r="T29" s="220"/>
      <c r="U29" s="220"/>
      <c r="V29" s="219" t="s">
        <v>184</v>
      </c>
      <c r="W29" s="220"/>
      <c r="X29" s="220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6">SUM(E31:F31)</f>
        <v>21064</v>
      </c>
      <c r="H31" s="109"/>
      <c r="I31" s="109"/>
      <c r="J31" s="109"/>
      <c r="K31" s="109"/>
      <c r="L31" s="109"/>
      <c r="M31" s="109">
        <f t="shared" ref="M31:M44" si="17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6"/>
        <v>30424</v>
      </c>
      <c r="H32" s="110"/>
      <c r="I32" s="110"/>
      <c r="J32" s="110"/>
      <c r="K32" s="110"/>
      <c r="L32" s="110"/>
      <c r="M32" s="110">
        <f t="shared" si="17"/>
        <v>30424</v>
      </c>
      <c r="N32" s="110">
        <f t="shared" ref="N32:N57" si="18">AVERAGE(G32*1.1,J32:K32)</f>
        <v>33466.400000000001</v>
      </c>
      <c r="O32" s="110">
        <f t="shared" ref="O32:O57" si="19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6"/>
        <v>30424</v>
      </c>
      <c r="H33" s="110"/>
      <c r="I33" s="110"/>
      <c r="J33" s="110"/>
      <c r="K33" s="110"/>
      <c r="L33" s="110"/>
      <c r="M33" s="110">
        <f t="shared" si="17"/>
        <v>30424</v>
      </c>
      <c r="N33" s="110">
        <f t="shared" si="18"/>
        <v>33466.400000000001</v>
      </c>
      <c r="O33" s="110">
        <f t="shared" si="19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6"/>
        <v>32297</v>
      </c>
      <c r="H34" s="110"/>
      <c r="I34" s="110"/>
      <c r="J34" s="110"/>
      <c r="K34" s="110"/>
      <c r="L34" s="110"/>
      <c r="M34" s="110">
        <f t="shared" si="17"/>
        <v>32297</v>
      </c>
      <c r="N34" s="110">
        <f t="shared" si="18"/>
        <v>35526.700000000004</v>
      </c>
      <c r="O34" s="110">
        <f t="shared" si="19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6"/>
        <v>34169</v>
      </c>
      <c r="H35" s="110"/>
      <c r="I35" s="110"/>
      <c r="J35" s="110"/>
      <c r="K35" s="110"/>
      <c r="L35" s="110"/>
      <c r="M35" s="110">
        <f t="shared" si="17"/>
        <v>34169</v>
      </c>
      <c r="N35" s="110">
        <f t="shared" si="18"/>
        <v>37585.9</v>
      </c>
      <c r="O35" s="110">
        <f t="shared" si="19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6"/>
        <v>36041</v>
      </c>
      <c r="H36" s="110"/>
      <c r="I36" s="110"/>
      <c r="J36" s="110"/>
      <c r="K36" s="110"/>
      <c r="L36" s="110"/>
      <c r="M36" s="110">
        <f t="shared" si="17"/>
        <v>36041</v>
      </c>
      <c r="N36" s="110">
        <f t="shared" si="18"/>
        <v>39645.100000000006</v>
      </c>
      <c r="O36" s="110">
        <f t="shared" si="19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6"/>
        <v>21064</v>
      </c>
      <c r="H37" s="111"/>
      <c r="I37" s="111"/>
      <c r="J37" s="111"/>
      <c r="K37" s="111"/>
      <c r="L37" s="111"/>
      <c r="M37" s="111">
        <f t="shared" si="17"/>
        <v>21064</v>
      </c>
      <c r="N37" s="111">
        <f t="shared" si="18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2117.6357317974011</v>
      </c>
      <c r="T37" s="111">
        <f>SUM(E6:E8)/SUM(E6:E13)*N37</f>
        <v>2735.4010164753909</v>
      </c>
      <c r="U37" s="111">
        <f>SUM(F6:F8)/SUM(F6:F13)*O37</f>
        <v>3875.5006491313611</v>
      </c>
      <c r="V37" s="116">
        <f>SUM(D6:D8)/SUM(D6:D13)*P37</f>
        <v>3.7854627285159995E-2</v>
      </c>
      <c r="W37" s="116">
        <f>SUM(E6:E8)/SUM(E6:E13)*Q37</f>
        <v>4.5411264516486083E-2</v>
      </c>
      <c r="X37" s="116">
        <f>SUM(F6:F8)/SUM(F6:F13)*R37</f>
        <v>7.2925293056876742E-2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6"/>
        <v>30424</v>
      </c>
      <c r="H38" s="109"/>
      <c r="I38" s="109"/>
      <c r="J38" s="109"/>
      <c r="K38" s="109"/>
      <c r="L38" s="109"/>
      <c r="M38" s="109">
        <f t="shared" si="17"/>
        <v>30424</v>
      </c>
      <c r="N38" s="109">
        <f t="shared" si="18"/>
        <v>33466.400000000001</v>
      </c>
      <c r="O38" s="109">
        <f t="shared" si="19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12698.997364979621</v>
      </c>
      <c r="T38" s="109">
        <f t="shared" ref="T38:U38" si="20">SUM(E9)/SUM(E6:E13)*N38</f>
        <v>12802.047415510126</v>
      </c>
      <c r="U38" s="109">
        <f t="shared" si="20"/>
        <v>9743.1273597783511</v>
      </c>
      <c r="V38" s="117">
        <f>SUM(D9)/SUM(D6:D13)*P38</f>
        <v>0.17584657319383612</v>
      </c>
      <c r="W38" s="117">
        <f>SUM(E9)/SUM(E6:E13)*Q38</f>
        <v>0.1665601879774431</v>
      </c>
      <c r="X38" s="117">
        <f>SUM(F9)/SUM(F6:F13)*R38</f>
        <v>0.13935957953822425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6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8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3759.7363517306708</v>
      </c>
      <c r="T39" s="111">
        <f>E9/SUM(E6:E13)*N39</f>
        <v>5392.3953993479572</v>
      </c>
      <c r="U39" s="111">
        <f>F9/SUM(F6:F13)*O39</f>
        <v>4103.9369285945158</v>
      </c>
      <c r="V39" s="116">
        <f>D9/SUM(D6:D13)*P39</f>
        <v>2.9960848370917337E-2</v>
      </c>
      <c r="W39" s="116">
        <f t="shared" ref="W39:X39" si="21">E9/SUM(E6:E13)*Q39</f>
        <v>3.1551350317989668E-2</v>
      </c>
      <c r="X39" s="116">
        <f t="shared" si="21"/>
        <v>1.931825620152931E-2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6"/>
        <v>30424</v>
      </c>
      <c r="H40" s="110"/>
      <c r="I40" s="110"/>
      <c r="J40" s="110"/>
      <c r="K40" s="110"/>
      <c r="L40" s="110"/>
      <c r="M40" s="110">
        <f t="shared" si="17"/>
        <v>30424</v>
      </c>
      <c r="N40" s="110">
        <f t="shared" si="18"/>
        <v>33466.400000000001</v>
      </c>
      <c r="O40" s="110">
        <f t="shared" si="19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7607.1423204773337</v>
      </c>
      <c r="T40" s="109">
        <f>SUM(E10)/SUM(E6:E13)*N40</f>
        <v>8074.0897401398215</v>
      </c>
      <c r="U40" s="109">
        <f>SUM(F10)/SUM(F6:F13)*O40</f>
        <v>6501.7332478818789</v>
      </c>
      <c r="V40" s="117">
        <f>SUM(D10)/SUM(D6:D13)*P40</f>
        <v>0.15570992165467307</v>
      </c>
      <c r="W40" s="117">
        <f>SUM(E10)/SUM(E6:E13)*Q40</f>
        <v>0.15256990215734015</v>
      </c>
      <c r="X40" s="117">
        <f>SUM(F10)/SUM(F6:F13)*R40</f>
        <v>0.14069508836678235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6"/>
        <v>12815</v>
      </c>
      <c r="H41" s="109"/>
      <c r="I41" s="109"/>
      <c r="J41" s="109"/>
      <c r="K41" s="109"/>
      <c r="L41" s="109"/>
      <c r="M41" s="109">
        <f t="shared" si="17"/>
        <v>12815</v>
      </c>
      <c r="N41" s="109">
        <f t="shared" si="18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3204.2311608242517</v>
      </c>
      <c r="T41" s="109">
        <f t="shared" ref="T41:U41" si="22">SUM(E10)/SUM(E6:E13)*N41</f>
        <v>3400.915725081903</v>
      </c>
      <c r="U41" s="109">
        <f t="shared" si="22"/>
        <v>2738.6179191298406</v>
      </c>
      <c r="V41" s="117">
        <f>SUM(D10)/SUM(D6:D13)*P41</f>
        <v>9.8741088212295602E-2</v>
      </c>
      <c r="W41" s="117">
        <f t="shared" ref="W41:X41" si="23">SUM(E10)/SUM(E6:E13)*Q41</f>
        <v>9.7128589197768192E-2</v>
      </c>
      <c r="X41" s="117">
        <f t="shared" si="23"/>
        <v>8.704065234480296E-2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6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7"/>
        <v>7536.333333333333</v>
      </c>
      <c r="N42" s="111">
        <f t="shared" si="18"/>
        <v>19569.95</v>
      </c>
      <c r="O42" s="111">
        <f t="shared" si="19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1884.366297699974</v>
      </c>
      <c r="T42" s="111">
        <f>E10/SUM(E6:E13)*N42</f>
        <v>4721.437994826133</v>
      </c>
      <c r="U42" s="111">
        <f>F10/SUM(F6:F13)*O42</f>
        <v>1775.6672875575377</v>
      </c>
      <c r="V42" s="116">
        <f>D10/SUM(D6:D13)*P42</f>
        <v>8.7041282883796645E-2</v>
      </c>
      <c r="W42" s="116">
        <f t="shared" ref="W42:X42" si="24">E10/SUM(E6:E13)*Q42</f>
        <v>8.4172042666428804E-2</v>
      </c>
      <c r="X42" s="116">
        <f t="shared" si="24"/>
        <v>7.8406041257469861E-2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6"/>
        <v>32297</v>
      </c>
      <c r="H43" s="110"/>
      <c r="I43" s="110"/>
      <c r="J43" s="110"/>
      <c r="K43" s="110"/>
      <c r="L43" s="110"/>
      <c r="M43" s="110">
        <f t="shared" si="17"/>
        <v>32297</v>
      </c>
      <c r="N43" s="110">
        <f t="shared" si="18"/>
        <v>35526.700000000004</v>
      </c>
      <c r="O43" s="110">
        <f t="shared" si="19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3936.5250062557898</v>
      </c>
      <c r="T43" s="109">
        <f t="shared" ref="T43" si="25">SUM(E$11)/SUM(E$6:E$13)*N43</f>
        <v>3841.3134875326136</v>
      </c>
      <c r="U43" s="109">
        <f t="shared" ref="U43" si="26">SUM(F$11)/SUM(F$6:F$13)*O43</f>
        <v>3457.5779313996768</v>
      </c>
      <c r="V43" s="117">
        <f>SUM(D$11)/SUM(D$6:D$13)*P43</f>
        <v>8.7816978543367979E-2</v>
      </c>
      <c r="W43" s="117">
        <f t="shared" ref="W43" si="27">SUM(E$11)/SUM(E$6:E$13)*Q43</f>
        <v>7.8463045576761065E-2</v>
      </c>
      <c r="X43" s="117">
        <f t="shared" ref="X43" si="28">SUM(F$11)/SUM(F$6:F$13)*R43</f>
        <v>8.4142310926528657E-2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6"/>
        <v>20304</v>
      </c>
      <c r="H44" s="109"/>
      <c r="I44" s="109"/>
      <c r="J44" s="109"/>
      <c r="K44" s="109"/>
      <c r="L44" s="109"/>
      <c r="M44" s="109">
        <f t="shared" si="17"/>
        <v>20304</v>
      </c>
      <c r="N44" s="109">
        <f t="shared" si="18"/>
        <v>22334.400000000001</v>
      </c>
      <c r="O44" s="109">
        <f t="shared" si="19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2474.756284701909</v>
      </c>
      <c r="T44" s="109">
        <f t="shared" ref="T44:U44" si="29">SUM(E$11)/SUM(E$6:E$13)*N44</f>
        <v>2414.9001161365509</v>
      </c>
      <c r="U44" s="109">
        <f t="shared" si="29"/>
        <v>2173.6589255701474</v>
      </c>
      <c r="V44" s="117">
        <f>SUM(D$11)/SUM(D$6:D$13)*P44</f>
        <v>6.7241621713126254E-2</v>
      </c>
      <c r="W44" s="117">
        <f t="shared" ref="W44:X44" si="30">SUM(E$11)/SUM(E$6:E$13)*Q44</f>
        <v>5.9921084696824937E-2</v>
      </c>
      <c r="X44" s="117">
        <f t="shared" si="30"/>
        <v>6.483943407387531E-2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6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1">AVERAGE(G45:I45)</f>
        <v>19363</v>
      </c>
      <c r="N45" s="110">
        <f t="shared" si="18"/>
        <v>15409.3</v>
      </c>
      <c r="O45" s="110">
        <f t="shared" si="19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2360.062349324422</v>
      </c>
      <c r="T45" s="109">
        <f t="shared" ref="T45" si="32">SUM(E$11)/SUM(E$6:E$13)*N45</f>
        <v>1666.125813076821</v>
      </c>
      <c r="U45" s="109">
        <f t="shared" ref="U45" si="33">SUM(F$11)/SUM(F$6:F$13)*O45</f>
        <v>1490.8576732412268</v>
      </c>
      <c r="V45" s="117">
        <f>SUM(D$11)/SUM(D$6:D$13)*P45</f>
        <v>6.3016018783732961E-2</v>
      </c>
      <c r="W45" s="117">
        <f t="shared" ref="W45" si="34">SUM(E$11)/SUM(E$6:E$13)*Q45</f>
        <v>5.5587857972949344E-2</v>
      </c>
      <c r="X45" s="117">
        <f t="shared" ref="X45" si="35">SUM(F$11)/SUM(F$6:F$13)*R45</f>
        <v>6.1733021131223753E-2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6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1"/>
        <v>12682.5</v>
      </c>
      <c r="N46" s="111">
        <f t="shared" si="18"/>
        <v>10160.5</v>
      </c>
      <c r="O46" s="111">
        <f t="shared" si="19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1545.8085392401479</v>
      </c>
      <c r="T46" s="111">
        <f>E11/SUM(E6:E13)*N46</f>
        <v>1098.6009308513067</v>
      </c>
      <c r="U46" s="111">
        <f>F11/SUM(F6:F13)*O46</f>
        <v>1409.3882858122038</v>
      </c>
      <c r="V46" s="116">
        <f>D11/SUM(D6:D13)*P46</f>
        <v>3.1579435900083372E-2</v>
      </c>
      <c r="W46" s="116">
        <f t="shared" ref="W46:X46" si="36">E11/SUM(E6:E13)*Q46</f>
        <v>2.7437104699062805E-2</v>
      </c>
      <c r="X46" s="116">
        <f t="shared" si="36"/>
        <v>3.3525434375917755E-2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6"/>
        <v>34169</v>
      </c>
      <c r="H47" s="110"/>
      <c r="I47" s="110"/>
      <c r="J47" s="110"/>
      <c r="K47" s="110"/>
      <c r="L47" s="110"/>
      <c r="M47" s="110">
        <f t="shared" si="31"/>
        <v>34169</v>
      </c>
      <c r="N47" s="110">
        <f t="shared" si="18"/>
        <v>37585.9</v>
      </c>
      <c r="O47" s="110">
        <f t="shared" si="19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1874.0661821934323</v>
      </c>
      <c r="T47" s="109">
        <f t="shared" ref="T47" si="37">SUM(E$12)/SUM(E$6:E$13)*N47</f>
        <v>2029.2833787232948</v>
      </c>
      <c r="U47" s="109">
        <f t="shared" ref="U47" si="38">SUM(F$12)/SUM(F$6:F$13)*O47</f>
        <v>1231.7171082475254</v>
      </c>
      <c r="V47" s="117">
        <f>SUM(D$12)/SUM(D$6:D$13)*P47</f>
        <v>4.3011683975648654E-2</v>
      </c>
      <c r="W47" s="117">
        <f t="shared" ref="W47" si="39">SUM(E$12)/SUM(E$6:E$13)*Q47</f>
        <v>4.2421895810569189E-2</v>
      </c>
      <c r="X47" s="117">
        <f t="shared" ref="X47" si="40">SUM(F$12)/SUM(F$6:F$13)*R47</f>
        <v>3.1022498549049531E-2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6"/>
        <v>22176</v>
      </c>
      <c r="H48" s="109"/>
      <c r="I48" s="109"/>
      <c r="J48" s="109"/>
      <c r="K48" s="109"/>
      <c r="L48" s="109"/>
      <c r="M48" s="109">
        <f t="shared" si="31"/>
        <v>22176</v>
      </c>
      <c r="N48" s="109">
        <f t="shared" si="18"/>
        <v>24393.600000000002</v>
      </c>
      <c r="O48" s="109">
        <f t="shared" si="19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1216.2864484275674</v>
      </c>
      <c r="T48" s="109">
        <f t="shared" ref="T48:U48" si="41">SUM(E$12)/SUM(E$6:E$13)*N48</f>
        <v>1317.0238580750911</v>
      </c>
      <c r="U48" s="109">
        <f t="shared" si="41"/>
        <v>799.39590249925732</v>
      </c>
      <c r="V48" s="117">
        <f>SUM(D$12)/SUM(D$6:D$13)*P48</f>
        <v>3.5863803965307577E-2</v>
      </c>
      <c r="W48" s="117">
        <f t="shared" ref="W48:X48" si="42">SUM(E$12)/SUM(E$6:E$13)*Q48</f>
        <v>3.5190148964855929E-2</v>
      </c>
      <c r="X48" s="117">
        <f t="shared" si="42"/>
        <v>2.6014616465710582E-2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6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1"/>
        <v>13399</v>
      </c>
      <c r="N49" s="110">
        <f t="shared" si="18"/>
        <v>26376.400000000001</v>
      </c>
      <c r="O49" s="110">
        <f t="shared" si="19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734.8945762302028</v>
      </c>
      <c r="T49" s="109">
        <f t="shared" ref="T49:T50" si="43">SUM(E$12)/SUM(E$6:E$13)*N49</f>
        <v>1424.076318793939</v>
      </c>
      <c r="U49" s="109">
        <f t="shared" ref="U49:U50" si="44">SUM(F$12)/SUM(F$6:F$13)*O49</f>
        <v>569.48306582265809</v>
      </c>
      <c r="V49" s="117">
        <f>SUM(D$12)/SUM(D$6:D$13)*P49</f>
        <v>3.4395829292506036E-2</v>
      </c>
      <c r="W49" s="117">
        <f t="shared" ref="W49:W50" si="45">SUM(E$12)/SUM(E$6:E$13)*Q49</f>
        <v>3.3500101245789886E-2</v>
      </c>
      <c r="X49" s="117">
        <f t="shared" ref="X49:X50" si="46">SUM(F$12)/SUM(F$6:F$13)*R49</f>
        <v>2.5208697750189246E-2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6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1"/>
        <v>10146.5</v>
      </c>
      <c r="N50" s="110">
        <f t="shared" si="18"/>
        <v>15711.150000000001</v>
      </c>
      <c r="O50" s="110">
        <f t="shared" si="19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556.50480018805524</v>
      </c>
      <c r="T50" s="109">
        <f t="shared" si="43"/>
        <v>848.25361520220338</v>
      </c>
      <c r="U50" s="109">
        <f t="shared" si="44"/>
        <v>407.08774922998344</v>
      </c>
      <c r="V50" s="117">
        <f>SUM(D$12)/SUM(D$6:D$13)*P50</f>
        <v>2.3474758798253538E-2</v>
      </c>
      <c r="W50" s="117">
        <f t="shared" si="45"/>
        <v>2.2520727353723811E-2</v>
      </c>
      <c r="X50" s="117">
        <f t="shared" si="46"/>
        <v>1.7890603695897622E-2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6"/>
        <v>8660</v>
      </c>
      <c r="H51" s="111">
        <v>1000</v>
      </c>
      <c r="I51" s="111"/>
      <c r="J51" s="111"/>
      <c r="K51" s="111"/>
      <c r="L51" s="111"/>
      <c r="M51" s="111">
        <f t="shared" si="31"/>
        <v>4830</v>
      </c>
      <c r="N51" s="111">
        <f t="shared" si="18"/>
        <v>9526</v>
      </c>
      <c r="O51" s="111">
        <f t="shared" si="19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264.91087418403458</v>
      </c>
      <c r="T51" s="111">
        <f>E12/SUM(E6:E13)*N51</f>
        <v>514.31397055060825</v>
      </c>
      <c r="U51" s="111">
        <f>F12/SUM(F6:F13)*O51</f>
        <v>312.17390492620706</v>
      </c>
      <c r="V51" s="116">
        <f>D12/SUM(D6:D13)*P51</f>
        <v>1.2504061158819128E-2</v>
      </c>
      <c r="W51" s="116">
        <f t="shared" ref="W51:X51" si="47">E12/SUM(E6:E13)*Q51</f>
        <v>1.1819691112316563E-2</v>
      </c>
      <c r="X51" s="116">
        <f t="shared" si="47"/>
        <v>9.1928627617924516E-3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6"/>
        <v>36041</v>
      </c>
      <c r="H52" s="110"/>
      <c r="I52" s="110"/>
      <c r="J52" s="110"/>
      <c r="K52" s="110"/>
      <c r="L52" s="110"/>
      <c r="M52" s="110">
        <f t="shared" si="31"/>
        <v>36041</v>
      </c>
      <c r="N52" s="110">
        <f t="shared" si="18"/>
        <v>39645.100000000006</v>
      </c>
      <c r="O52" s="110">
        <f t="shared" si="19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6"/>
        <v>22176</v>
      </c>
      <c r="H53" s="109"/>
      <c r="I53" s="109"/>
      <c r="J53" s="109"/>
      <c r="K53" s="109"/>
      <c r="L53" s="109"/>
      <c r="M53" s="109">
        <f t="shared" si="31"/>
        <v>22176</v>
      </c>
      <c r="N53" s="109">
        <f t="shared" si="18"/>
        <v>24393.600000000002</v>
      </c>
      <c r="O53" s="109">
        <f t="shared" si="19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1226.2499228219867</v>
      </c>
      <c r="T53" s="109">
        <f t="shared" ref="T53:U53" si="48">SUM(E$13)/SUM(E$6:E$13)*N48</f>
        <v>2342.6391476293584</v>
      </c>
      <c r="U53" s="109">
        <f t="shared" si="48"/>
        <v>863.9925119853832</v>
      </c>
      <c r="V53" s="117">
        <f>SUM(D$13)/SUM(D$6:D$13)*P53</f>
        <v>3.5888965042416329E-2</v>
      </c>
      <c r="W53" s="117">
        <f t="shared" ref="W53:X53" si="49">SUM(E$13)/SUM(E$6:E$13)*Q53</f>
        <v>6.2552464774712421E-2</v>
      </c>
      <c r="X53" s="117">
        <f t="shared" si="49"/>
        <v>2.8659433318767014E-2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6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1"/>
        <v>19649</v>
      </c>
      <c r="N54" s="110">
        <f t="shared" si="18"/>
        <v>17377.800000000003</v>
      </c>
      <c r="O54" s="110">
        <f t="shared" si="19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740.9146246343704</v>
      </c>
      <c r="T54" s="109">
        <f t="shared" ref="T54:T56" si="50">SUM(E$13)/SUM(E$6:E$13)*N49</f>
        <v>2533.0573270665668</v>
      </c>
      <c r="U54" s="109">
        <f t="shared" ref="U54:U56" si="51">SUM(F$13)/SUM(F$6:F$13)*O49</f>
        <v>615.50115910647025</v>
      </c>
      <c r="V54" s="117">
        <f t="shared" ref="V54:V56" si="52">SUM(D$13)/SUM(D$6:D$13)*P54</f>
        <v>3.438819227180645E-2</v>
      </c>
      <c r="W54" s="117">
        <f t="shared" ref="W54:W56" si="53">SUM(E$13)/SUM(E$6:E$13)*Q54</f>
        <v>5.9542578489696511E-2</v>
      </c>
      <c r="X54" s="117">
        <f t="shared" ref="X54:X56" si="54">SUM(F$13)/SUM(F$6:F$13)*R54</f>
        <v>2.7819543788630819E-2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6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1"/>
        <v>18864.333333333332</v>
      </c>
      <c r="N55" s="110">
        <f t="shared" si="18"/>
        <v>21853.15</v>
      </c>
      <c r="O55" s="110">
        <f t="shared" si="19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561.06353002855735</v>
      </c>
      <c r="T55" s="109">
        <f t="shared" si="50"/>
        <v>1508.8201431636576</v>
      </c>
      <c r="U55" s="109">
        <f t="shared" si="51"/>
        <v>439.98319975879025</v>
      </c>
      <c r="V55" s="117">
        <f t="shared" si="52"/>
        <v>2.322311869979065E-2</v>
      </c>
      <c r="W55" s="117">
        <f t="shared" si="53"/>
        <v>3.9988889843523931E-2</v>
      </c>
      <c r="X55" s="117">
        <f t="shared" si="54"/>
        <v>2.0192979895303817E-2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6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1"/>
        <v>12830</v>
      </c>
      <c r="N56" s="110">
        <f t="shared" si="18"/>
        <v>17208.666666666668</v>
      </c>
      <c r="O56" s="110">
        <f t="shared" si="19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267.08094909948574</v>
      </c>
      <c r="T56" s="109">
        <f t="shared" si="50"/>
        <v>914.82932081846332</v>
      </c>
      <c r="U56" s="109">
        <f t="shared" si="51"/>
        <v>337.39967324104521</v>
      </c>
      <c r="V56" s="117">
        <f t="shared" si="52"/>
        <v>1.2007309192372105E-2</v>
      </c>
      <c r="W56" s="117">
        <f t="shared" si="53"/>
        <v>2.0930905944543061E-2</v>
      </c>
      <c r="X56" s="117">
        <f t="shared" si="54"/>
        <v>1.1128614710948488E-2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1"/>
        <v>2128</v>
      </c>
      <c r="N57" s="112">
        <f t="shared" si="18"/>
        <v>1600</v>
      </c>
      <c r="O57" s="112">
        <f t="shared" si="19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117.67044713948357</v>
      </c>
      <c r="T57" s="111">
        <f>E13/SUM(E6:E13)*N57</f>
        <v>153.65598502094701</v>
      </c>
      <c r="U57" s="111">
        <f>F13/SUM(F6:F13)*O57</f>
        <v>47.618634919829319</v>
      </c>
      <c r="V57" s="116">
        <f>D13/SUM(D6:D13)*P57</f>
        <v>-7.7612287691757639E-4</v>
      </c>
      <c r="W57" s="116">
        <f t="shared" ref="W57:X57" si="55">E13/SUM(E6:E13)*Q57</f>
        <v>-1.193435666045894E-4</v>
      </c>
      <c r="X57" s="116">
        <f t="shared" si="55"/>
        <v>1.5482574901662033E-3</v>
      </c>
    </row>
    <row r="59" spans="3:24" x14ac:dyDescent="0.2">
      <c r="S59" s="120">
        <f>SUM(S37,S39,S42,S46,S51,S57)</f>
        <v>9690.1282417917137</v>
      </c>
      <c r="T59" s="120">
        <f t="shared" ref="T59:U59" si="56">SUM(T37,T39,T42,T46,T51,T57)</f>
        <v>14615.805297072342</v>
      </c>
      <c r="U59" s="120">
        <f t="shared" si="56"/>
        <v>11524.285690941653</v>
      </c>
      <c r="V59" s="119">
        <f>SUM(V37,V39,V42,V46,V51,V57)</f>
        <v>0.1981641327218589</v>
      </c>
      <c r="W59" s="119">
        <f t="shared" ref="W59:X59" si="57">SUM(W37,W39,W42,W46,W51,W57)</f>
        <v>0.20027210974567933</v>
      </c>
      <c r="X59" s="119">
        <f t="shared" si="57"/>
        <v>0.21491614514375235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22822.730577463703</v>
      </c>
      <c r="T60" s="167" cm="1">
        <f t="array" ref="T60">T38+AVERAGE(T40:T41)+AVERAGE(T43:T45)+AVERAGE(T47:T50+AVERAGE(T53:T56))</f>
        <v>24409.825731071127</v>
      </c>
      <c r="U60" s="167" cm="1">
        <f t="array" ref="U60">U38+AVERAGE(U40:U41)+AVERAGE(U43:U45)+AVERAGE(U47:U50+AVERAGE(U53:U56))</f>
        <v>18053.474545827339</v>
      </c>
      <c r="V60" s="121" cm="1">
        <f t="array" ref="V60">V38+AVERAGE(V40:V41)+AVERAGE(V43:V45)+AVERAGE(V47:V50+AVERAGE(V53:V56))</f>
        <v>0.43632703311692156</v>
      </c>
      <c r="W60" s="121" cm="1">
        <f t="array" ref="W60">W38+AVERAGE(W40:W41)+AVERAGE(W43:W45)+AVERAGE(W47:W50+AVERAGE(W53:W56))</f>
        <v>0.43522869117736274</v>
      </c>
      <c r="X60" s="121" cm="1">
        <f t="array" ref="X60">X38+AVERAGE(X40:X41)+AVERAGE(X43:X45)+AVERAGE(X47:X50+AVERAGE(X53:X56))</f>
        <v>0.37044995231485045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2023-08-31T11:13:56Z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571590602397918</vt:r8>
  </property>
</Properties>
</file>