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3E40615C-132A-444E-86BA-4E7B3809E67F}" xr6:coauthVersionLast="45" xr6:coauthVersionMax="47" xr10:uidLastSave="{00000000-0000-0000-0000-000000000000}"/>
  <bookViews>
    <workbookView xWindow="-120" yWindow="-120" windowWidth="29040" windowHeight="15840" firstSheet="6" activeTab="12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24" i="28" l="1"/>
  <c r="W24" i="28" s="1"/>
  <c r="W24" i="51"/>
  <c r="C17" i="54" l="1"/>
  <c r="BC96" i="27" l="1"/>
  <c r="BC92" i="27"/>
  <c r="AB39" i="52" l="1"/>
  <c r="U33" i="52" l="1"/>
  <c r="T7" i="52"/>
  <c r="AB13" i="28"/>
  <c r="W7" i="28" l="1"/>
  <c r="V60" i="28"/>
  <c r="V59" i="28"/>
  <c r="V51" i="28"/>
  <c r="V49" i="28"/>
  <c r="V46" i="28"/>
  <c r="V44" i="28"/>
  <c r="V34" i="28"/>
  <c r="V35" i="28"/>
  <c r="V36" i="28"/>
  <c r="V37" i="28"/>
  <c r="V40" i="28"/>
  <c r="V33" i="28"/>
  <c r="V23" i="28"/>
  <c r="V20" i="28"/>
  <c r="V18" i="28"/>
  <c r="V16" i="28"/>
  <c r="V8" i="28"/>
  <c r="V9" i="28"/>
  <c r="V10" i="28"/>
  <c r="V11" i="28"/>
  <c r="V14" i="28"/>
  <c r="V7" i="28"/>
  <c r="V60" i="51"/>
  <c r="V59" i="51"/>
  <c r="V49" i="51"/>
  <c r="V46" i="51"/>
  <c r="V44" i="51"/>
  <c r="V34" i="51"/>
  <c r="V35" i="51"/>
  <c r="V36" i="51"/>
  <c r="V37" i="51"/>
  <c r="V40" i="51"/>
  <c r="V33" i="51"/>
  <c r="V23" i="51"/>
  <c r="V20" i="51"/>
  <c r="V18" i="51"/>
  <c r="V16" i="51"/>
  <c r="V8" i="51"/>
  <c r="V9" i="51"/>
  <c r="V10" i="51"/>
  <c r="V11" i="51"/>
  <c r="V14" i="51"/>
  <c r="V7" i="51"/>
  <c r="V60" i="52"/>
  <c r="V59" i="52"/>
  <c r="V49" i="52"/>
  <c r="V46" i="52"/>
  <c r="V44" i="52"/>
  <c r="V40" i="52"/>
  <c r="V36" i="52"/>
  <c r="V37" i="52"/>
  <c r="V35" i="52"/>
  <c r="V34" i="52"/>
  <c r="V33" i="52"/>
  <c r="V23" i="52"/>
  <c r="V20" i="52"/>
  <c r="V18" i="52"/>
  <c r="V16" i="52"/>
  <c r="V14" i="52"/>
  <c r="V8" i="52"/>
  <c r="V9" i="52"/>
  <c r="V10" i="52"/>
  <c r="V11" i="52"/>
  <c r="L17" i="54" l="1"/>
  <c r="H6" i="56" l="1"/>
  <c r="H11" i="56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O19" i="27"/>
  <c r="H141" i="56"/>
  <c r="I6" i="56" l="1"/>
  <c r="AG6" i="28" l="1"/>
  <c r="T37" i="48"/>
  <c r="T27" i="48"/>
  <c r="D26" i="48"/>
  <c r="C26" i="48"/>
  <c r="AS12" i="48"/>
  <c r="AR12" i="48"/>
  <c r="F12" i="48"/>
  <c r="AG10" i="48"/>
  <c r="V10" i="48"/>
  <c r="AR7" i="48"/>
  <c r="AM7" i="48"/>
  <c r="AL7" i="48"/>
  <c r="AK7" i="48"/>
  <c r="AG7" i="48"/>
  <c r="V7" i="48"/>
  <c r="D7" i="48"/>
  <c r="C7" i="48"/>
  <c r="F131" i="56"/>
  <c r="AH12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D121" i="56"/>
  <c r="C121" i="56"/>
  <c r="D209" i="56" s="1"/>
  <c r="BQ77" i="56"/>
  <c r="BT77" i="56" s="1"/>
  <c r="AH71" i="56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D66" i="56"/>
  <c r="C66" i="56"/>
  <c r="D199" i="56" s="1"/>
  <c r="BQ63" i="56"/>
  <c r="BQ48" i="56"/>
  <c r="BH35" i="56"/>
  <c r="AH21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D11" i="56"/>
  <c r="C11" i="56"/>
  <c r="D189" i="56" s="1"/>
  <c r="E5" i="3"/>
  <c r="F34" i="9"/>
  <c r="E34" i="9"/>
  <c r="P31" i="9"/>
  <c r="O31" i="9"/>
  <c r="P28" i="9"/>
  <c r="O28" i="9"/>
  <c r="F27" i="9"/>
  <c r="E27" i="9"/>
  <c r="C8" i="3" s="1"/>
  <c r="C27" i="9"/>
  <c r="P25" i="9"/>
  <c r="O25" i="9"/>
  <c r="A25" i="9"/>
  <c r="P22" i="9"/>
  <c r="O22" i="9"/>
  <c r="P19" i="9"/>
  <c r="O19" i="9"/>
  <c r="C17" i="9"/>
  <c r="P16" i="9"/>
  <c r="O16" i="9"/>
  <c r="F15" i="9"/>
  <c r="E15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Z27" i="22"/>
  <c r="AD26" i="22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C27" i="43"/>
  <c r="F25" i="9" s="1"/>
  <c r="B27" i="43"/>
  <c r="E25" i="9" s="1"/>
  <c r="C16" i="43"/>
  <c r="B16" i="43"/>
  <c r="A13" i="43"/>
  <c r="Y38" i="22"/>
  <c r="Y37" i="22"/>
  <c r="Y36" i="22"/>
  <c r="Y35" i="22"/>
  <c r="P37" i="9"/>
  <c r="O37" i="9"/>
  <c r="C37" i="9"/>
  <c r="P34" i="9"/>
  <c r="O34" i="9"/>
  <c r="L18" i="54"/>
  <c r="C18" i="54"/>
  <c r="L7" i="54"/>
  <c r="E7" i="54"/>
  <c r="C7" i="54"/>
  <c r="K7" i="54" s="1"/>
  <c r="AQ47" i="24" l="1"/>
  <c r="AQ70" i="24"/>
  <c r="AQ37" i="24"/>
  <c r="AQ67" i="24"/>
  <c r="AQ71" i="24"/>
  <c r="M47" i="45"/>
  <c r="M27" i="45"/>
  <c r="BU77" i="56"/>
  <c r="AV27" i="45"/>
  <c r="AO27" i="45"/>
  <c r="AV37" i="45"/>
  <c r="BR77" i="56"/>
  <c r="AO37" i="45"/>
  <c r="AV47" i="45"/>
  <c r="BS77" i="56"/>
  <c r="AO47" i="45"/>
  <c r="K17" i="54" l="1"/>
  <c r="B15" i="54" l="1"/>
  <c r="J14" i="54" l="1"/>
  <c r="J9" i="54"/>
  <c r="K18" i="54" l="1"/>
  <c r="B18" i="54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R11" i="51" s="1"/>
  <c r="AX52" i="56"/>
  <c r="AX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20" i="52" l="1"/>
  <c r="M20" i="51"/>
  <c r="M20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F146" i="56"/>
  <c r="F141" i="56"/>
  <c r="F136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O14" i="9" l="1"/>
  <c r="O12" i="9"/>
  <c r="O11" i="9"/>
  <c r="O9" i="9"/>
  <c r="O26" i="9"/>
  <c r="O24" i="9"/>
  <c r="O23" i="9"/>
  <c r="O21" i="9"/>
  <c r="P20" i="9"/>
  <c r="O20" i="9"/>
  <c r="P18" i="9"/>
  <c r="O18" i="9"/>
  <c r="O17" i="9"/>
  <c r="O15" i="9"/>
  <c r="P23" i="9"/>
  <c r="P21" i="9"/>
  <c r="P17" i="9"/>
  <c r="P15" i="9"/>
  <c r="P14" i="9"/>
  <c r="P12" i="9"/>
  <c r="P11" i="9"/>
  <c r="P9" i="9"/>
  <c r="R38" i="51" l="1"/>
  <c r="R37" i="51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R8" i="28" l="1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2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W38" i="28" s="1"/>
  <c r="V38" i="28" s="1"/>
  <c r="Y37" i="28"/>
  <c r="Y36" i="28"/>
  <c r="Y35" i="28"/>
  <c r="Y34" i="28"/>
  <c r="Y33" i="28"/>
  <c r="Y23" i="28"/>
  <c r="Y20" i="28"/>
  <c r="Y18" i="28"/>
  <c r="Y16" i="28"/>
  <c r="Y14" i="28"/>
  <c r="Y12" i="28"/>
  <c r="W12" i="28" s="1"/>
  <c r="V12" i="28" s="1"/>
  <c r="Y11" i="28"/>
  <c r="Y10" i="28"/>
  <c r="Y9" i="28"/>
  <c r="Y8" i="28"/>
  <c r="Y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38" i="9"/>
  <c r="AS13" i="48" s="1"/>
  <c r="F37" i="9"/>
  <c r="F36" i="9"/>
  <c r="AS11" i="48" s="1"/>
  <c r="F35" i="9"/>
  <c r="AS10" i="48" s="1"/>
  <c r="AS9" i="48"/>
  <c r="F33" i="9"/>
  <c r="F32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2" s="1"/>
  <c r="Q51" i="51"/>
  <c r="O30" i="9"/>
  <c r="O29" i="9"/>
  <c r="O27" i="9"/>
  <c r="O8" i="9"/>
  <c r="P8" i="9"/>
  <c r="O6" i="9"/>
  <c r="P6" i="9"/>
  <c r="E38" i="9"/>
  <c r="AR13" i="48" s="1"/>
  <c r="AR9" i="48"/>
  <c r="E35" i="9"/>
  <c r="AR10" i="48" s="1"/>
  <c r="E36" i="9"/>
  <c r="AR11" i="48" s="1"/>
  <c r="E37" i="9"/>
  <c r="E33" i="9"/>
  <c r="E32" i="9"/>
  <c r="AR5" i="48" s="1"/>
  <c r="C5" i="48" s="1"/>
  <c r="F8" i="48" l="1"/>
  <c r="F7" i="48"/>
  <c r="AR8" i="48"/>
  <c r="C8" i="48" s="1"/>
  <c r="AR6" i="48"/>
  <c r="C6" i="48" s="1"/>
  <c r="AS6" i="48"/>
  <c r="D6" i="48" s="1"/>
  <c r="AS8" i="48"/>
  <c r="D8" i="48" s="1"/>
  <c r="AS7" i="48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H59" i="51" l="1"/>
  <c r="AH58" i="51"/>
  <c r="AH18" i="52"/>
  <c r="AH14" i="52"/>
  <c r="AH36" i="52"/>
  <c r="AH47" i="52"/>
  <c r="B24" i="48"/>
  <c r="AH16" i="52"/>
  <c r="AH20" i="52"/>
  <c r="AH37" i="52"/>
  <c r="AH48" i="52"/>
  <c r="B25" i="48"/>
  <c r="AH9" i="52"/>
  <c r="B22" i="48"/>
  <c r="AH12" i="52"/>
  <c r="B23" i="48"/>
  <c r="AH7" i="52"/>
  <c r="AH21" i="52"/>
  <c r="AH38" i="52"/>
  <c r="AH58" i="52"/>
  <c r="B26" i="48"/>
  <c r="AH41" i="52"/>
  <c r="AH46" i="52"/>
  <c r="AH8" i="52"/>
  <c r="AH22" i="52"/>
  <c r="AH39" i="52"/>
  <c r="AH59" i="52"/>
  <c r="B27" i="48"/>
  <c r="AH35" i="52"/>
  <c r="AH10" i="52"/>
  <c r="AH33" i="52"/>
  <c r="AH43" i="52"/>
  <c r="B21" i="48"/>
  <c r="AH11" i="52"/>
  <c r="AH34" i="52"/>
  <c r="AH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3" i="9" l="1"/>
  <c r="A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J6" i="54"/>
  <c r="L37" i="28"/>
  <c r="AH11" i="51"/>
  <c r="N28" i="9"/>
  <c r="J7" i="54"/>
  <c r="L38" i="28"/>
  <c r="AH10" i="51"/>
  <c r="N29" i="9"/>
  <c r="J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AX10" i="56"/>
  <c r="L9" i="51"/>
  <c r="L35" i="52"/>
  <c r="AH58" i="28"/>
  <c r="N34" i="9"/>
  <c r="J13" i="54"/>
  <c r="L50" i="28"/>
  <c r="AH22" i="51"/>
  <c r="N35" i="9"/>
  <c r="L51" i="28"/>
  <c r="AH21" i="51"/>
  <c r="N36" i="9"/>
  <c r="J15" i="54"/>
  <c r="L59" i="28"/>
  <c r="AH33" i="51"/>
  <c r="N37" i="9"/>
  <c r="J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J17" i="54"/>
  <c r="AH7" i="28"/>
  <c r="AH38" i="51"/>
  <c r="N31" i="9"/>
  <c r="J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J18" i="54"/>
  <c r="AH8" i="28"/>
  <c r="AH37" i="51"/>
  <c r="N32" i="9"/>
  <c r="J11" i="54"/>
  <c r="L46" i="28"/>
  <c r="AH18" i="51"/>
  <c r="N25" i="9"/>
  <c r="B10" i="54"/>
  <c r="L35" i="28"/>
  <c r="AH8" i="51"/>
  <c r="B8" i="48"/>
  <c r="B12" i="48"/>
  <c r="L60" i="51"/>
  <c r="D25" i="9"/>
  <c r="AX17" i="56"/>
  <c r="AH43" i="28"/>
  <c r="L20" i="52"/>
  <c r="D26" i="9"/>
  <c r="AX16" i="56"/>
  <c r="AH45" i="28"/>
  <c r="L23" i="52"/>
  <c r="D27" i="9"/>
  <c r="AX15" i="56"/>
  <c r="AH46" i="28"/>
  <c r="L24" i="52"/>
  <c r="D28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J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J58" i="28"/>
  <c r="AI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8" i="9"/>
  <c r="F28" i="9"/>
  <c r="E28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1" i="9"/>
  <c r="C12" i="3" s="1"/>
  <c r="A20" i="9"/>
  <c r="F29" i="9"/>
  <c r="F30" i="9"/>
  <c r="F31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R38" i="52" l="1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18" i="54"/>
  <c r="E10" i="54"/>
  <c r="O16" i="28"/>
  <c r="M16" i="28" s="1"/>
  <c r="AV51" i="45"/>
  <c r="AV50" i="45"/>
  <c r="AU52" i="45"/>
  <c r="AF94" i="27"/>
  <c r="AI94" i="27" s="1"/>
  <c r="O50" i="51"/>
  <c r="M50" i="51" s="1"/>
  <c r="AI47" i="51" s="1"/>
  <c r="C10" i="54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L11" i="54"/>
  <c r="AS36" i="45"/>
  <c r="BQ38" i="45" s="1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O48" i="52"/>
  <c r="O22" i="51"/>
  <c r="O22" i="28"/>
  <c r="O48" i="28"/>
  <c r="O22" i="52"/>
  <c r="O48" i="51"/>
  <c r="R9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J37" i="52" s="1"/>
  <c r="N37" i="51"/>
  <c r="AJ37" i="51" s="1"/>
  <c r="N12" i="52"/>
  <c r="AJ12" i="52" s="1"/>
  <c r="N11" i="52"/>
  <c r="AJ11" i="52" s="1"/>
  <c r="N37" i="28"/>
  <c r="AJ37" i="28" s="1"/>
  <c r="N11" i="51"/>
  <c r="AJ11" i="51" s="1"/>
  <c r="N12" i="51"/>
  <c r="AJ12" i="51" s="1"/>
  <c r="N38" i="51"/>
  <c r="AJ38" i="51" s="1"/>
  <c r="N38" i="28"/>
  <c r="AJ38" i="28" s="1"/>
  <c r="N38" i="52"/>
  <c r="AJ38" i="52" s="1"/>
  <c r="N11" i="28"/>
  <c r="AJ11" i="28" s="1"/>
  <c r="N12" i="28"/>
  <c r="AJ12" i="28" s="1"/>
  <c r="Z10" i="22"/>
  <c r="Z29" i="22" s="1"/>
  <c r="O35" i="52"/>
  <c r="M35" i="52" s="1"/>
  <c r="AI35" i="52" s="1"/>
  <c r="O9" i="28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L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L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N16" i="51"/>
  <c r="AJ16" i="51" s="1"/>
  <c r="N16" i="28"/>
  <c r="AJ16" i="28" s="1"/>
  <c r="N16" i="52"/>
  <c r="AJ16" i="52" s="1"/>
  <c r="N42" i="52"/>
  <c r="AJ41" i="52" s="1"/>
  <c r="N42" i="51"/>
  <c r="AJ41" i="51" s="1"/>
  <c r="N42" i="28"/>
  <c r="AJ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AI20" i="28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O50" i="28"/>
  <c r="M50" i="28" s="1"/>
  <c r="AI47" i="28" s="1"/>
  <c r="O24" i="28"/>
  <c r="M24" i="28" s="1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O23" i="52"/>
  <c r="M23" i="52" s="1"/>
  <c r="E12" i="54"/>
  <c r="C12" i="54"/>
  <c r="K12" i="54" s="1"/>
  <c r="O49" i="28"/>
  <c r="O23" i="51"/>
  <c r="M23" i="51" s="1"/>
  <c r="O49" i="52"/>
  <c r="D31" i="45"/>
  <c r="M22" i="45"/>
  <c r="M39" i="45"/>
  <c r="L15" i="54"/>
  <c r="E19" i="9"/>
  <c r="C9" i="54"/>
  <c r="K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L9" i="54"/>
  <c r="O18" i="28"/>
  <c r="M18" i="28" s="1"/>
  <c r="O18" i="51"/>
  <c r="M18" i="51" s="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J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50" i="52"/>
  <c r="O9" i="52"/>
  <c r="M9" i="52" s="1"/>
  <c r="E14" i="54"/>
  <c r="C14" i="54"/>
  <c r="K14" i="54" s="1"/>
  <c r="AI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M7" i="52" s="1"/>
  <c r="E6" i="54"/>
  <c r="C6" i="54"/>
  <c r="K6" i="54" s="1"/>
  <c r="R44" i="52"/>
  <c r="BD52" i="45"/>
  <c r="BD42" i="45"/>
  <c r="BH42" i="45"/>
  <c r="AZ29" i="45"/>
  <c r="AJ59" i="28"/>
  <c r="R10" i="51"/>
  <c r="R16" i="28"/>
  <c r="E7" i="48"/>
  <c r="K10" i="54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24" i="51"/>
  <c r="M24" i="51" s="1"/>
  <c r="O8" i="52"/>
  <c r="M8" i="52" s="1"/>
  <c r="C12" i="48"/>
  <c r="O24" i="52"/>
  <c r="M24" i="52" s="1"/>
  <c r="M23" i="28" l="1"/>
  <c r="AI21" i="28" s="1"/>
  <c r="M12" i="28"/>
  <c r="AI12" i="28" s="1"/>
  <c r="AI9" i="28"/>
  <c r="M9" i="28"/>
  <c r="M33" i="28"/>
  <c r="AI33" i="28" s="1"/>
  <c r="M8" i="28"/>
  <c r="AI8" i="28" s="1"/>
  <c r="M7" i="28"/>
  <c r="AI7" i="28" s="1"/>
  <c r="AI10" i="28"/>
  <c r="M10" i="28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K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K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M50" i="52"/>
  <c r="AI47" i="52" s="1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41" i="28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56" i="56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P39" i="27" a="1"/>
  <c r="P39" i="27" s="1"/>
  <c r="K31" i="56" s="1"/>
  <c r="H193" i="56" s="1"/>
  <c r="BU37" i="27" a="1"/>
  <c r="BU37" i="27" s="1"/>
  <c r="BC38" i="27" a="1"/>
  <c r="BC38" i="27" s="1"/>
  <c r="X26" i="56" s="1"/>
  <c r="U192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Q193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K193" i="56" s="1"/>
  <c r="BT37" i="27" a="1"/>
  <c r="BT37" i="27" s="1"/>
  <c r="AN38" i="27" a="1"/>
  <c r="AN38" i="27" s="1"/>
  <c r="S26" i="56" s="1"/>
  <c r="P192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I195" i="56" s="1"/>
  <c r="BA37" i="27" a="1"/>
  <c r="BA37" i="27" s="1"/>
  <c r="CG42" i="27" a="1"/>
  <c r="CG42" i="27" s="1"/>
  <c r="AH46" i="56" s="1"/>
  <c r="AE196" i="56" s="1"/>
  <c r="AY37" i="27" a="1"/>
  <c r="AY37" i="27" s="1"/>
  <c r="AE38" i="27" a="1"/>
  <c r="AE38" i="27" s="1"/>
  <c r="P26" i="56" s="1"/>
  <c r="M192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M193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CA38" i="27" a="1"/>
  <c r="CA38" i="27" s="1"/>
  <c r="AF26" i="56" s="1"/>
  <c r="AC192" i="56" s="1"/>
  <c r="BU40" i="27" a="1"/>
  <c r="BU40" i="27" s="1"/>
  <c r="AD36" i="56" s="1"/>
  <c r="AA194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Y194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AB194" i="56" s="1"/>
  <c r="BV36" i="27" a="1"/>
  <c r="BV36" i="27" s="1"/>
  <c r="AD116" i="56" s="1"/>
  <c r="AA208" i="56" s="1"/>
  <c r="AQ38" i="27" a="1"/>
  <c r="AQ38" i="27" s="1"/>
  <c r="T26" i="56" s="1"/>
  <c r="Q192" i="56" s="1"/>
  <c r="CD42" i="27" a="1"/>
  <c r="CD42" i="27" s="1"/>
  <c r="AG46" i="56" s="1"/>
  <c r="AD19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R193" i="56" s="1"/>
  <c r="BS37" i="27" a="1"/>
  <c r="BS37" i="27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F193" i="56" s="1"/>
  <c r="CD40" i="27" a="1"/>
  <c r="CD40" i="27" s="1"/>
  <c r="AG36" i="56" s="1"/>
  <c r="AD194" i="56" s="1"/>
  <c r="AB35" i="27" a="1"/>
  <c r="AB35" i="27" s="1"/>
  <c r="O11" i="56" s="1"/>
  <c r="W37" i="27" a="1"/>
  <c r="W37" i="27" s="1"/>
  <c r="BS39" i="27" a="1"/>
  <c r="BS39" i="27" s="1"/>
  <c r="AC131" i="56" s="1"/>
  <c r="Z211" i="56" s="1"/>
  <c r="CA40" i="27" a="1"/>
  <c r="CA40" i="27" s="1"/>
  <c r="AF36" i="56" s="1"/>
  <c r="AC194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L37" i="27" a="1"/>
  <c r="L37" i="27" s="1"/>
  <c r="AV38" i="27" a="1"/>
  <c r="AV38" i="27" s="1"/>
  <c r="V76" i="56" s="1"/>
  <c r="AQ40" i="27" a="1"/>
  <c r="AQ40" i="27" s="1"/>
  <c r="T36" i="56" s="1"/>
  <c r="Q194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N194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N193" i="56" s="1"/>
  <c r="BC42" i="27" a="1"/>
  <c r="BC42" i="27" s="1"/>
  <c r="X46" i="56" s="1"/>
  <c r="U196" i="56" s="1"/>
  <c r="BZ38" i="27" a="1"/>
  <c r="BZ38" i="27" s="1"/>
  <c r="AF76" i="56" s="1"/>
  <c r="AN41" i="27" a="1"/>
  <c r="AN41" i="27" s="1"/>
  <c r="S41" i="56" s="1"/>
  <c r="P195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BT41" i="27" a="1"/>
  <c r="BT41" i="27" s="1"/>
  <c r="AD91" i="56" s="1"/>
  <c r="AA204" i="56" s="1"/>
  <c r="BC41" i="27" a="1"/>
  <c r="BC41" i="27" s="1"/>
  <c r="X41" i="56" s="1"/>
  <c r="U195" i="56" s="1"/>
  <c r="Z37" i="27" a="1"/>
  <c r="Z37" i="27" s="1"/>
  <c r="AE42" i="27" a="1"/>
  <c r="AE42" i="27" s="1"/>
  <c r="P46" i="56" s="1"/>
  <c r="M196" i="56" s="1"/>
  <c r="BD42" i="27" a="1"/>
  <c r="BD42" i="27" s="1"/>
  <c r="X146" i="56" s="1"/>
  <c r="U214" i="56" s="1"/>
  <c r="AZ41" i="27" a="1"/>
  <c r="AZ41" i="27" s="1"/>
  <c r="W41" i="56" s="1"/>
  <c r="T195" i="56" s="1"/>
  <c r="BR40" i="27" a="1"/>
  <c r="BR40" i="27" s="1"/>
  <c r="AC36" i="56" s="1"/>
  <c r="Z194" i="56" s="1"/>
  <c r="R39" i="27" a="1"/>
  <c r="R39" i="27" s="1"/>
  <c r="L81" i="56" s="1"/>
  <c r="I202" i="56" s="1"/>
  <c r="AQ37" i="27" a="1"/>
  <c r="AQ37" i="27" s="1"/>
  <c r="S38" i="27" a="1"/>
  <c r="S38" i="27" s="1"/>
  <c r="L26" i="56" s="1"/>
  <c r="I192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G195" i="56" s="1"/>
  <c r="AY38" i="27" a="1"/>
  <c r="AY38" i="27" s="1"/>
  <c r="W76" i="56" s="1"/>
  <c r="AB40" i="27" a="1"/>
  <c r="AB40" i="27" s="1"/>
  <c r="O36" i="56" s="1"/>
  <c r="L194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AD192" i="56" s="1"/>
  <c r="BT36" i="27" a="1"/>
  <c r="BT36" i="27" s="1"/>
  <c r="AD66" i="56" s="1"/>
  <c r="AA199" i="56" s="1"/>
  <c r="V39" i="27" a="1"/>
  <c r="V39" i="27" s="1"/>
  <c r="M31" i="56" s="1"/>
  <c r="J193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Z193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G192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Y192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Q195" i="56" s="1"/>
  <c r="BW40" i="27" a="1"/>
  <c r="BW40" i="27" s="1"/>
  <c r="AE86" i="56" s="1"/>
  <c r="AB203" i="56" s="1"/>
  <c r="AH38" i="27" a="1"/>
  <c r="AH38" i="27" s="1"/>
  <c r="Q26" i="56" s="1"/>
  <c r="N192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Y196" i="56" s="1"/>
  <c r="AT36" i="27" a="1"/>
  <c r="AT36" i="27" s="1"/>
  <c r="U16" i="56" s="1"/>
  <c r="R190" i="56" s="1"/>
  <c r="AH41" i="27" a="1"/>
  <c r="AH41" i="27" s="1"/>
  <c r="Q41" i="56" s="1"/>
  <c r="N195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F192" i="56" s="1"/>
  <c r="BC40" i="27" a="1"/>
  <c r="BC40" i="27" s="1"/>
  <c r="X36" i="56" s="1"/>
  <c r="U194" i="56" s="1"/>
  <c r="BT38" i="27" a="1"/>
  <c r="BT38" i="27" s="1"/>
  <c r="AD76" i="56" s="1"/>
  <c r="BL39" i="27" a="1"/>
  <c r="BL39" i="27" s="1"/>
  <c r="AA31" i="56" s="1"/>
  <c r="X193" i="56" s="1"/>
  <c r="AR37" i="27" a="1"/>
  <c r="AR37" i="27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W192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J196" i="56" s="1"/>
  <c r="AO40" i="27" a="1"/>
  <c r="AO40" i="27" s="1"/>
  <c r="S136" i="56" s="1"/>
  <c r="P212" i="56" s="1"/>
  <c r="BV37" i="27" a="1"/>
  <c r="BV37" i="27" s="1"/>
  <c r="AE41" i="27" a="1"/>
  <c r="AE41" i="27" s="1"/>
  <c r="P41" i="56" s="1"/>
  <c r="M195" i="56" s="1"/>
  <c r="BI40" i="27" a="1"/>
  <c r="BI40" i="27" s="1"/>
  <c r="Z36" i="56" s="1"/>
  <c r="W194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S195" i="56" s="1"/>
  <c r="T42" i="27" a="1"/>
  <c r="T42" i="27" s="1"/>
  <c r="L146" i="56" s="1"/>
  <c r="I214" i="56" s="1"/>
  <c r="P42" i="27" a="1"/>
  <c r="P42" i="27" s="1"/>
  <c r="K46" i="56" s="1"/>
  <c r="H196" i="56" s="1"/>
  <c r="N41" i="27" a="1"/>
  <c r="N41" i="27" s="1"/>
  <c r="J141" i="56" s="1"/>
  <c r="G213" i="56" s="1"/>
  <c r="BX41" i="27" a="1"/>
  <c r="BX41" i="27" s="1"/>
  <c r="AE41" i="56" s="1"/>
  <c r="AB195" i="56" s="1"/>
  <c r="AO39" i="27" a="1"/>
  <c r="AO39" i="27" s="1"/>
  <c r="S131" i="56" s="1"/>
  <c r="P211" i="56" s="1"/>
  <c r="BF41" i="27" a="1"/>
  <c r="BF41" i="27" s="1"/>
  <c r="Y41" i="56" s="1"/>
  <c r="V195" i="56" s="1"/>
  <c r="BR41" i="27" a="1"/>
  <c r="BR41" i="27" s="1"/>
  <c r="AC41" i="56" s="1"/>
  <c r="Z195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P196" i="56" s="1"/>
  <c r="Y36" i="27" a="1"/>
  <c r="Y36" i="27" s="1"/>
  <c r="N16" i="56" s="1"/>
  <c r="K190" i="56" s="1"/>
  <c r="AK37" i="27" a="1"/>
  <c r="AK37" i="27" s="1"/>
  <c r="CA39" i="27" a="1"/>
  <c r="CA39" i="27" s="1"/>
  <c r="AF31" i="56" s="1"/>
  <c r="AC193" i="56" s="1"/>
  <c r="AH42" i="27" a="1"/>
  <c r="AH42" i="27" s="1"/>
  <c r="Q46" i="56" s="1"/>
  <c r="N196" i="56" s="1"/>
  <c r="Y40" i="27" a="1"/>
  <c r="Y40" i="27" s="1"/>
  <c r="N36" i="56" s="1"/>
  <c r="K194" i="56" s="1"/>
  <c r="BO39" i="27" a="1"/>
  <c r="BO39" i="27" s="1"/>
  <c r="AB31" i="56" s="1"/>
  <c r="Y193" i="56" s="1"/>
  <c r="O37" i="27" a="1"/>
  <c r="O37" i="27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T37" i="27" a="1"/>
  <c r="AT37" i="27" s="1"/>
  <c r="BC39" i="27" a="1"/>
  <c r="BC39" i="27" s="1"/>
  <c r="X31" i="56" s="1"/>
  <c r="U193" i="56" s="1"/>
  <c r="AJ36" i="27" a="1"/>
  <c r="AJ36" i="27" s="1"/>
  <c r="R66" i="56" s="1"/>
  <c r="O199" i="56" s="1"/>
  <c r="AZ39" i="27" a="1"/>
  <c r="AZ39" i="27" s="1"/>
  <c r="W31" i="56" s="1"/>
  <c r="T193" i="56" s="1"/>
  <c r="AF42" i="27" a="1"/>
  <c r="AF42" i="27" s="1"/>
  <c r="P146" i="56" s="1"/>
  <c r="M214" i="56" s="1"/>
  <c r="AN39" i="27" a="1"/>
  <c r="AN39" i="27" s="1"/>
  <c r="S31" i="56" s="1"/>
  <c r="P193" i="56" s="1"/>
  <c r="AB37" i="27" a="1"/>
  <c r="AB37" i="27" s="1"/>
  <c r="AT38" i="27" a="1"/>
  <c r="AT38" i="27" s="1"/>
  <c r="U26" i="56" s="1"/>
  <c r="R192" i="56" s="1"/>
  <c r="AZ42" i="27" a="1"/>
  <c r="AZ42" i="27" s="1"/>
  <c r="W46" i="56" s="1"/>
  <c r="T196" i="56" s="1"/>
  <c r="AE36" i="27" a="1"/>
  <c r="AE36" i="27" s="1"/>
  <c r="P16" i="56" s="1"/>
  <c r="M190" i="56" s="1"/>
  <c r="X37" i="27" a="1"/>
  <c r="X37" i="27" s="1"/>
  <c r="AK42" i="27" a="1"/>
  <c r="AK42" i="27" s="1"/>
  <c r="R46" i="56" s="1"/>
  <c r="O196" i="56" s="1"/>
  <c r="P40" i="27" a="1"/>
  <c r="P40" i="27" s="1"/>
  <c r="K36" i="56" s="1"/>
  <c r="H194" i="56" s="1"/>
  <c r="M39" i="27" a="1"/>
  <c r="M39" i="27" s="1"/>
  <c r="J31" i="56" s="1"/>
  <c r="G193" i="56" s="1"/>
  <c r="BU41" i="27" a="1"/>
  <c r="BU41" i="27" s="1"/>
  <c r="AD41" i="56" s="1"/>
  <c r="AA195" i="56" s="1"/>
  <c r="BR37" i="27" a="1"/>
  <c r="BR37" i="27" s="1"/>
  <c r="BR38" i="27" a="1"/>
  <c r="BR38" i="27" s="1"/>
  <c r="AC26" i="56" s="1"/>
  <c r="Z192" i="56" s="1"/>
  <c r="AO36" i="27" a="1"/>
  <c r="AO36" i="27" s="1"/>
  <c r="S116" i="56" s="1"/>
  <c r="P208" i="56" s="1"/>
  <c r="BX42" i="27" a="1"/>
  <c r="BX42" i="27" s="1"/>
  <c r="AE46" i="56" s="1"/>
  <c r="AB196" i="56" s="1"/>
  <c r="CG37" i="27" a="1"/>
  <c r="CG37" i="27" s="1"/>
  <c r="AJ37" i="27" a="1"/>
  <c r="AJ37" i="27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V196" i="56" s="1"/>
  <c r="BH37" i="27" a="1"/>
  <c r="BH37" i="27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CF35" i="27" a="1"/>
  <c r="CF35" i="27" s="1"/>
  <c r="AH61" i="56" s="1"/>
  <c r="BE37" i="27" a="1"/>
  <c r="BE37" i="27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Q19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AD193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AB193" i="56" s="1"/>
  <c r="BF38" i="27" a="1"/>
  <c r="BF38" i="27" s="1"/>
  <c r="Y26" i="56" s="1"/>
  <c r="V192" i="56" s="1"/>
  <c r="P41" i="27" a="1"/>
  <c r="P41" i="27" s="1"/>
  <c r="K41" i="56" s="1"/>
  <c r="H195" i="56" s="1"/>
  <c r="O41" i="27" a="1"/>
  <c r="O41" i="27" s="1"/>
  <c r="K91" i="56" s="1"/>
  <c r="H204" i="56" s="1"/>
  <c r="AK39" i="27" a="1"/>
  <c r="AK39" i="27" s="1"/>
  <c r="R31" i="56" s="1"/>
  <c r="O193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A192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S192" i="56" s="1"/>
  <c r="BM37" i="27" a="1"/>
  <c r="BM37" i="27" s="1"/>
  <c r="CC35" i="27" a="1"/>
  <c r="CC35" i="27" s="1"/>
  <c r="AG61" i="56" s="1"/>
  <c r="CG41" i="27" a="1"/>
  <c r="CG41" i="27" s="1"/>
  <c r="AH41" i="56" s="1"/>
  <c r="AE195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BI41" i="27" a="1"/>
  <c r="BI41" i="27" s="1"/>
  <c r="Z41" i="56" s="1"/>
  <c r="W195" i="56" s="1"/>
  <c r="AW39" i="27" a="1"/>
  <c r="AW39" i="27" s="1"/>
  <c r="V31" i="56" s="1"/>
  <c r="S193" i="56" s="1"/>
  <c r="Y41" i="27" a="1"/>
  <c r="Y41" i="27" s="1"/>
  <c r="N41" i="56" s="1"/>
  <c r="K195" i="56" s="1"/>
  <c r="S40" i="27" a="1"/>
  <c r="S40" i="27" s="1"/>
  <c r="L36" i="56" s="1"/>
  <c r="I194" i="56" s="1"/>
  <c r="P37" i="27" a="1"/>
  <c r="P37" i="27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I19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T192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X192" i="56" s="1"/>
  <c r="AT41" i="27" a="1"/>
  <c r="AT41" i="27" s="1"/>
  <c r="U41" i="56" s="1"/>
  <c r="R195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AC196" i="56" s="1"/>
  <c r="BM41" i="27" a="1"/>
  <c r="BM41" i="27" s="1"/>
  <c r="AA141" i="56" s="1"/>
  <c r="X213" i="56" s="1"/>
  <c r="CE37" i="27" a="1"/>
  <c r="CE37" i="27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AC195" i="56" s="1"/>
  <c r="BT40" i="27" a="1"/>
  <c r="BT40" i="27" s="1"/>
  <c r="AD86" i="56" s="1"/>
  <c r="AA203" i="56" s="1"/>
  <c r="AK40" i="27" a="1"/>
  <c r="AK40" i="27" s="1"/>
  <c r="R36" i="56" s="1"/>
  <c r="O194" i="56" s="1"/>
  <c r="AZ40" i="27" a="1"/>
  <c r="AZ40" i="27" s="1"/>
  <c r="W36" i="56" s="1"/>
  <c r="T194" i="56" s="1"/>
  <c r="BT39" i="27" a="1"/>
  <c r="BT39" i="27" s="1"/>
  <c r="AD81" i="56" s="1"/>
  <c r="AA202" i="56" s="1"/>
  <c r="AO37" i="27" a="1"/>
  <c r="AO37" i="27" s="1"/>
  <c r="K37" i="27" a="1"/>
  <c r="K37" i="27" s="1"/>
  <c r="AW40" i="27" a="1"/>
  <c r="AW40" i="27" s="1"/>
  <c r="V36" i="56" s="1"/>
  <c r="S194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X19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J192" i="56" s="1"/>
  <c r="BH35" i="27" a="1"/>
  <c r="BH35" i="27" s="1"/>
  <c r="Z61" i="56" s="1"/>
  <c r="AP37" i="27" a="1"/>
  <c r="AP37" i="27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G196" i="56" s="1"/>
  <c r="U37" i="27" a="1"/>
  <c r="U37" i="27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AE193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K192" i="56" s="1"/>
  <c r="P36" i="27" a="1"/>
  <c r="P36" i="27" s="1"/>
  <c r="K16" i="56" s="1"/>
  <c r="H190" i="56" s="1"/>
  <c r="CG38" i="27" a="1"/>
  <c r="CG38" i="27" s="1"/>
  <c r="AH26" i="56" s="1"/>
  <c r="AE192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L19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J40" i="27" a="1"/>
  <c r="J40" i="27" s="1"/>
  <c r="I36" i="56" s="1"/>
  <c r="F194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BM39" i="27" a="1"/>
  <c r="BM39" i="27" s="1"/>
  <c r="AA131" i="56" s="1"/>
  <c r="X211" i="56" s="1"/>
  <c r="BX38" i="27" a="1"/>
  <c r="BX38" i="27" s="1"/>
  <c r="AE26" i="56" s="1"/>
  <c r="AB192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D195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L193" i="56" s="1"/>
  <c r="BO41" i="27" a="1"/>
  <c r="BO41" i="27" s="1"/>
  <c r="AB41" i="56" s="1"/>
  <c r="Y195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CD36" i="27" a="1"/>
  <c r="CD36" i="27" s="1"/>
  <c r="AG16" i="56" s="1"/>
  <c r="AD190" i="56" s="1"/>
  <c r="V40" i="27" a="1"/>
  <c r="V40" i="27" s="1"/>
  <c r="M36" i="56" s="1"/>
  <c r="J194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BI39" i="27" a="1"/>
  <c r="BI39" i="27" s="1"/>
  <c r="Z31" i="56" s="1"/>
  <c r="W193" i="56" s="1"/>
  <c r="Y42" i="27" a="1"/>
  <c r="Y42" i="27" s="1"/>
  <c r="N46" i="56" s="1"/>
  <c r="K19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O195" i="56" s="1"/>
  <c r="AT40" i="27" a="1"/>
  <c r="AT40" i="27" s="1"/>
  <c r="U36" i="56" s="1"/>
  <c r="R194" i="56" s="1"/>
  <c r="CG40" i="27" a="1"/>
  <c r="CG40" i="27" s="1"/>
  <c r="AH36" i="56" s="1"/>
  <c r="AE194" i="56" s="1"/>
  <c r="Q37" i="27" a="1"/>
  <c r="Q37" i="27" s="1"/>
  <c r="BB41" i="27" a="1"/>
  <c r="BB41" i="27" s="1"/>
  <c r="X91" i="56" s="1"/>
  <c r="U204" i="56" s="1"/>
  <c r="V37" i="27" a="1"/>
  <c r="V37" i="27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J195" i="56" s="1"/>
  <c r="BU39" i="27" a="1"/>
  <c r="BU39" i="27" s="1"/>
  <c r="AD31" i="56" s="1"/>
  <c r="AA193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W196" i="56" s="1"/>
  <c r="J37" i="27" a="1"/>
  <c r="J37" i="27" s="1"/>
  <c r="W42" i="27" a="1"/>
  <c r="W42" i="27" s="1"/>
  <c r="M146" i="56" s="1"/>
  <c r="J214" i="56" s="1"/>
  <c r="AT42" i="27" a="1"/>
  <c r="AT42" i="27" s="1"/>
  <c r="U46" i="56" s="1"/>
  <c r="R19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F195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X194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V193" i="56" s="1"/>
  <c r="AC40" i="27" a="1"/>
  <c r="AC40" i="27" s="1"/>
  <c r="O136" i="56" s="1"/>
  <c r="L212" i="56" s="1"/>
  <c r="AL37" i="27" a="1"/>
  <c r="AL37" i="27" s="1"/>
  <c r="BA41" i="27" a="1"/>
  <c r="BA41" i="27" s="1"/>
  <c r="W141" i="56" s="1"/>
  <c r="T213" i="56" s="1"/>
  <c r="AS37" i="27" a="1"/>
  <c r="AS37" i="27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V194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L192" i="56" s="1"/>
  <c r="AH37" i="27" a="1"/>
  <c r="AH37" i="27" s="1"/>
  <c r="Z40" i="27" a="1"/>
  <c r="Z40" i="27" s="1"/>
  <c r="N136" i="56" s="1"/>
  <c r="K212" i="56" s="1"/>
  <c r="AW42" i="27" a="1"/>
  <c r="AW42" i="27" s="1"/>
  <c r="V46" i="56" s="1"/>
  <c r="S19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R37" i="27" a="1"/>
  <c r="R37" i="27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G194" i="56" s="1"/>
  <c r="N37" i="27" a="1"/>
  <c r="N37" i="27" s="1"/>
  <c r="J42" i="27" a="1"/>
  <c r="J42" i="27" s="1"/>
  <c r="I46" i="56" s="1"/>
  <c r="F19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Y39" i="27" a="1"/>
  <c r="AY39" i="27" s="1"/>
  <c r="W81" i="56" s="1"/>
  <c r="T202" i="56" s="1"/>
  <c r="AN40" i="27" a="1"/>
  <c r="AN40" i="27" s="1"/>
  <c r="S36" i="56" s="1"/>
  <c r="P194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H192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Z196" i="56" s="1"/>
  <c r="AB41" i="27" a="1"/>
  <c r="AB41" i="27" s="1"/>
  <c r="O41" i="56" s="1"/>
  <c r="L195" i="56" s="1"/>
  <c r="AK38" i="27" a="1"/>
  <c r="AK38" i="27" s="1"/>
  <c r="R26" i="56" s="1"/>
  <c r="O192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I193" i="56" s="1"/>
  <c r="BJ35" i="27" a="1"/>
  <c r="BJ35" i="27" s="1"/>
  <c r="Z111" i="56" s="1"/>
  <c r="AU37" i="27" a="1"/>
  <c r="AU37" i="27" s="1"/>
  <c r="AS42" i="27" a="1"/>
  <c r="AS42" i="27" s="1"/>
  <c r="U96" i="56" s="1"/>
  <c r="R205" i="56" s="1"/>
  <c r="BU42" i="27" a="1"/>
  <c r="BU42" i="27" s="1"/>
  <c r="AD46" i="56" s="1"/>
  <c r="AA196" i="56" s="1"/>
  <c r="BR36" i="27" a="1"/>
  <c r="BR36" i="27" s="1"/>
  <c r="AC16" i="56" s="1"/>
  <c r="Z190" i="56" s="1"/>
  <c r="CA37" i="27" a="1"/>
  <c r="CA37" i="27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P36" i="56" s="1"/>
  <c r="M194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X195" i="56" s="1"/>
  <c r="M37" i="27" a="1"/>
  <c r="M37" i="27" s="1"/>
  <c r="BN38" i="27" a="1"/>
  <c r="BN38" i="27" s="1"/>
  <c r="AB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BQ40" i="56"/>
  <c r="P21" i="27"/>
  <c r="BQ57" i="56" s="1"/>
  <c r="Q27" i="27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T70" i="56" l="1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T78" i="56" l="1"/>
  <c r="BS78" i="56"/>
  <c r="BU78" i="56"/>
  <c r="BR78" i="56"/>
  <c r="S42" i="51"/>
  <c r="S40" i="51"/>
  <c r="S24" i="51"/>
  <c r="T24" i="51" s="1"/>
  <c r="AD24" i="51" s="1"/>
  <c r="S16" i="51"/>
  <c r="T16" i="51" s="1"/>
  <c r="AD16" i="51" s="1"/>
  <c r="S10" i="51"/>
  <c r="T10" i="51" s="1"/>
  <c r="S38" i="51"/>
  <c r="T38" i="51" s="1"/>
  <c r="AD38" i="51" s="1"/>
  <c r="S37" i="51"/>
  <c r="T37" i="51" s="1"/>
  <c r="AD37" i="51" s="1"/>
  <c r="S23" i="51"/>
  <c r="T23" i="51" s="1"/>
  <c r="S14" i="51"/>
  <c r="T14" i="51" s="1"/>
  <c r="S9" i="51"/>
  <c r="T9" i="51" s="1"/>
  <c r="S50" i="51"/>
  <c r="T50" i="51" s="1"/>
  <c r="AD50" i="51" s="1"/>
  <c r="S36" i="51"/>
  <c r="T36" i="51" s="1"/>
  <c r="AD36" i="51" s="1"/>
  <c r="S49" i="51"/>
  <c r="S35" i="51"/>
  <c r="S20" i="51"/>
  <c r="T20" i="51" s="1"/>
  <c r="S12" i="51"/>
  <c r="T12" i="51" s="1"/>
  <c r="AD12" i="51" s="1"/>
  <c r="S8" i="51"/>
  <c r="T8" i="51" s="1"/>
  <c r="AD8" i="51" s="1"/>
  <c r="S44" i="51"/>
  <c r="S33" i="51"/>
  <c r="S18" i="51"/>
  <c r="T18" i="51" s="1"/>
  <c r="AD18" i="51" s="1"/>
  <c r="S11" i="51"/>
  <c r="T11" i="51" s="1"/>
  <c r="AD11" i="51" s="1"/>
  <c r="S7" i="51"/>
  <c r="T7" i="51" s="1"/>
  <c r="S60" i="51"/>
  <c r="S59" i="51"/>
  <c r="S51" i="51"/>
  <c r="S46" i="5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S11" i="28"/>
  <c r="T11" i="28" s="1"/>
  <c r="AD11" i="28" s="1"/>
  <c r="S7" i="28"/>
  <c r="T7" i="28" s="1"/>
  <c r="S42" i="28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40" i="52"/>
  <c r="AD40" i="52" s="1"/>
  <c r="T36" i="52"/>
  <c r="AD36" i="52" s="1"/>
  <c r="T49" i="52"/>
  <c r="AD49" i="52" s="1"/>
  <c r="T35" i="52"/>
  <c r="AD35" i="52" s="1"/>
  <c r="T42" i="52"/>
  <c r="AD42" i="52" s="1"/>
  <c r="BS49" i="56"/>
  <c r="W51" i="28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AD18" i="28"/>
  <c r="T42" i="28"/>
  <c r="AD42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AD23" i="51"/>
  <c r="AC23" i="51" s="1"/>
  <c r="W23" i="51" s="1"/>
  <c r="AD14" i="51"/>
  <c r="T49" i="51"/>
  <c r="AD49" i="51" s="1"/>
  <c r="T35" i="51"/>
  <c r="AD35" i="51" s="1"/>
  <c r="T34" i="51"/>
  <c r="AD34" i="51" s="1"/>
  <c r="T44" i="51"/>
  <c r="AD44" i="51" s="1"/>
  <c r="T60" i="51"/>
  <c r="AD60" i="51" s="1"/>
  <c r="T40" i="51"/>
  <c r="AD40" i="51" s="1"/>
  <c r="AD10" i="5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T33" i="52"/>
  <c r="S54" i="52"/>
  <c r="AC9" i="28"/>
  <c r="W9" i="28" s="1"/>
  <c r="F23" i="22"/>
  <c r="BR64" i="56"/>
  <c r="AC16" i="51"/>
  <c r="W16" i="51" s="1"/>
  <c r="G17" i="22"/>
  <c r="AC44" i="51"/>
  <c r="W44" i="51" s="1"/>
  <c r="AC36" i="51"/>
  <c r="W36" i="51" s="1"/>
  <c r="J11" i="22"/>
  <c r="AC59" i="51"/>
  <c r="M26" i="22"/>
  <c r="M29" i="22" s="1"/>
  <c r="AC42" i="28"/>
  <c r="W42" i="28" s="1"/>
  <c r="V42" i="28" s="1"/>
  <c r="I17" i="22"/>
  <c r="AC8" i="28"/>
  <c r="W8" i="28" s="1"/>
  <c r="F24" i="22"/>
  <c r="AC14" i="28"/>
  <c r="W14" i="28" s="1"/>
  <c r="F13" i="22"/>
  <c r="AC42" i="52"/>
  <c r="W42" i="52" s="1"/>
  <c r="V42" i="52" s="1"/>
  <c r="K17" i="22"/>
  <c r="AC36" i="52"/>
  <c r="W36" i="52" s="1"/>
  <c r="K11" i="22"/>
  <c r="AC59" i="52"/>
  <c r="N26" i="22"/>
  <c r="N29" i="22" s="1"/>
  <c r="AC35" i="51"/>
  <c r="W35" i="51" s="1"/>
  <c r="J23" i="22"/>
  <c r="AC38" i="28"/>
  <c r="AC59" i="28"/>
  <c r="L26" i="22"/>
  <c r="L29" i="22" s="1"/>
  <c r="T38" i="52"/>
  <c r="AD38" i="52" s="1"/>
  <c r="T44" i="52"/>
  <c r="AD44" i="52" s="1"/>
  <c r="AC24" i="51"/>
  <c r="V24" i="51" s="1"/>
  <c r="G27" i="22"/>
  <c r="AC34" i="51"/>
  <c r="W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D7" i="28"/>
  <c r="S27" i="28"/>
  <c r="AC12" i="28"/>
  <c r="AC34" i="52"/>
  <c r="W34" i="52" s="1"/>
  <c r="K24" i="22"/>
  <c r="AC50" i="52"/>
  <c r="W50" i="52" s="1"/>
  <c r="V50" i="52" s="1"/>
  <c r="K27" i="22"/>
  <c r="I24" i="22"/>
  <c r="AC34" i="28"/>
  <c r="W34" i="28" s="1"/>
  <c r="AC38" i="51"/>
  <c r="W38" i="51" s="1"/>
  <c r="V38" i="51" s="1"/>
  <c r="AC49" i="52"/>
  <c r="W49" i="52" s="1"/>
  <c r="J13" i="22"/>
  <c r="AC40" i="51"/>
  <c r="W40" i="51" s="1"/>
  <c r="T46" i="51"/>
  <c r="W9" i="51"/>
  <c r="AC10" i="28"/>
  <c r="W10" i="28" s="1"/>
  <c r="F11" i="22"/>
  <c r="AC11" i="28"/>
  <c r="W11" i="28" s="1"/>
  <c r="AC37" i="28"/>
  <c r="W37" i="28" s="1"/>
  <c r="T46" i="52"/>
  <c r="W9" i="52"/>
  <c r="AC35" i="52"/>
  <c r="W35" i="52" s="1"/>
  <c r="K23" i="22"/>
  <c r="T33" i="51"/>
  <c r="S54" i="51"/>
  <c r="AC60" i="51"/>
  <c r="P26" i="22"/>
  <c r="P29" i="22" s="1"/>
  <c r="AC8" i="51"/>
  <c r="W8" i="51" s="1"/>
  <c r="G24" i="22"/>
  <c r="AC14" i="51"/>
  <c r="W14" i="51" s="1"/>
  <c r="G13" i="22"/>
  <c r="AC16" i="28"/>
  <c r="W16" i="28" s="1"/>
  <c r="F17" i="22"/>
  <c r="AC18" i="28"/>
  <c r="W18" i="28" s="1"/>
  <c r="AC35" i="28"/>
  <c r="W35" i="28" s="1"/>
  <c r="I23" i="22"/>
  <c r="W8" i="52"/>
  <c r="AC10" i="51"/>
  <c r="W10" i="51" s="1"/>
  <c r="G11" i="22"/>
  <c r="AD7" i="51"/>
  <c r="S27" i="51"/>
  <c r="AC12" i="51"/>
  <c r="W12" i="51" s="1"/>
  <c r="V12" i="51" s="1"/>
  <c r="F27" i="22"/>
  <c r="AC24" i="28"/>
  <c r="V24" i="28" s="1"/>
  <c r="T33" i="28"/>
  <c r="S54" i="28"/>
  <c r="AC49" i="28"/>
  <c r="W49" i="28" s="1"/>
  <c r="BT64" i="56"/>
  <c r="S27" i="52"/>
  <c r="AC40" i="52"/>
  <c r="W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AD48" i="28"/>
  <c r="AC48" i="28" s="1"/>
  <c r="AD46" i="28"/>
  <c r="AD47" i="28"/>
  <c r="AC11" i="51"/>
  <c r="W11" i="51" s="1"/>
  <c r="AC37" i="51"/>
  <c r="W37" i="51" s="1"/>
  <c r="AC40" i="28"/>
  <c r="W40" i="28" s="1"/>
  <c r="I13" i="22"/>
  <c r="AC44" i="28"/>
  <c r="W44" i="28" s="1"/>
  <c r="AC36" i="28"/>
  <c r="W36" i="28" s="1"/>
  <c r="I11" i="22"/>
  <c r="AC37" i="52"/>
  <c r="W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W60" i="28" l="1"/>
  <c r="AU101" i="56"/>
  <c r="AU103" i="56" s="1"/>
  <c r="AT95" i="56" s="1"/>
  <c r="W59" i="28"/>
  <c r="AS101" i="56"/>
  <c r="AS103" i="56" s="1"/>
  <c r="AR94" i="56" s="1"/>
  <c r="W60" i="51"/>
  <c r="AU51" i="56"/>
  <c r="AU53" i="56" s="1"/>
  <c r="AT20" i="56" s="1"/>
  <c r="W59" i="51"/>
  <c r="AS51" i="56"/>
  <c r="AS53" i="56" s="1"/>
  <c r="AR19" i="56" s="1"/>
  <c r="AC47" i="28"/>
  <c r="I10" i="22"/>
  <c r="AT15" i="56"/>
  <c r="AL15" i="56" s="1"/>
  <c r="I19" i="22"/>
  <c r="Y23" i="22"/>
  <c r="AD22" i="51"/>
  <c r="AD21" i="51"/>
  <c r="AD20" i="51"/>
  <c r="G9" i="22" s="1"/>
  <c r="AC7" i="28"/>
  <c r="AT90" i="56"/>
  <c r="AT75" i="56"/>
  <c r="AT65" i="56"/>
  <c r="AT70" i="56"/>
  <c r="AT60" i="56"/>
  <c r="AT85" i="56"/>
  <c r="AR39" i="56"/>
  <c r="AR24" i="56"/>
  <c r="AR49" i="56"/>
  <c r="AR44" i="56"/>
  <c r="AR29" i="56"/>
  <c r="AR34" i="56"/>
  <c r="AD33" i="51"/>
  <c r="T51" i="51"/>
  <c r="AD46" i="52"/>
  <c r="AD47" i="52"/>
  <c r="AD48" i="52"/>
  <c r="AC44" i="52"/>
  <c r="W44" i="52" s="1"/>
  <c r="I28" i="22"/>
  <c r="AC46" i="28"/>
  <c r="W46" i="28" s="1"/>
  <c r="AC7" i="51"/>
  <c r="W7" i="51" s="1"/>
  <c r="AC38" i="52"/>
  <c r="W38" i="52" s="1"/>
  <c r="V38" i="52" s="1"/>
  <c r="Y24" i="22"/>
  <c r="AD33" i="52"/>
  <c r="T51" i="52"/>
  <c r="W59" i="52"/>
  <c r="AS151" i="56"/>
  <c r="AS153" i="56" s="1"/>
  <c r="AR14" i="56"/>
  <c r="AD33" i="28"/>
  <c r="T51" i="28"/>
  <c r="AR89" i="56"/>
  <c r="AR79" i="56"/>
  <c r="AR64" i="56"/>
  <c r="AR59" i="56"/>
  <c r="AR99" i="56"/>
  <c r="AR69" i="56"/>
  <c r="AR74" i="56"/>
  <c r="AU151" i="56"/>
  <c r="AU153" i="56" s="1"/>
  <c r="W60" i="52"/>
  <c r="AT50" i="56"/>
  <c r="AT35" i="56"/>
  <c r="AT10" i="56"/>
  <c r="AT40" i="56"/>
  <c r="AT30" i="56"/>
  <c r="AT45" i="56"/>
  <c r="AT25" i="56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80" i="56" l="1"/>
  <c r="AU80" i="56" s="1"/>
  <c r="AR84" i="56"/>
  <c r="AT100" i="56"/>
  <c r="AU15" i="56"/>
  <c r="AR9" i="56"/>
  <c r="AC47" i="52"/>
  <c r="K10" i="22"/>
  <c r="AL74" i="56"/>
  <c r="AS74" i="56"/>
  <c r="AU75" i="56"/>
  <c r="AL75" i="56"/>
  <c r="AR144" i="56"/>
  <c r="AR134" i="56"/>
  <c r="AR149" i="56"/>
  <c r="AR124" i="56"/>
  <c r="AR129" i="56"/>
  <c r="AR114" i="56"/>
  <c r="AR139" i="56"/>
  <c r="AR119" i="56"/>
  <c r="AL79" i="56"/>
  <c r="AS79" i="56"/>
  <c r="AT150" i="56"/>
  <c r="AT140" i="56"/>
  <c r="AT145" i="56"/>
  <c r="AT125" i="56"/>
  <c r="AT120" i="56"/>
  <c r="AT135" i="56"/>
  <c r="AT130" i="56"/>
  <c r="AT115" i="56"/>
  <c r="AU70" i="56"/>
  <c r="AL70" i="56"/>
  <c r="AC33" i="51"/>
  <c r="J9" i="22"/>
  <c r="AU30" i="56"/>
  <c r="AL30" i="56"/>
  <c r="AC46" i="51"/>
  <c r="J28" i="22"/>
  <c r="AU40" i="56"/>
  <c r="AL40" i="56"/>
  <c r="AS44" i="56"/>
  <c r="AL44" i="56"/>
  <c r="AU60" i="56"/>
  <c r="AL60" i="56"/>
  <c r="AT110" i="56"/>
  <c r="AS29" i="56"/>
  <c r="AL29" i="56"/>
  <c r="AS19" i="56"/>
  <c r="AL19" i="56"/>
  <c r="AU85" i="56"/>
  <c r="AL85" i="56"/>
  <c r="AC47" i="51"/>
  <c r="AL10" i="56"/>
  <c r="AU10" i="56"/>
  <c r="AL69" i="56"/>
  <c r="AS69" i="56"/>
  <c r="I9" i="22"/>
  <c r="AC33" i="28"/>
  <c r="AL9" i="56"/>
  <c r="AS9" i="56"/>
  <c r="AL80" i="56"/>
  <c r="AC48" i="51"/>
  <c r="J19" i="22"/>
  <c r="AL84" i="56"/>
  <c r="AS84" i="56"/>
  <c r="AC21" i="28"/>
  <c r="F10" i="22"/>
  <c r="AL35" i="56"/>
  <c r="AU35" i="56"/>
  <c r="AL94" i="56"/>
  <c r="AS94" i="56"/>
  <c r="AC48" i="52"/>
  <c r="K19" i="22"/>
  <c r="AS49" i="56"/>
  <c r="AL49" i="56"/>
  <c r="AL95" i="56"/>
  <c r="AU95" i="56"/>
  <c r="AU45" i="56"/>
  <c r="AL45" i="56"/>
  <c r="AL90" i="56"/>
  <c r="AU90" i="56"/>
  <c r="AL89" i="56"/>
  <c r="AS89" i="56"/>
  <c r="AC22" i="28"/>
  <c r="F19" i="22"/>
  <c r="AL50" i="56"/>
  <c r="AU50" i="56"/>
  <c r="AS99" i="56"/>
  <c r="AL99" i="56"/>
  <c r="AS14" i="56"/>
  <c r="AL14" i="56"/>
  <c r="AC33" i="52"/>
  <c r="K9" i="22"/>
  <c r="AS24" i="56"/>
  <c r="AL24" i="56"/>
  <c r="AC20" i="51"/>
  <c r="G28" i="22"/>
  <c r="F28" i="22"/>
  <c r="AC20" i="28"/>
  <c r="AU20" i="56"/>
  <c r="AL20" i="56"/>
  <c r="AL59" i="56"/>
  <c r="AS59" i="56"/>
  <c r="AR109" i="56"/>
  <c r="AC46" i="52"/>
  <c r="W46" i="52" s="1"/>
  <c r="K28" i="22"/>
  <c r="AS39" i="56"/>
  <c r="AL39" i="56"/>
  <c r="AU65" i="56"/>
  <c r="AL65" i="56"/>
  <c r="AC21" i="51"/>
  <c r="G10" i="22"/>
  <c r="AU100" i="56"/>
  <c r="AL100" i="56"/>
  <c r="AU25" i="56"/>
  <c r="AL25" i="56"/>
  <c r="AS64" i="56"/>
  <c r="AL64" i="56"/>
  <c r="AS34" i="56"/>
  <c r="AL34" i="56"/>
  <c r="AC22" i="51"/>
  <c r="G19" i="22"/>
  <c r="F24" i="48"/>
  <c r="AI10" i="48"/>
  <c r="AS104" i="56" l="1"/>
  <c r="AS105" i="56" s="1"/>
  <c r="W20" i="28"/>
  <c r="AC27" i="51"/>
  <c r="AL134" i="56"/>
  <c r="AS134" i="56"/>
  <c r="AU115" i="56"/>
  <c r="AL115" i="56"/>
  <c r="AS109" i="56"/>
  <c r="AL109" i="56"/>
  <c r="W33" i="28"/>
  <c r="AC54" i="28"/>
  <c r="AQ101" i="56" s="1"/>
  <c r="AQ103" i="56" s="1"/>
  <c r="AP93" i="56" s="1"/>
  <c r="AU110" i="56"/>
  <c r="AL110" i="56"/>
  <c r="AL114" i="56"/>
  <c r="AS114" i="56"/>
  <c r="AS54" i="56"/>
  <c r="AS55" i="56" s="1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AC54" i="51"/>
  <c r="AQ51" i="56" s="1"/>
  <c r="AQ53" i="56" s="1"/>
  <c r="AP18" i="56" s="1"/>
  <c r="AS139" i="56"/>
  <c r="AL139" i="56"/>
  <c r="AS149" i="56"/>
  <c r="AL149" i="56"/>
  <c r="W20" i="51"/>
  <c r="AU150" i="56"/>
  <c r="AL150" i="56"/>
  <c r="AU135" i="56"/>
  <c r="AL135" i="56"/>
  <c r="W33" i="52"/>
  <c r="AC54" i="52"/>
  <c r="AQ151" i="56" s="1"/>
  <c r="AQ153" i="56" s="1"/>
  <c r="AU54" i="56"/>
  <c r="AU55" i="56" s="1"/>
  <c r="AU120" i="56"/>
  <c r="AL120" i="56"/>
  <c r="W46" i="51"/>
  <c r="AL129" i="56"/>
  <c r="AS129" i="56"/>
  <c r="AU125" i="56"/>
  <c r="AL125" i="56"/>
  <c r="AO101" i="56" l="1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N31" i="56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N91" i="56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N86" i="56"/>
  <c r="AQ78" i="56"/>
  <c r="AL78" i="56"/>
  <c r="AQ73" i="56"/>
  <c r="AL73" i="56"/>
  <c r="AO6" i="56"/>
  <c r="AO36" i="56"/>
  <c r="AO31" i="56"/>
  <c r="AL31" i="56"/>
  <c r="AO26" i="56"/>
  <c r="AL26" i="56"/>
  <c r="AO16" i="56"/>
  <c r="AL16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O56" i="56"/>
  <c r="AQ133" i="56"/>
  <c r="AL133" i="56"/>
  <c r="AQ23" i="56"/>
  <c r="AL23" i="56"/>
  <c r="AL91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L86" i="56"/>
  <c r="AQ38" i="56"/>
  <c r="AL38" i="56"/>
  <c r="AL96" i="56" l="1"/>
  <c r="AL11" i="56"/>
  <c r="AO81" i="56"/>
  <c r="AO41" i="56"/>
  <c r="AO61" i="56"/>
  <c r="AL66" i="56"/>
  <c r="AL21" i="56"/>
  <c r="AO21" i="56"/>
  <c r="AO54" i="56" s="1"/>
  <c r="AO55" i="56" s="1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104" i="56" l="1"/>
  <c r="AO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F25" i="48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AI9" i="48" l="1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AD22" i="52"/>
  <c r="AC10" i="52"/>
  <c r="W10" i="52" s="1"/>
  <c r="H11" i="22"/>
  <c r="Y11" i="22" s="1"/>
  <c r="AC18" i="52"/>
  <c r="W18" i="52" s="1"/>
  <c r="G22" i="22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AC11" i="52"/>
  <c r="W11" i="52" s="1"/>
  <c r="H9" i="22"/>
  <c r="AC7" i="52"/>
  <c r="AC16" i="52"/>
  <c r="W16" i="52" s="1"/>
  <c r="H17" i="22"/>
  <c r="Y17" i="22" s="1"/>
  <c r="AB13" i="52" l="1"/>
  <c r="AE11" i="22"/>
  <c r="AA11" i="22"/>
  <c r="AD39" i="52"/>
  <c r="AC22" i="52"/>
  <c r="H19" i="22"/>
  <c r="Y19" i="22" s="1"/>
  <c r="AC27" i="52"/>
  <c r="AO151" i="56" s="1"/>
  <c r="W7" i="52"/>
  <c r="V7" i="52" s="1"/>
  <c r="AD39" i="28"/>
  <c r="H28" i="22"/>
  <c r="Y28" i="22" s="1"/>
  <c r="AC20" i="52"/>
  <c r="Y22" i="22"/>
  <c r="AD13" i="28"/>
  <c r="AD27" i="52"/>
  <c r="H26" i="22"/>
  <c r="AD13" i="51"/>
  <c r="AD39" i="5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K26" i="22"/>
  <c r="K29" i="22" s="1"/>
  <c r="AD54" i="52"/>
  <c r="AA10" i="22"/>
  <c r="AE10" i="22"/>
  <c r="J26" i="22"/>
  <c r="J29" i="22" s="1"/>
  <c r="AD54" i="51"/>
  <c r="AB39" i="51"/>
  <c r="AB13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<sst xmlns="http://schemas.openxmlformats.org/spreadsheetml/2006/main" count="69786" uniqueCount="1104">
  <si>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</si>
  <si>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</si>
  <si>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</si>
  <si>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</si>
  <si>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</si>
  <si>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</si>
  <si>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</si>
  <si>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</si>
  <si>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</si>
  <si>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</si>
  <si>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</si>
  <si>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</si>
  <si>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</si>
  <si>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</si>
  <si>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</si>
  <si>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</si>
  <si>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</si>
  <si>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</si>
  <si>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</si>
  <si>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</si>
  <si>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</si>
  <si>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</si>
  <si>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</si>
  <si>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</si>
  <si>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</si>
  <si>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</si>
  <si>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</si>
  <si>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</si>
  <si>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</si>
  <si>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</si>
  <si>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</si>
  <si>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</si>
  <si>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</si>
  <si>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</si>
  <si>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</si>
  <si>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</si>
  <si>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</si>
  <si>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</si>
  <si>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</si>
  <si>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</si>
  <si>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</si>
  <si>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</si>
  <si>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</si>
  <si>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</si>
  <si>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</si>
  <si>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</si>
  <si>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</si>
  <si>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</si>
  <si>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</si>
  <si>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</si>
  <si>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</si>
  <si>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</si>
  <si>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</si>
  <si>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</si>
  <si>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</si>
  <si>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</si>
  <si>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</si>
  <si>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</si>
  <si>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</si>
  <si>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</si>
  <si>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</si>
  <si>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</si>
  <si>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</si>
  <si>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</si>
  <si>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</si>
  <si>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</si>
  <si>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</si>
  <si>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</si>
  <si>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</si>
  <si>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</si>
  <si>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</si>
  <si>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</si>
  <si>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</si>
  <si>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</si>
  <si>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</si>
  <si>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</si>
  <si>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</si>
  <si>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</si>
  <si>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</si>
  <si>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</si>
  <si>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</si>
  <si>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</si>
  <si>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</si>
  <si>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</si>
  <si>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</si>
  <si>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</si>
  <si>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</si>
  <si>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</si>
  <si>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</si>
  <si>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</si>
  <si>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</si>
  <si>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</si>
  <si>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</si>
  <si>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</si>
  <si>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</si>
  <si>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</si>
  <si>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</si>
  <si>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</si>
  <si>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</si>
  <si>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</si>
  <si>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</si>
  <si>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</si>
  <si>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</si>
  <si>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</si>
  <si>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</si>
  <si>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</si>
  <si>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</si>
  <si>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</si>
  <si>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</si>
  <si>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</si>
  <si>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</si>
  <si>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</si>
  <si>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</si>
  <si>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</si>
  <si>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</si>
  <si>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</si>
  <si>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</si>
  <si>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</si>
  <si>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</si>
  <si>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</si>
  <si>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</si>
  <si>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</si>
  <si>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</si>
  <si>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</si>
  <si>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</si>
  <si>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</si>
  <si>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</si>
  <si>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</si>
  <si>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</si>
  <si>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</si>
  <si>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</si>
  <si>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</si>
  <si>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</si>
  <si>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</si>
  <si>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</si>
  <si>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</si>
  <si>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</si>
  <si>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</si>
  <si>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</si>
  <si>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</si>
  <si>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</si>
  <si>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</si>
  <si>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</si>
  <si>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</si>
  <si>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</si>
  <si>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</si>
  <si>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</si>
  <si>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</si>
  <si>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</si>
  <si>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</si>
  <si>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</si>
  <si>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</si>
  <si>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</si>
  <si>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</si>
  <si>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</si>
  <si>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</si>
  <si>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</si>
  <si>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</si>
  <si>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</si>
  <si>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</si>
  <si>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</si>
  <si>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</si>
  <si>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</si>
  <si>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</si>
  <si>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</si>
  <si>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</si>
  <si>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</si>
  <si>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</si>
  <si>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</si>
  <si>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</si>
  <si>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</si>
  <si>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</si>
  <si>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</si>
  <si>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</si>
  <si>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</si>
  <si>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</si>
  <si>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</si>
  <si>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</si>
  <si>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</si>
  <si>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</si>
  <si>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</si>
  <si>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</si>
  <si>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</si>
  <si>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</si>
  <si>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</si>
  <si>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</si>
  <si>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</si>
  <si>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</si>
  <si>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</si>
  <si>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</si>
  <si>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</si>
  <si>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</si>
  <si>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</si>
  <si>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</si>
  <si>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</si>
  <si>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</si>
  <si>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</si>
  <si>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</si>
  <si>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</si>
  <si>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</si>
  <si>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</si>
  <si>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</si>
  <si>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</si>
  <si>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</si>
  <si>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</si>
  <si>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</si>
  <si>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</si>
  <si>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</si>
  <si>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</si>
  <si>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</si>
  <si>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</si>
  <si>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</si>
  <si>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</si>
  <si>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</si>
  <si>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</si>
  <si>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</si>
  <si>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</si>
  <si>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</si>
  <si>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</si>
  <si>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</si>
  <si>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</si>
  <si>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</si>
  <si>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</si>
  <si>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</si>
  <si>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</si>
  <si>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</si>
  <si>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</si>
  <si>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</si>
  <si>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</si>
  <si>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</si>
  <si>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</si>
  <si>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</si>
  <si>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</si>
  <si>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</si>
  <si>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</si>
  <si>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</si>
  <si>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</si>
  <si>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</si>
  <si>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</si>
  <si>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</si>
  <si>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</si>
  <si>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</si>
  <si>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</si>
  <si>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</si>
  <si>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</si>
  <si>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</si>
  <si>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</si>
  <si>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</si>
  <si>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</si>
  <si>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</si>
  <si>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</si>
  <si>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</si>
  <si>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</si>
  <si>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</si>
  <si>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</si>
  <si>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</si>
  <si>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</si>
  <si>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</si>
  <si>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</si>
  <si>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</si>
  <si>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</si>
  <si>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</si>
  <si>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</si>
  <si>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</si>
  <si>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</si>
  <si>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</si>
  <si>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</si>
  <si>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</si>
  <si>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</si>
  <si>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</si>
  <si>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</si>
  <si>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</si>
  <si>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</si>
  <si>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</si>
  <si>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</si>
  <si>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</si>
  <si>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</si>
  <si>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</si>
  <si>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</si>
  <si>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</si>
  <si>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</si>
  <si>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</si>
  <si>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</si>
  <si>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</si>
  <si>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</si>
  <si>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</si>
  <si>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</si>
  <si>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</si>
  <si>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</si>
  <si>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</si>
  <si>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</si>
  <si>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</si>
  <si>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</si>
  <si>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</si>
  <si>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</si>
  <si>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</si>
  <si>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</si>
  <si>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</si>
  <si>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</si>
  <si>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</si>
  <si>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</si>
  <si>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</si>
  <si>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</si>
  <si>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</si>
  <si>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</si>
  <si>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</si>
  <si>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</si>
  <si>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</si>
  <si>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</si>
  <si>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</si>
  <si>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</si>
  <si>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</si>
  <si>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</si>
  <si>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</si>
  <si>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</si>
  <si>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</si>
  <si>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</si>
  <si>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</si>
  <si>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</si>
  <si>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</si>
  <si>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</si>
  <si>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</si>
  <si>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</si>
  <si>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</si>
  <si>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</si>
  <si>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</si>
  <si>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</si>
  <si>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</si>
  <si>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</si>
  <si>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</si>
  <si>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</si>
  <si>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</si>
  <si>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</si>
  <si>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</si>
  <si>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</si>
  <si>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</si>
  <si>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</si>
  <si>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</si>
  <si>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</si>
  <si>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</si>
  <si>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</si>
  <si>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</si>
  <si>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</si>
  <si>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</si>
  <si>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</si>
  <si>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</si>
  <si>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</si>
  <si>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</si>
  <si>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</si>
  <si>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</si>
  <si>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</si>
  <si>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</si>
  <si>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</si>
  <si>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</si>
  <si>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</si>
  <si>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</si>
  <si>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</si>
  <si>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</si>
  <si>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</si>
  <si>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</si>
  <si>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</si>
  <si>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</si>
  <si>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</si>
  <si>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</si>
  <si>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</si>
  <si>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</si>
  <si>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</si>
  <si>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</si>
  <si>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</si>
  <si>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</si>
  <si>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</si>
  <si>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</si>
  <si>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</si>
  <si>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</si>
  <si>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</si>
  <si>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</si>
  <si>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</si>
  <si>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</si>
  <si>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</si>
  <si>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</si>
  <si>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</si>
  <si>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</si>
  <si>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</si>
  <si>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</si>
  <si>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</si>
  <si>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</si>
  <si>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</si>
  <si>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</si>
  <si>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</si>
  <si>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</si>
  <si>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</si>
  <si>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</si>
  <si>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</si>
  <si>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</si>
  <si>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</si>
  <si>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</si>
  <si>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</si>
  <si>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</si>
  <si>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</si>
  <si>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</si>
  <si>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</si>
  <si>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</si>
  <si>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</si>
  <si>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</si>
  <si>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</si>
  <si>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</si>
  <si>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</si>
  <si>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</si>
  <si>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</si>
  <si>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</si>
  <si>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</si>
  <si>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</si>
  <si>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</si>
  <si>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</si>
  <si>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</si>
  <si>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</si>
  <si>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</si>
  <si>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</si>
  <si>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</si>
  <si>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</si>
  <si>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</si>
  <si>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</si>
  <si>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</si>
  <si>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</si>
  <si>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</si>
  <si>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</si>
  <si>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</si>
  <si>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</si>
  <si>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</si>
  <si>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</si>
  <si>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</si>
  <si>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</si>
  <si>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</si>
  <si>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</si>
  <si>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</si>
  <si>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</si>
  <si>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</si>
  <si>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</si>
  <si>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</si>
  <si>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</si>
  <si>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</si>
  <si>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</si>
  <si>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</si>
  <si>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</si>
  <si>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</si>
  <si>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</si>
  <si>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</si>
  <si>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</si>
  <si>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</si>
  <si>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</si>
  <si>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</si>
  <si>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</si>
  <si>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</si>
  <si>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</si>
  <si>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</si>
  <si>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</si>
  <si>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</si>
  <si>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</si>
  <si>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</si>
  <si>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</si>
  <si>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</si>
  <si>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</si>
  <si>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</si>
  <si>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</si>
  <si>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</si>
  <si>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</si>
  <si>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</si>
  <si>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</si>
  <si>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</si>
  <si>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</si>
  <si>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</si>
  <si>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</si>
  <si>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</si>
  <si>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</si>
  <si>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</si>
  <si>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</si>
  <si>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</si>
  <si>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</si>
  <si>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</si>
  <si>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</si>
  <si>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</si>
  <si>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</si>
  <si>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</si>
  <si>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</si>
  <si>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</si>
  <si>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</si>
  <si>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</si>
  <si>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</si>
  <si>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</si>
  <si>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</si>
  <si>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</si>
  <si>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</si>
  <si>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</si>
  <si>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</si>
  <si>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</si>
  <si>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</si>
  <si>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</si>
  <si>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</si>
  <si>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</si>
  <si>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</si>
  <si>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</si>
  <si>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</si>
  <si>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</si>
  <si>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</si>
  <si>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</si>
  <si>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</si>
  <si>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</si>
  <si>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</si>
  <si>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</si>
  <si>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</si>
  <si>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</si>
  <si>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</si>
  <si>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</si>
  <si>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</si>
  <si>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</si>
  <si>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</si>
  <si>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</si>
  <si>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</si>
  <si>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</si>
  <si>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</si>
  <si>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</si>
  <si>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</si>
  <si>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</si>
  <si>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</si>
  <si>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</si>
  <si>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</si>
  <si>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</si>
  <si>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</si>
  <si>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</si>
  <si>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</si>
  <si>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</si>
  <si>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</si>
  <si>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</si>
  <si>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</si>
  <si>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</si>
  <si>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</si>
  <si>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</si>
  <si>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</si>
  <si>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</si>
  <si>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</si>
  <si>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</si>
  <si>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</si>
  <si>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</si>
  <si>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</si>
  <si>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</si>
  <si>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</si>
  <si>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</si>
  <si>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</si>
  <si>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</si>
  <si>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</si>
  <si>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</si>
  <si>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</si>
  <si>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</si>
  <si>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</si>
  <si>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</si>
  <si>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</si>
  <si>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</si>
  <si>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</si>
  <si>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</si>
  <si>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</si>
  <si>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</si>
  <si>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</si>
  <si>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</si>
  <si>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</si>
  <si>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</si>
  <si>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</si>
  <si>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</si>
  <si>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</si>
  <si>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</si>
  <si>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</si>
  <si>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</si>
  <si>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</si>
  <si>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</si>
  <si>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</si>
  <si>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</si>
  <si>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</si>
  <si>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</si>
  <si>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</si>
  <si>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</si>
  <si>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</si>
  <si>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</si>
  <si>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</si>
  <si>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</si>
  <si>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</si>
  <si>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</si>
  <si>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</si>
  <si>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</si>
  <si>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</si>
  <si>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</si>
  <si>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</si>
  <si>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</si>
  <si>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</si>
  <si>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</si>
  <si>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</si>
  <si>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</si>
  <si>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</si>
  <si>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</si>
  <si>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</si>
  <si>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</si>
  <si>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</si>
  <si>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</si>
  <si>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</si>
  <si>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</si>
  <si>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</si>
  <si>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</si>
  <si>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</si>
  <si>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</si>
  <si>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</si>
  <si>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</si>
  <si>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</si>
  <si>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</si>
  <si>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</si>
  <si>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</si>
  <si>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</si>
  <si>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</si>
  <si>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</si>
  <si>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</si>
  <si>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</si>
  <si>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</si>
  <si>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</si>
  <si>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</si>
  <si>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</si>
  <si>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</si>
  <si>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</si>
  <si>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</si>
  <si>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</si>
  <si>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</si>
  <si>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</si>
  <si>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</si>
  <si>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</si>
  <si>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</si>
  <si>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</si>
  <si>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</si>
  <si>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</si>
  <si>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</si>
  <si>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</si>
  <si>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</si>
  <si>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</si>
  <si>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</si>
  <si>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</si>
  <si>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</si>
  <si>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</si>
  <si>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</si>
  <si>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</si>
  <si>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</si>
  <si>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</si>
  <si>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</si>
  <si>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</si>
  <si>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</si>
  <si>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</si>
  <si>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</si>
  <si>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</si>
  <si>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</si>
  <si>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</si>
  <si>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</si>
  <si>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</si>
  <si>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</si>
  <si>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</si>
  <si>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</si>
  <si>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</si>
  <si>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</si>
  <si>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</si>
  <si>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</si>
  <si>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</si>
  <si>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</si>
  <si>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</si>
  <si>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</si>
  <si>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</si>
  <si>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</si>
  <si>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</si>
  <si>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</si>
  <si>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</si>
  <si>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</si>
  <si>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</si>
  <si>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</si>
  <si>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</si>
  <si>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</si>
  <si>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</si>
  <si>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</si>
  <si>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</si>
  <si>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</si>
  <si>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</si>
  <si>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</si>
  <si>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</si>
  <si>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</si>
  <si>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</si>
  <si>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</si>
  <si>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</si>
  <si>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</si>
  <si>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</si>
  <si>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</si>
  <si>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</si>
  <si>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</si>
  <si>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</si>
  <si>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</si>
  <si>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</si>
  <si>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</si>
  <si>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</si>
  <si>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</si>
  <si>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</si>
  <si>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</si>
  <si>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</si>
  <si>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</si>
  <si>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</si>
  <si>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</si>
  <si>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</si>
  <si>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</si>
  <si>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</si>
  <si>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</si>
  <si>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</si>
  <si>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</si>
  <si>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</si>
  <si>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</si>
  <si>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</si>
  <si>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</si>
  <si>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</si>
  <si>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</si>
  <si>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</si>
  <si>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</si>
  <si>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</si>
  <si>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</si>
  <si>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</si>
  <si>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</si>
  <si>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</si>
  <si>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</si>
  <si>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</si>
  <si>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</si>
  <si>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</si>
  <si>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</si>
  <si>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</si>
  <si>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</si>
  <si>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</si>
  <si>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</si>
  <si>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</si>
  <si>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</si>
  <si>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</si>
  <si>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</si>
  <si>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</si>
  <si>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</si>
  <si>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</si>
  <si>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</si>
  <si>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</si>
  <si>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</si>
  <si>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</si>
  <si>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</si>
  <si>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</si>
  <si>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</si>
  <si>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</si>
  <si>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</si>
  <si>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</si>
  <si>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</si>
  <si>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</si>
  <si>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</si>
  <si>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</si>
  <si>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</si>
  <si>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</si>
  <si>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</si>
  <si>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</si>
  <si>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</si>
  <si>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</si>
  <si>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</si>
  <si>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</si>
  <si>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</si>
  <si>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</si>
  <si>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</si>
  <si>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</si>
  <si>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</si>
  <si>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</si>
  <si>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</si>
  <si>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</si>
  <si>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</si>
  <si>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</si>
  <si>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</si>
  <si>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</si>
  <si>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</si>
  <si>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</si>
  <si>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</si>
  <si>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</si>
  <si>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</si>
  <si>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</si>
  <si>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</si>
  <si>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</si>
  <si>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</si>
  <si>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</si>
  <si>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</si>
  <si>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</si>
  <si>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</si>
  <si>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</si>
  <si>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</si>
  <si>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</si>
  <si>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</si>
  <si>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</si>
  <si>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</si>
  <si>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</si>
  <si>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</si>
  <si>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</si>
  <si>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</si>
  <si>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</si>
  <si>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</si>
  <si>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</si>
  <si>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</si>
  <si>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</si>
  <si>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</si>
  <si>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</si>
  <si>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</si>
  <si>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</si>
  <si>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</si>
  <si>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</si>
  <si>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</si>
  <si>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</si>
  <si>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</si>
  <si>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</si>
  <si>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</si>
  <si>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</si>
  <si>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</si>
  <si>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</si>
  <si>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</si>
  <si>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</si>
  <si>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</si>
  <si>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</si>
  <si>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</si>
  <si>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</si>
  <si>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</si>
  <si>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</si>
  <si>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</si>
  <si>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</si>
  <si>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</si>
  <si>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</si>
  <si>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</si>
  <si>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</si>
  <si>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</si>
  <si>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</si>
  <si>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</si>
  <si>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</si>
  <si>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</si>
  <si>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</si>
  <si>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</si>
  <si>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</si>
  <si>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</si>
  <si>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</si>
  <si>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</si>
  <si>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</si>
  <si>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</si>
  <si>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</si>
  <si>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</si>
  <si>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</si>
  <si>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</si>
  <si>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</si>
  <si>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</si>
  <si>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</si>
  <si>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</si>
  <si>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</si>
  <si>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</si>
  <si>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</si>
  <si>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</si>
  <si>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</si>
  <si>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</si>
  <si>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</si>
  <si>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</si>
  <si>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</si>
  <si>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</si>
  <si>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</si>
  <si>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</si>
  <si>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</si>
  <si>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</si>
  <si>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</si>
  <si>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</si>
  <si>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</si>
  <si>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</si>
  <si>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</si>
  <si>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</si>
  <si>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</si>
  <si>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</si>
  <si>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</si>
  <si>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</si>
  <si>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</si>
  <si>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</si>
  <si>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</si>
  <si>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</si>
  <si>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</si>
  <si>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</si>
  <si>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</si>
  <si>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</si>
  <si>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</si>
  <si>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</si>
  <si>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</si>
  <si>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</si>
  <si>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</si>
  <si>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</si>
  <si>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</si>
  <si>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</si>
  <si>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</si>
  <si>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</si>
  <si>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</si>
  <si>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</si>
  <si>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</si>
  <si>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</si>
  <si>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</si>
  <si>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</si>
  <si>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</si>
  <si>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</si>
  <si>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</si>
  <si>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</si>
  <si>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</si>
  <si>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</si>
  <si>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</si>
  <si>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</si>
  <si>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</si>
  <si>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</si>
  <si>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</si>
  <si>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</si>
  <si>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</si>
  <si>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</si>
  <si>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</si>
  <si>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</si>
  <si>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</si>
  <si>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</si>
  <si>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</si>
  <si>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</si>
  <si>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</si>
  <si>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</si>
  <si>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</si>
  <si>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</si>
  <si>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</si>
  <si>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</si>
  <si>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</si>
  <si>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</si>
  <si>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</si>
  <si>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</si>
  <si>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</si>
  <si>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</si>
  <si>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</si>
  <si>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</si>
  <si>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</si>
  <si>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</si>
  <si>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</si>
  <si>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</si>
  <si>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</si>
  <si>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</si>
  <si>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</si>
  <si>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</si>
  <si>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</si>
  <si>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</si>
  <si>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</si>
  <si>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</si>
  <si>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</si>
  <si>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</si>
  <si>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</si>
  <si>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</si>
  <si>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</si>
  <si>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</si>
  <si>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</si>
  <si>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</si>
  <si>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</si>
  <si>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</si>
  <si>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</si>
  <si>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</si>
  <si>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</si>
  <si>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</si>
  <si>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</si>
  <si>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</si>
  <si>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</si>
  <si>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</si>
  <si>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</si>
  <si>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</si>
  <si>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</si>
  <si>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</si>
  <si>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</si>
  <si>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</si>
  <si>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</si>
  <si>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</si>
  <si>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</si>
  <si>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</si>
  <si>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</si>
  <si>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</si>
  <si>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</si>
  <si>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</si>
  <si>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</si>
  <si>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</si>
  <si>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</si>
  <si>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</si>
  <si>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</si>
  <si>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</si>
  <si>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</si>
  <si>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</si>
  <si>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</si>
  <si>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</si>
  <si>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</si>
  <si>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</si>
  <si>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</si>
  <si>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</si>
  <si>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</si>
  <si>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</si>
  <si>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</si>
  <si>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</si>
  <si>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</si>
  <si>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</si>
  <si>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</si>
  <si>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</si>
  <si>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</si>
  <si>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</si>
  <si>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</si>
  <si>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</si>
  <si>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</si>
  <si>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</si>
  <si>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</si>
  <si>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</si>
  <si>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</si>
  <si>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</si>
  <si>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</si>
  <si>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</si>
  <si>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</si>
  <si>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</si>
  <si>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</si>
  <si>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</si>
  <si>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</si>
  <si>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</si>
  <si>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</si>
  <si>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</si>
  <si>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</si>
  <si>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</si>
  <si>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</si>
  <si>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</si>
  <si>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</si>
  <si>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</si>
  <si>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</si>
  <si>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</si>
  <si>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</si>
  <si>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</si>
  <si>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</si>
  <si>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</si>
  <si>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</si>
  <si>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</si>
  <si>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</si>
  <si>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</si>
  <si>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</si>
  <si>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</si>
  <si>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</si>
  <si>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</si>
  <si>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</si>
  <si>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</si>
  <si>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</si>
  <si>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</si>
  <si>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</si>
  <si>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</si>
  <si>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</si>
  <si>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</si>
  <si>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</si>
  <si>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</si>
  <si>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</si>
  <si>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</si>
  <si>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</si>
  <si>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</si>
  <si>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</si>
  <si>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</si>
  <si>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</si>
  <si>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</si>
  <si>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</si>
  <si>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</si>
  <si>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</si>
  <si>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</si>
  <si>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</si>
  <si>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</si>
  <si>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</si>
  <si>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</si>
  <si>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</si>
  <si>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</si>
  <si>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</si>
  <si>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</si>
  <si>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</si>
  <si>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</si>
  <si>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</si>
  <si>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</si>
  <si>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</si>
  <si>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</si>
  <si>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</si>
  <si>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</si>
  <si>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</si>
  <si>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</si>
  <si>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</si>
  <si>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</si>
  <si>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</si>
  <si>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</si>
  <si>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</si>
  <si>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</si>
  <si>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</si>
  <si>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</si>
  <si>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</si>
  <si>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</si>
  <si>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</si>
  <si>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</si>
  <si>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</si>
  <si>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</si>
  <si>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</si>
  <si>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</si>
  <si>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</si>
  <si>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</si>
  <si>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</si>
  <si>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</si>
  <si>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~FI_T:Stock</t>
  </si>
  <si>
    <t>E-LM</t>
  </si>
  <si>
    <t>YEAR</t>
  </si>
  <si>
    <t>AFA~LO</t>
  </si>
  <si>
    <t xml:space="preserve">Low AFA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</si>
</sst>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18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170" fontId="15" fillId="7" borderId="0" xfId="0" applyNumberFormat="1" applyFont="1" applyFill="1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0" fillId="0" borderId="0" xfId="0"/>
    <xf numFmtId="0" fontId="29" fillId="9" borderId="6" xfId="2" applyBorder="1" applyAlignment="1"/>
    <xf numFmtId="0" fontId="0" fillId="0" borderId="0" xfId="0"/>
    <xf numFmtId="168" fontId="15" fillId="35" borderId="18" xfId="0" applyNumberFormat="1" applyFont="1" applyFill="1" applyBorder="1"/>
    <xf numFmtId="0" fontId="0" fillId="0" borderId="0" xfId="0"/>
    <xf numFmtId="0" fontId="0" fillId="0" borderId="0" xfId="0"/>
    <xf numFmtId="0" fontId="32" fillId="35" borderId="0" xfId="0" applyFont="1" applyFill="1"/>
    <xf numFmtId="170" fontId="29" fillId="14" borderId="0" xfId="0" applyNumberFormat="1" applyFont="1" applyFill="1"/>
    <xf numFmtId="9" fontId="35" fillId="0" borderId="0" xfId="0" applyNumberFormat="1" applyFont="1" applyFill="1"/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18" t="s">
        <v>860</v>
      </c>
      <c r="B16" s="1218"/>
      <c r="C16" s="1218"/>
      <c r="D16" s="1218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17" t="s">
        <v>875</v>
      </c>
      <c r="C19" s="1217"/>
      <c r="D19" s="1217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861</v>
      </c>
      <c r="B20" s="1217" t="s">
        <v>876</v>
      </c>
      <c r="C20" s="1217"/>
      <c r="D20" s="1217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862</v>
      </c>
      <c r="B21" s="1007" t="s">
        <v>877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863</v>
      </c>
      <c r="B23" s="1217" t="s">
        <v>871</v>
      </c>
      <c r="C23" s="1217"/>
      <c r="D23" s="1217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17" t="s">
        <v>872</v>
      </c>
      <c r="C24" s="1217"/>
      <c r="D24" s="1217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17" t="s">
        <v>873</v>
      </c>
      <c r="C25" s="1217"/>
      <c r="D25" s="1217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864</v>
      </c>
      <c r="B26" s="1217" t="s">
        <v>871</v>
      </c>
      <c r="C26" s="1217"/>
      <c r="D26" s="1217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17" t="s">
        <v>874</v>
      </c>
      <c r="C27" s="1217"/>
      <c r="D27" s="1217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865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866</v>
      </c>
      <c r="B30" s="1219" t="s">
        <v>867</v>
      </c>
      <c r="C30" s="1217"/>
      <c r="D30" s="1217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868</v>
      </c>
      <c r="B31" s="1217" t="s">
        <v>869</v>
      </c>
      <c r="C31" s="1217"/>
      <c r="D31" s="1217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870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20" t="s">
        <v>2</v>
      </c>
      <c r="C2" s="1221"/>
      <c r="D2" s="1221"/>
      <c r="E2" s="1222"/>
      <c r="G2" s="1220" t="s">
        <v>3</v>
      </c>
      <c r="H2" s="1222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849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20" t="s">
        <v>11</v>
      </c>
      <c r="H11" s="1222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1093</v>
      </c>
      <c r="C15" s="499" t="s">
        <v>1094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23" t="s">
        <v>597</v>
      </c>
      <c r="H18" s="1224"/>
    </row>
    <row r="19" spans="2:8" ht="15">
      <c r="B19" s="496"/>
      <c r="C19" s="496"/>
      <c r="D19" s="981"/>
      <c r="E19" s="508"/>
      <c r="G19" s="536" t="s">
        <v>17</v>
      </c>
      <c r="H19" s="536" t="s">
        <v>754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27" t="s">
        <v>595</v>
      </c>
      <c r="C27" s="1228"/>
      <c r="D27" s="1228"/>
      <c r="E27" s="1228"/>
      <c r="F27" s="1228"/>
      <c r="G27" s="1228"/>
      <c r="H27" s="1228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854</v>
      </c>
      <c r="G28" s="1225" t="s">
        <v>754</v>
      </c>
      <c r="H28" s="1226"/>
    </row>
    <row r="29" spans="2:8" ht="15" customHeight="1">
      <c r="B29" s="542" t="s">
        <v>15</v>
      </c>
      <c r="C29" s="537" t="s">
        <v>596</v>
      </c>
      <c r="D29" s="537"/>
      <c r="E29" s="543"/>
      <c r="F29" s="992" t="s">
        <v>855</v>
      </c>
      <c r="G29" s="543"/>
    </row>
    <row r="30" spans="2:8" ht="15">
      <c r="B30" s="982" t="s">
        <v>16</v>
      </c>
      <c r="C30" s="990" t="s">
        <v>598</v>
      </c>
      <c r="D30" s="990"/>
      <c r="E30" s="991"/>
      <c r="F30" s="985" t="s">
        <v>312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2" t="s">
        <v>855</v>
      </c>
      <c r="G31" s="526" t="s">
        <v>1086</v>
      </c>
    </row>
    <row r="32" spans="2:8" ht="15">
      <c r="B32" s="982" t="s">
        <v>21</v>
      </c>
      <c r="C32" s="990" t="s">
        <v>599</v>
      </c>
      <c r="D32" s="984">
        <v>44044</v>
      </c>
      <c r="E32" s="991" t="s">
        <v>727</v>
      </c>
      <c r="F32" s="985" t="s">
        <v>312</v>
      </c>
      <c r="G32" s="991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3" t="s">
        <v>855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2" t="s">
        <v>855</v>
      </c>
      <c r="G34" s="526" t="s">
        <v>853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852</v>
      </c>
      <c r="D37" s="539">
        <v>43983</v>
      </c>
      <c r="E37" s="526" t="s">
        <v>727</v>
      </c>
      <c r="F37" s="993" t="s">
        <v>855</v>
      </c>
      <c r="G37" s="526" t="s">
        <v>851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3" t="s">
        <v>855</v>
      </c>
      <c r="G38" s="526" t="s">
        <v>851</v>
      </c>
    </row>
    <row r="39" spans="1:7" ht="15">
      <c r="B39" s="542" t="s">
        <v>749</v>
      </c>
      <c r="C39" s="541" t="s">
        <v>856</v>
      </c>
      <c r="D39" s="539">
        <v>43983</v>
      </c>
      <c r="E39" s="526" t="s">
        <v>727</v>
      </c>
      <c r="F39" s="993" t="s">
        <v>855</v>
      </c>
      <c r="G39" s="526" t="s">
        <v>857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3" t="s">
        <v>855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2" t="s">
        <v>855</v>
      </c>
      <c r="G41" s="526"/>
    </row>
    <row r="42" spans="1:7" ht="15">
      <c r="A42" s="508"/>
      <c r="B42" s="982" t="s">
        <v>753</v>
      </c>
      <c r="C42" s="983" t="s">
        <v>752</v>
      </c>
      <c r="D42" s="984">
        <v>44044</v>
      </c>
      <c r="E42" s="985" t="s">
        <v>727</v>
      </c>
      <c r="F42" s="985" t="s">
        <v>312</v>
      </c>
      <c r="G42" s="985"/>
    </row>
    <row r="43" spans="1:7" ht="15.75" thickBot="1">
      <c r="A43" s="508"/>
      <c r="B43" s="986" t="s">
        <v>753</v>
      </c>
      <c r="C43" s="987" t="s">
        <v>752</v>
      </c>
      <c r="D43" s="988">
        <v>44044</v>
      </c>
      <c r="E43" s="989" t="s">
        <v>727</v>
      </c>
      <c r="F43" s="989" t="s">
        <v>312</v>
      </c>
      <c r="G43" s="989"/>
    </row>
    <row r="44" spans="1:7" ht="15">
      <c r="A44" s="508"/>
      <c r="B44" s="994" t="s">
        <v>743</v>
      </c>
      <c r="C44" s="995" t="s">
        <v>858</v>
      </c>
      <c r="D44" s="539">
        <v>44044</v>
      </c>
      <c r="E44" s="526" t="s">
        <v>727</v>
      </c>
      <c r="F44" s="993" t="s">
        <v>855</v>
      </c>
      <c r="G44" s="526"/>
    </row>
    <row r="45" spans="1:7" ht="15" thickBot="1">
      <c r="A45" s="508"/>
      <c r="F45" s="508"/>
    </row>
    <row r="46" spans="1:7" ht="19.5" thickBot="1">
      <c r="B46" s="1220" t="s">
        <v>603</v>
      </c>
      <c r="C46" s="1221"/>
      <c r="D46" s="1221"/>
      <c r="E46" s="1222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848</v>
      </c>
      <c r="D48" s="546">
        <v>44166</v>
      </c>
      <c r="E48" s="1168" t="s">
        <v>727</v>
      </c>
    </row>
    <row r="49" spans="2:5" ht="15">
      <c r="B49" s="536">
        <v>1.1000000000000001</v>
      </c>
      <c r="C49" s="501" t="s">
        <v>1085</v>
      </c>
      <c r="D49" s="500">
        <v>44713</v>
      </c>
      <c r="E49" s="1169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32" t="s">
        <v>23</v>
      </c>
      <c r="B1" s="1233"/>
      <c r="C1" s="1233"/>
    </row>
    <row r="2" spans="1:3" s="67" customFormat="1">
      <c r="A2" s="918" t="s">
        <v>605</v>
      </c>
      <c r="B2" s="918" t="s">
        <v>24</v>
      </c>
      <c r="C2" s="918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8"/>
      <c r="B6" s="918" t="s">
        <v>24</v>
      </c>
      <c r="C6" s="918" t="s">
        <v>4</v>
      </c>
    </row>
    <row r="7" spans="1:3">
      <c r="A7" s="1229" t="s">
        <v>25</v>
      </c>
      <c r="B7" s="1230"/>
      <c r="C7" s="1231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491</v>
      </c>
      <c r="C25" s="271" t="s">
        <v>422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29" t="s">
        <v>26</v>
      </c>
      <c r="B28" s="1230"/>
      <c r="C28" s="1231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29" t="s">
        <v>39</v>
      </c>
      <c r="B35" s="1230"/>
      <c r="C35" s="1231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29" t="s">
        <v>47</v>
      </c>
      <c r="B39" s="1230"/>
      <c r="C39" s="1231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29" t="s">
        <v>66</v>
      </c>
      <c r="B49" s="1230"/>
      <c r="C49" s="1231"/>
    </row>
    <row r="50" spans="1:3">
      <c r="A50" s="291"/>
      <c r="B50" s="272" t="s">
        <v>709</v>
      </c>
      <c r="C50" s="271" t="s">
        <v>217</v>
      </c>
    </row>
    <row r="51" spans="1:3">
      <c r="A51" s="478" t="s">
        <v>252</v>
      </c>
      <c r="B51" s="272" t="s">
        <v>710</v>
      </c>
      <c r="C51" s="271" t="s">
        <v>720</v>
      </c>
    </row>
    <row r="52" spans="1:3">
      <c r="A52" s="291"/>
      <c r="B52" s="272" t="s">
        <v>711</v>
      </c>
      <c r="C52" s="271" t="s">
        <v>218</v>
      </c>
    </row>
    <row r="53" spans="1:3">
      <c r="A53" s="291"/>
      <c r="B53" s="272" t="s">
        <v>713</v>
      </c>
      <c r="C53" s="271" t="s">
        <v>219</v>
      </c>
    </row>
    <row r="54" spans="1:3">
      <c r="A54" s="291"/>
      <c r="B54" s="272" t="s">
        <v>712</v>
      </c>
      <c r="C54" s="271" t="s">
        <v>220</v>
      </c>
    </row>
    <row r="55" spans="1:3">
      <c r="A55" s="291"/>
      <c r="B55" s="272" t="s">
        <v>714</v>
      </c>
      <c r="C55" s="271" t="s">
        <v>222</v>
      </c>
    </row>
    <row r="56" spans="1:3">
      <c r="A56" s="291"/>
      <c r="B56" s="272" t="s">
        <v>715</v>
      </c>
      <c r="C56" s="271" t="s">
        <v>221</v>
      </c>
    </row>
    <row r="57" spans="1:3">
      <c r="A57" s="291"/>
      <c r="B57" s="272" t="s">
        <v>716</v>
      </c>
      <c r="C57" s="271" t="s">
        <v>223</v>
      </c>
    </row>
    <row r="58" spans="1:3">
      <c r="A58" s="291"/>
      <c r="B58" s="272" t="s">
        <v>67</v>
      </c>
      <c r="C58" s="271" t="s">
        <v>224</v>
      </c>
    </row>
    <row r="59" spans="1:3">
      <c r="A59" s="291"/>
      <c r="B59" s="272" t="s">
        <v>717</v>
      </c>
      <c r="C59" s="271" t="s">
        <v>225</v>
      </c>
    </row>
    <row r="60" spans="1:3">
      <c r="A60" s="291"/>
      <c r="B60" s="272" t="s">
        <v>718</v>
      </c>
      <c r="C60" s="271" t="s">
        <v>721</v>
      </c>
    </row>
    <row r="61" spans="1:3">
      <c r="A61" s="478" t="s">
        <v>252</v>
      </c>
      <c r="B61" s="272" t="s">
        <v>719</v>
      </c>
      <c r="C61" s="271" t="s">
        <v>722</v>
      </c>
    </row>
    <row r="62" spans="1:3">
      <c r="A62" s="1229" t="s">
        <v>68</v>
      </c>
      <c r="B62" s="1230"/>
      <c r="C62" s="1231"/>
    </row>
    <row r="63" spans="1:3">
      <c r="A63" s="1229" t="s">
        <v>69</v>
      </c>
      <c r="B63" s="1230"/>
      <c r="C63" s="1231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610</v>
      </c>
      <c r="C67" s="272" t="s">
        <v>613</v>
      </c>
    </row>
    <row r="68" spans="1:3">
      <c r="A68" s="290"/>
      <c r="B68" s="271" t="s">
        <v>611</v>
      </c>
      <c r="C68" s="272" t="s">
        <v>614</v>
      </c>
    </row>
    <row r="69" spans="1:3">
      <c r="A69" s="290"/>
      <c r="B69" s="271" t="s">
        <v>612</v>
      </c>
      <c r="C69" s="272" t="s">
        <v>615</v>
      </c>
    </row>
    <row r="70" spans="1:3">
      <c r="A70" s="1229" t="s">
        <v>76</v>
      </c>
      <c r="B70" s="1230"/>
      <c r="C70" s="1231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29" t="s">
        <v>483</v>
      </c>
      <c r="B76" s="1230"/>
      <c r="C76" s="1231"/>
    </row>
    <row r="77" spans="1:3">
      <c r="B77" s="272" t="s">
        <v>618</v>
      </c>
      <c r="C77" s="271" t="s">
        <v>481</v>
      </c>
    </row>
    <row r="78" spans="1:3">
      <c r="B78" s="272" t="s">
        <v>482</v>
      </c>
      <c r="C78" s="271" t="s">
        <v>492</v>
      </c>
    </row>
    <row r="79" spans="1:3">
      <c r="B79" s="272" t="s">
        <v>616</v>
      </c>
      <c r="C79" s="271" t="s">
        <v>617</v>
      </c>
    </row>
    <row r="80" spans="1:3">
      <c r="B80" s="272" t="s">
        <v>485</v>
      </c>
      <c r="C80" s="271" t="s">
        <v>484</v>
      </c>
    </row>
    <row r="81" spans="1:3">
      <c r="B81" s="272" t="s">
        <v>619</v>
      </c>
      <c r="C81" s="272" t="s">
        <v>620</v>
      </c>
    </row>
    <row r="82" spans="1:3">
      <c r="B82" s="272" t="s">
        <v>486</v>
      </c>
      <c r="C82" s="272" t="s">
        <v>487</v>
      </c>
    </row>
    <row r="83" spans="1:3">
      <c r="B83" s="272" t="s">
        <v>621</v>
      </c>
      <c r="C83" s="80" t="s">
        <v>622</v>
      </c>
    </row>
    <row r="84" spans="1:3">
      <c r="A84" s="1229" t="s">
        <v>706</v>
      </c>
      <c r="B84" s="1230"/>
      <c r="C84" s="1231"/>
    </row>
    <row r="85" spans="1:3">
      <c r="B85" s="80" t="s">
        <v>707</v>
      </c>
      <c r="C85" s="80" t="s">
        <v>708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1095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1096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1097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F27" sqref="F27:K27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9" t="s">
        <v>641</v>
      </c>
      <c r="G1" s="919"/>
      <c r="H1" s="919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49" t="s">
        <v>625</v>
      </c>
      <c r="G2" s="1250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51" t="s">
        <v>490</v>
      </c>
      <c r="G3" s="1252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53" t="s">
        <v>207</v>
      </c>
      <c r="G4" s="1254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55" t="s">
        <v>498</v>
      </c>
      <c r="G5" s="1256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832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833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1"/>
      <c r="F7" s="922" t="s">
        <v>217</v>
      </c>
      <c r="G7" s="923"/>
      <c r="H7" s="924"/>
      <c r="I7" s="1246" t="s">
        <v>218</v>
      </c>
      <c r="J7" s="1247"/>
      <c r="K7" s="1248"/>
      <c r="L7" s="1246" t="s">
        <v>219</v>
      </c>
      <c r="M7" s="1247"/>
      <c r="N7" s="1248"/>
      <c r="O7" s="1246" t="s">
        <v>220</v>
      </c>
      <c r="P7" s="1247"/>
      <c r="Q7" s="1248"/>
      <c r="R7" s="1244" t="s">
        <v>221</v>
      </c>
      <c r="S7" s="1246" t="s">
        <v>640</v>
      </c>
      <c r="T7" s="1247"/>
      <c r="U7" s="1247"/>
      <c r="V7" s="1247"/>
      <c r="W7" s="1247"/>
      <c r="X7" s="1248"/>
      <c r="Y7" s="1242" t="s">
        <v>703</v>
      </c>
      <c r="Z7" s="1242" t="s">
        <v>499</v>
      </c>
      <c r="AA7" s="1240" t="s">
        <v>762</v>
      </c>
      <c r="AB7" s="80"/>
      <c r="AC7" s="80"/>
      <c r="AD7" s="1238" t="s">
        <v>829</v>
      </c>
      <c r="AE7" s="1240" t="s">
        <v>830</v>
      </c>
      <c r="AF7" s="80"/>
      <c r="AG7" s="80"/>
      <c r="AH7" s="80"/>
      <c r="AI7" s="80" t="s">
        <v>709</v>
      </c>
      <c r="AK7" s="80"/>
      <c r="AL7" s="80"/>
      <c r="AM7" s="80"/>
      <c r="AN7" s="80" t="s">
        <v>834</v>
      </c>
      <c r="AO7" s="80">
        <v>1.75</v>
      </c>
      <c r="AP7" s="80"/>
      <c r="AQ7" s="80" t="s">
        <v>837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45"/>
      <c r="S8" s="945" t="s">
        <v>222</v>
      </c>
      <c r="T8" s="945" t="s">
        <v>223</v>
      </c>
      <c r="U8" s="945" t="s">
        <v>224</v>
      </c>
      <c r="V8" s="945" t="s">
        <v>225</v>
      </c>
      <c r="W8" s="945" t="s">
        <v>227</v>
      </c>
      <c r="X8" s="946" t="s">
        <v>226</v>
      </c>
      <c r="Y8" s="1243"/>
      <c r="Z8" s="1243"/>
      <c r="AA8" s="1241" t="s">
        <v>649</v>
      </c>
      <c r="AD8" s="1239"/>
      <c r="AE8" s="1241" t="s">
        <v>649</v>
      </c>
      <c r="AI8" s="915" t="s">
        <v>838</v>
      </c>
      <c r="AJ8" s="914">
        <v>1.1516522859674401</v>
      </c>
      <c r="AN8" s="80" t="s">
        <v>835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5" t="s">
        <v>625</v>
      </c>
      <c r="F9" s="926">
        <f>'SHWLP-Apt'!$AD$7+'SHWLP-Apt'!AD20</f>
        <v>0.16446587568202822</v>
      </c>
      <c r="G9" s="927">
        <f>'SHWLP-Att'!$AD$7+'SHWLP-Att'!$AD$20</f>
        <v>5.0218677605055237</v>
      </c>
      <c r="H9" s="928">
        <f>'SHWLP-Det'!$AD$7+'SHWLP-Det'!$AD$20</f>
        <v>4.4005325788678311</v>
      </c>
      <c r="I9" s="926">
        <f>'SHWLP-Apt'!$AD$33+'SHWLP-Apt'!$AD$46</f>
        <v>6.757792850303028E-3</v>
      </c>
      <c r="J9" s="927">
        <f>'SHWLP-Att'!$AD$33+'SHWLP-Att'!$AD$46</f>
        <v>0.40397816015424348</v>
      </c>
      <c r="K9" s="928">
        <f>'SHWLP-Det'!$AD$33+'SHWLP-Det'!$AD$46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840</v>
      </c>
      <c r="AJ9" s="914">
        <v>9.6599740335233797</v>
      </c>
      <c r="AN9" s="80" t="s">
        <v>836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'SHWLP-Apt'!$AD$18+'SHWLP-Apt'!$AD$21</f>
        <v>6.2612804344830172E-2</v>
      </c>
      <c r="G10" s="480">
        <f>'SHWLP-Att'!$AD$18+'SHWLP-Att'!$AD$21</f>
        <v>1.9718379662921621</v>
      </c>
      <c r="H10" s="482">
        <f>'SHWLP-Det'!$AD$18+'SHWLP-Det'!$AD$21</f>
        <v>5.3091830165306577</v>
      </c>
      <c r="I10" s="481">
        <f>'SHWLP-Apt'!$AD$44+'SHWLP-Apt'!$AD$47</f>
        <v>6.7943124447891728E-3</v>
      </c>
      <c r="J10" s="480">
        <f>'SHWLP-Att'!$AD$44+'SHWLP-Att'!$AD$47</f>
        <v>0.37851751241139253</v>
      </c>
      <c r="K10" s="482">
        <f>'SHWLP-Det'!$AD$44+'SHWLP-Det'!$AD$47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407</v>
      </c>
      <c r="AJ10" s="914">
        <v>4.4337733997372402</v>
      </c>
      <c r="AN10" s="80" t="s">
        <v>833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199</v>
      </c>
      <c r="F11" s="926">
        <f>'SHWLP-Apt'!$AD$10</f>
        <v>8.3499188822812001E-2</v>
      </c>
      <c r="G11" s="927">
        <f>'SHWLP-Att'!$AD$10</f>
        <v>0.32718716397982467</v>
      </c>
      <c r="H11" s="928">
        <f>'SHWLP-Det'!$AD$10</f>
        <v>1.287587686413459</v>
      </c>
      <c r="I11" s="926">
        <f>'SHWLP-Apt'!$AD$36</f>
        <v>4.1043979452638935E-2</v>
      </c>
      <c r="J11" s="927">
        <f>'SHWLP-Att'!$AD$36</f>
        <v>0.14732513661405405</v>
      </c>
      <c r="K11" s="928">
        <f>'SHWLP-Det'!$AD$36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842</v>
      </c>
      <c r="AJ11" s="914">
        <v>16.539193232500899</v>
      </c>
      <c r="AN11" s="80" t="s">
        <v>834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843</v>
      </c>
      <c r="AJ12" s="914">
        <v>33.821000958649797</v>
      </c>
      <c r="AN12" s="80" t="s">
        <v>835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201</v>
      </c>
      <c r="F13" s="926">
        <f>'SHWLP-Apt'!$AD$14</f>
        <v>0.27344613119896216</v>
      </c>
      <c r="G13" s="927">
        <f>'SHWLP-Att'!$AD$14</f>
        <v>7.8352724881130289</v>
      </c>
      <c r="H13" s="928">
        <f>'SHWLP-Det'!$AD$14</f>
        <v>28.100857367536157</v>
      </c>
      <c r="I13" s="926">
        <f>'SHWLP-Apt'!$AD$40</f>
        <v>7.4955079539416894E-2</v>
      </c>
      <c r="J13" s="927">
        <f>'SHWLP-Att'!$AD$40</f>
        <v>3.1081567375870085</v>
      </c>
      <c r="K13" s="928">
        <f>'SHWLP-Det'!$AD$40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844</v>
      </c>
      <c r="AJ13" s="914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408</v>
      </c>
      <c r="AJ14" s="914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203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846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205</v>
      </c>
      <c r="F17" s="926">
        <f>'SHWLP-Apt'!$AD$16</f>
        <v>1.29014356283224</v>
      </c>
      <c r="G17" s="927">
        <f>'SHWLP-Att'!$AD$16</f>
        <v>11.699192401245668</v>
      </c>
      <c r="H17" s="928">
        <f>'SHWLP-Det'!$AD$16</f>
        <v>5.1925101048003226</v>
      </c>
      <c r="I17" s="926">
        <f>'SHWLP-Apt'!$AD$42</f>
        <v>0.60676400729656665</v>
      </c>
      <c r="J17" s="927">
        <f>'SHWLP-Att'!$AD$42</f>
        <v>4.0160253943555535</v>
      </c>
      <c r="K17" s="928">
        <f>'SHWLP-Det'!$AD$42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831</v>
      </c>
      <c r="AJ18" s="916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207</v>
      </c>
      <c r="F19" s="926">
        <f>'SHWLP-Apt'!$AD$22+'SHWLP-Apt'!$AD$23</f>
        <v>1.2265971054908995E-2</v>
      </c>
      <c r="G19" s="927">
        <f>'SHWLP-Att'!$AD$22+'SHWLP-Att'!$AD$23</f>
        <v>0.25079923829144457</v>
      </c>
      <c r="H19" s="928">
        <f>'SHWLP-Det'!$AD$22+'SHWLP-Det'!$AD$23</f>
        <v>0.8561779580286335</v>
      </c>
      <c r="I19" s="926">
        <f>'SHWLP-Apt'!$AD$49+'SHWLP-Apt'!$AD$48</f>
        <v>4.3563790483878879E-3</v>
      </c>
      <c r="J19" s="927">
        <f>'SHWLP-Att'!$AD$49+'SHWLP-Att'!$AD$48</f>
        <v>4.3199010365057883E-2</v>
      </c>
      <c r="K19" s="928">
        <f>'SHWLP-Det'!$AD$49+'SHWLP-Det'!$AD$48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839</v>
      </c>
      <c r="AJ19" s="916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840</v>
      </c>
      <c r="AJ20" s="916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209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407</v>
      </c>
      <c r="AJ21" s="916">
        <v>2.3626993757787398</v>
      </c>
    </row>
    <row r="22" spans="1:45" s="80" customFormat="1" ht="12" customHeight="1">
      <c r="A22" s="283" t="s">
        <v>814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821</v>
      </c>
      <c r="F22" s="481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80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82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81">
        <f>('SHWLP-Apt'!$AD$38/('SHWLP-Apt'!$AD$12+'SHWLP-Att'!$AD$12+'SHWLP-Det'!$AD$12+'SHWLP-Apt'!$AD$38+'SHWLP-Att'!$AD$38+'SHWLP-Det'!$AD$38+'SHWLP-Apt'!AD50))</f>
        <v>0.31618319470119693</v>
      </c>
      <c r="J22" s="480">
        <f>('SHWLP-Att'!$AD$38/('SHWLP-Apt'!$AD$12+'SHWLP-Att'!$AD$12+'SHWLP-Det'!$AD$12+'SHWLP-Apt'!$AD$38+'SHWLP-Att'!$AD$38+'SHWLP-Det'!$AD$38+'SHWLP-Att'!AD50))</f>
        <v>0.14242441345158088</v>
      </c>
      <c r="K22" s="482">
        <f>('SHWLP-Det'!$AD$38/('SHWLP-Apt'!$AD$12+'SHWLP-Att'!$AD$12+'SHWLP-Det'!$AD$12+'SHWLP-Apt'!$AD$38+'SHWLP-Att'!$AD$38+'SHWLP-Det'!$AD$38+'SHWLP-Det'!AD50))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841</v>
      </c>
      <c r="AJ22" s="916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5" t="s">
        <v>210</v>
      </c>
      <c r="F23" s="926">
        <f>'SHWLP-Apt'!$AD$9</f>
        <v>1.7171001103336854E-8</v>
      </c>
      <c r="G23" s="927">
        <f>'SHWLP-Att'!$AD$9</f>
        <v>0</v>
      </c>
      <c r="H23" s="928">
        <f>'SHWLP-Det'!$AD$9</f>
        <v>0</v>
      </c>
      <c r="I23" s="926">
        <f>'SHWLP-Apt'!$AD$35</f>
        <v>4.5005728972452945E-5</v>
      </c>
      <c r="J23" s="927">
        <f>'SHWLP-Att'!$AD$35</f>
        <v>2.2157851365122476E-5</v>
      </c>
      <c r="K23" s="928">
        <f>'SHWLP-Det'!$AD$35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842</v>
      </c>
      <c r="AJ23" s="916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4" t="s">
        <v>212</v>
      </c>
      <c r="F24" s="481">
        <f>'SHWLP-Apt'!$AD$8</f>
        <v>2.3936375538051573E-5</v>
      </c>
      <c r="G24" s="480">
        <f>'SHWLP-Att'!$AD$8</f>
        <v>2.9862745702345111E-5</v>
      </c>
      <c r="H24" s="482">
        <f>'SHWLP-Det'!$AD$8</f>
        <v>0</v>
      </c>
      <c r="I24" s="481">
        <f>'SHWLP-Apt'!$AD$34</f>
        <v>4.9806870366433856E-5</v>
      </c>
      <c r="J24" s="480">
        <f>'SHWLP-Att'!$AD$34</f>
        <v>7.9147763787860303E-5</v>
      </c>
      <c r="K24" s="482">
        <f>'SHWLP-Det'!$AD$34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405</v>
      </c>
      <c r="AJ24" s="916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214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843</v>
      </c>
      <c r="AJ25" s="916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'SHWLP-Apt'!$AD$11+'SHWLP-Apt'!$AD$13</f>
        <v>0.62196718416684238</v>
      </c>
      <c r="G26" s="480">
        <f>'SHWLP-Att'!$AD$11+'SHWLP-Att'!$AD$13</f>
        <v>1.0347945150493962</v>
      </c>
      <c r="H26" s="482">
        <f>'SHWLP-Det'!$AD$11+'SHWLP-Det'!$AD$13</f>
        <v>1.5433150099825765</v>
      </c>
      <c r="I26" s="481">
        <f>'SHWLP-Apt'!$AD$37+'SHWLP-Apt'!$AD$39</f>
        <v>0.66325795026591994</v>
      </c>
      <c r="J26" s="480">
        <f>'SHWLP-Att'!$AD$37+'SHWLP-Att'!$AD$39</f>
        <v>0.54227796980903942</v>
      </c>
      <c r="K26" s="482">
        <f>'SHWLP-Det'!$AD$37+'SHWLP-Det'!$AD$39</f>
        <v>0.4633704469957306</v>
      </c>
      <c r="L26" s="481">
        <f>'SHWLP-Apt'!$AD$59</f>
        <v>0.34338774672584782</v>
      </c>
      <c r="M26" s="480">
        <f>'SHWLP-Att'!$AD$59</f>
        <v>1.777616076442444</v>
      </c>
      <c r="N26" s="482">
        <f>'SHWLP-Det'!$AD$59</f>
        <v>2.7497728874091618</v>
      </c>
      <c r="O26" s="481">
        <f>'SHWLP-Apt'!$AD$60</f>
        <v>7.0758063219754266E-2</v>
      </c>
      <c r="P26" s="480">
        <f>'SHWLP-Att'!$AD$60</f>
        <v>0.4922513905661115</v>
      </c>
      <c r="Q26" s="482">
        <f>'SHWLP-Det'!$AD$60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844</v>
      </c>
      <c r="AJ26" s="916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215</v>
      </c>
      <c r="F27" s="926">
        <f>'SHWLP-Apt'!$AD$24</f>
        <v>3.9249515065412556E-2</v>
      </c>
      <c r="G27" s="927">
        <f>'SHWLP-Att'!$AD$24</f>
        <v>4.6219373922411294E-2</v>
      </c>
      <c r="H27" s="928">
        <f>'SHWLP-Det'!$AD$24</f>
        <v>0.15260542178598491</v>
      </c>
      <c r="I27" s="926">
        <f>'SHWLP-Apt'!$AD$50</f>
        <v>1.0405141992373827E-2</v>
      </c>
      <c r="J27" s="927">
        <f>'SHWLP-Att'!$AD$50</f>
        <v>2.4156848086393664E-3</v>
      </c>
      <c r="K27" s="928">
        <f>'SHWLP-Det'!$AD$50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408</v>
      </c>
      <c r="AJ27" s="916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SUM('SHWLP-Apt'!AD20:AD22)</f>
        <v>7.9849289423245359E-2</v>
      </c>
      <c r="G28" s="562">
        <f>SUM('SHWLP-Att'!AD20:AD22)</f>
        <v>2.5206664290858622</v>
      </c>
      <c r="H28" s="562">
        <f>SUM('SHWLP-Det'!AD20:AD22)</f>
        <v>6.6344931784146981</v>
      </c>
      <c r="I28" s="562">
        <f>SUM('SHWLP-Apt'!AD46:AD48)</f>
        <v>8.6817565409060687E-3</v>
      </c>
      <c r="J28" s="562">
        <f>SUM('SHWLP-Att'!AD46:AD48)</f>
        <v>0.47682041040649636</v>
      </c>
      <c r="K28" s="562">
        <f>SUM('SHWLP-Det'!AD46:AD48)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845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846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501</v>
      </c>
      <c r="T35" s="948" t="s">
        <v>500</v>
      </c>
      <c r="U35" s="949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34" t="s">
        <v>223</v>
      </c>
      <c r="S36" s="1235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34" t="s">
        <v>224</v>
      </c>
      <c r="S37" s="1235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34" t="s">
        <v>222</v>
      </c>
      <c r="S38" s="1235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36" t="s">
        <v>225</v>
      </c>
      <c r="S39" s="1237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25" zoomScaleNormal="25"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58" t="s">
        <v>554</v>
      </c>
      <c r="C4" s="1259"/>
      <c r="D4" s="1259"/>
      <c r="E4" s="1259"/>
      <c r="F4" s="1259"/>
      <c r="G4" s="1259"/>
      <c r="H4" s="1259"/>
      <c r="I4" s="1259"/>
      <c r="J4" s="1259"/>
      <c r="K4" s="1259"/>
      <c r="L4" s="1259"/>
      <c r="M4" s="460"/>
      <c r="O4" s="1258" t="s">
        <v>556</v>
      </c>
      <c r="P4" s="1259"/>
      <c r="Q4" s="1259"/>
      <c r="R4" s="1259"/>
      <c r="S4" s="1259"/>
      <c r="T4" s="1259"/>
      <c r="U4" s="1259"/>
      <c r="V4" s="1259"/>
      <c r="W4" s="1259"/>
      <c r="X4" s="1259"/>
      <c r="Y4" s="1259"/>
      <c r="Z4" s="952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62" t="s">
        <v>563</v>
      </c>
      <c r="AZ18" s="1262"/>
      <c r="BA18" s="1262"/>
      <c r="BB18" s="1262"/>
      <c r="BC18" s="1262"/>
      <c r="BD18" s="1262"/>
      <c r="BE18" s="1262"/>
      <c r="BF18" s="1262"/>
      <c r="BG18" s="1262"/>
      <c r="BH18" s="1262"/>
      <c r="BI18" s="1262"/>
      <c r="BJ18" s="1262"/>
      <c r="BL18" s="1262" t="s">
        <v>859</v>
      </c>
      <c r="BM18" s="1262"/>
      <c r="BN18" s="1262"/>
      <c r="BO18" s="1262"/>
      <c r="BP18" s="1262"/>
      <c r="BQ18" s="1262"/>
      <c r="BR18" s="1262"/>
      <c r="BS18" s="1262"/>
      <c r="BT18" s="1262"/>
      <c r="BU18" s="1262"/>
      <c r="BV18" s="1262"/>
      <c r="BW18" s="1262"/>
      <c r="BX18" s="1262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58" t="s">
        <v>555</v>
      </c>
      <c r="C19" s="1259"/>
      <c r="D19" s="1259"/>
      <c r="E19" s="1259"/>
      <c r="F19" s="1259"/>
      <c r="G19" s="1259"/>
      <c r="H19" s="1259"/>
      <c r="I19" s="1259"/>
      <c r="J19" s="1259"/>
      <c r="K19" s="1259"/>
      <c r="L19" s="1259"/>
      <c r="M19" s="1259"/>
      <c r="O19" s="1258" t="s">
        <v>556</v>
      </c>
      <c r="P19" s="1259"/>
      <c r="Q19" s="1259"/>
      <c r="R19" s="1259"/>
      <c r="S19" s="1259"/>
      <c r="T19" s="1259"/>
      <c r="U19" s="1259"/>
      <c r="V19" s="1259"/>
      <c r="W19" s="1259"/>
      <c r="X19" s="1259"/>
      <c r="Y19" s="1259"/>
      <c r="Z19" s="1259"/>
      <c r="AB19" s="1258" t="s">
        <v>557</v>
      </c>
      <c r="AC19" s="1259"/>
      <c r="AD19" s="1259"/>
      <c r="AE19" s="1259"/>
      <c r="AF19" s="1259"/>
      <c r="AG19" s="1259"/>
      <c r="AH19" s="1259"/>
      <c r="AI19" s="1259"/>
      <c r="AJ19" s="1259"/>
      <c r="AK19" s="1259"/>
      <c r="AL19" s="1259"/>
      <c r="AN19" s="1260" t="s">
        <v>558</v>
      </c>
      <c r="AO19" s="1261"/>
      <c r="AP19" s="1261"/>
      <c r="AQ19" s="1261"/>
      <c r="AR19" s="1261"/>
      <c r="AS19" s="1261"/>
      <c r="AT19" s="1261"/>
      <c r="AU19" s="1261"/>
      <c r="AV19" s="1261"/>
      <c r="AW19" s="1261"/>
      <c r="AY19" s="1257" t="s">
        <v>559</v>
      </c>
      <c r="AZ19" s="1257"/>
      <c r="BA19" s="1257"/>
      <c r="BB19" s="1257"/>
      <c r="BC19" s="1257"/>
      <c r="BD19" s="1257"/>
      <c r="BE19" s="1257"/>
      <c r="BF19" s="1257"/>
      <c r="BG19" s="1257"/>
      <c r="BH19" s="1257"/>
      <c r="BI19" s="1257"/>
      <c r="BJ19" s="1257"/>
      <c r="BL19" s="1257" t="s">
        <v>564</v>
      </c>
      <c r="BM19" s="1257"/>
      <c r="BN19" s="1257"/>
      <c r="BO19" s="1257"/>
      <c r="BP19" s="1257"/>
      <c r="BQ19" s="1257"/>
      <c r="BR19" s="1257"/>
      <c r="BS19" s="1257"/>
      <c r="BT19" s="1257"/>
      <c r="BU19" s="1257"/>
      <c r="BV19" s="1257"/>
      <c r="BW19" s="1257"/>
      <c r="BX19" s="1257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24" sqref="I24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246</v>
      </c>
      <c r="R6" s="273"/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246</v>
      </c>
      <c r="R7" s="51"/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246</v>
      </c>
      <c r="R8" s="274"/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4" t="str">
        <f t="shared" si="0"/>
        <v>NRG</v>
      </c>
      <c r="D25" s="120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4" t="str">
        <f>SETUP!B27</f>
        <v>RSDHET</v>
      </c>
      <c r="F25" s="1204" t="str">
        <f>SETUP!C27</f>
        <v>Heat to Residential</v>
      </c>
      <c r="G25" s="1205" t="s">
        <v>13</v>
      </c>
      <c r="H25" s="1204"/>
      <c r="I25" s="1204" t="s">
        <v>247</v>
      </c>
      <c r="J25" s="1204"/>
      <c r="K25" s="1204"/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249</v>
      </c>
      <c r="H26" s="51"/>
      <c r="I26" s="51"/>
      <c r="J26" s="51"/>
      <c r="K26" s="51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249</v>
      </c>
      <c r="H27" s="51"/>
      <c r="I27" s="51"/>
      <c r="J27" s="51"/>
      <c r="K27" s="51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249</v>
      </c>
      <c r="H31" s="274"/>
      <c r="I31" s="274"/>
      <c r="J31" s="274"/>
      <c r="K31" s="274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245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8" t="s">
        <v>250</v>
      </c>
      <c r="E6" s="958" t="s">
        <v>250</v>
      </c>
      <c r="F6" s="958" t="s">
        <v>250</v>
      </c>
      <c r="G6" s="958" t="s">
        <v>250</v>
      </c>
      <c r="H6" s="958" t="s">
        <v>250</v>
      </c>
      <c r="I6" s="958" t="s">
        <v>250</v>
      </c>
      <c r="J6" s="958" t="s">
        <v>250</v>
      </c>
      <c r="K6" s="958" t="s">
        <v>250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>
      <selection activeCell="G20" sqref="G20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2.28515625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760</v>
      </c>
      <c r="F2" s="461"/>
      <c r="I2" s="462" t="s">
        <v>759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I3" s="467" t="s">
        <v>259</v>
      </c>
      <c r="J3" s="467" t="s">
        <v>756</v>
      </c>
      <c r="K3" s="467" t="s">
        <v>253</v>
      </c>
      <c r="L3" s="467" t="s">
        <v>254</v>
      </c>
      <c r="M3" s="467" t="s">
        <v>260</v>
      </c>
      <c r="N3" s="467" t="s">
        <v>261</v>
      </c>
      <c r="O3" s="467" t="s">
        <v>262</v>
      </c>
      <c r="P3" s="467" t="s">
        <v>263</v>
      </c>
      <c r="Q3" s="467" t="s">
        <v>686</v>
      </c>
    </row>
    <row r="4" spans="1:17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I4" s="469" t="s">
        <v>689</v>
      </c>
      <c r="J4" s="469" t="s">
        <v>757</v>
      </c>
      <c r="K4" s="469" t="s">
        <v>690</v>
      </c>
      <c r="L4" s="469" t="s">
        <v>270</v>
      </c>
      <c r="M4" s="469" t="s">
        <v>691</v>
      </c>
      <c r="N4" s="469" t="s">
        <v>692</v>
      </c>
      <c r="O4" s="469" t="s">
        <v>693</v>
      </c>
      <c r="P4" s="469" t="s">
        <v>694</v>
      </c>
      <c r="Q4" s="469" t="s">
        <v>695</v>
      </c>
    </row>
    <row r="5" spans="1:17" ht="13.5" thickBot="1">
      <c r="B5" s="468"/>
      <c r="C5" s="468" t="s">
        <v>489</v>
      </c>
      <c r="D5" s="470"/>
      <c r="E5" s="470"/>
      <c r="F5" s="470"/>
      <c r="G5" s="470" t="s">
        <v>13</v>
      </c>
      <c r="I5" s="469" t="s">
        <v>252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I6" s="472" t="s">
        <v>264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6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684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684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684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684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684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684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684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821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684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684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684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684</v>
      </c>
      <c r="O16" s="460" t="s">
        <v>847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_xlfn.TEXTJOIN("-",TRUE,SETUP!$B$4,COMM!E25)&amp;"_X"</f>
        <v>FT-RSDHET_X</v>
      </c>
      <c r="D17" s="473" t="s">
        <v>1091</v>
      </c>
      <c r="E17" s="1203" t="s">
        <v>405</v>
      </c>
      <c r="F17" s="474">
        <v>1</v>
      </c>
      <c r="G17" s="474">
        <v>0.3</v>
      </c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</f>
        <v>FT-RSDHET_X</v>
      </c>
      <c r="L17" s="476" t="str">
        <f>_xlfn.TEXTJOIN(" ",TRUE,SETUP!$B$3,COMM!F25) &amp;" Existing"</f>
        <v>RSD Heat to Residential Existing</v>
      </c>
      <c r="M17" s="475" t="s">
        <v>13</v>
      </c>
      <c r="N17" s="475" t="s">
        <v>684</v>
      </c>
      <c r="O17" s="460" t="s">
        <v>847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4" t="s">
        <v>1092</v>
      </c>
      <c r="E18" s="474" t="str">
        <f>COMM!E14</f>
        <v>RSDGAS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684</v>
      </c>
    </row>
    <row r="19" spans="1:15">
      <c r="A19" s="474"/>
      <c r="B19" s="474"/>
      <c r="C19" s="472"/>
    </row>
    <row r="20" spans="1:15">
      <c r="A20" s="474"/>
      <c r="B20" s="474"/>
      <c r="C20" s="472"/>
      <c r="D20" s="1115"/>
      <c r="E20" s="1115"/>
      <c r="F20" s="1115"/>
      <c r="G20" s="1115"/>
    </row>
    <row r="21" spans="1:15">
      <c r="A21" s="474"/>
      <c r="B21" s="474"/>
      <c r="C21" s="472"/>
      <c r="D21" s="1115"/>
      <c r="E21" s="1115"/>
      <c r="F21" s="1115"/>
      <c r="G21" s="1115"/>
    </row>
    <row r="22" spans="1:15">
      <c r="A22" s="474"/>
      <c r="B22" s="474"/>
      <c r="C22" s="472"/>
      <c r="D22" s="1115"/>
      <c r="E22" s="1115"/>
      <c r="F22" s="1115"/>
      <c r="G22" s="1115"/>
    </row>
    <row r="23" spans="1:15">
      <c r="A23" s="474"/>
      <c r="B23" s="474"/>
      <c r="C23" s="472"/>
      <c r="D23" s="1115"/>
      <c r="E23" s="1115"/>
      <c r="F23" s="1115"/>
      <c r="G23" s="1115"/>
      <c r="H23" s="1115"/>
    </row>
    <row r="24" spans="1:15">
      <c r="A24" s="474"/>
      <c r="B24" s="474"/>
      <c r="C24" s="472"/>
      <c r="D24" s="1115"/>
      <c r="E24" s="1115"/>
      <c r="F24" s="1115"/>
      <c r="G24" s="1115"/>
      <c r="H24" s="1115"/>
    </row>
    <row r="25" spans="1:15">
      <c r="A25" s="474"/>
      <c r="B25" s="474"/>
      <c r="C25" s="472"/>
      <c r="D25" s="1115"/>
      <c r="E25" s="1115"/>
      <c r="F25" s="1115"/>
      <c r="G25" s="1115"/>
      <c r="H25" s="1115"/>
    </row>
    <row r="26" spans="1:15">
      <c r="B26" s="474"/>
      <c r="C26" s="472"/>
      <c r="D26" s="1115"/>
      <c r="E26" s="1115"/>
      <c r="F26" s="1115"/>
      <c r="G26" s="1115"/>
      <c r="H26" s="1115"/>
    </row>
    <row r="27" spans="1:15">
      <c r="H27" s="1115"/>
    </row>
    <row r="28" spans="1:15">
      <c r="H28" s="1115"/>
    </row>
    <row r="29" spans="1:15">
      <c r="H29" s="111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A1:DJ215"/>
  <sheetViews>
    <sheetView zoomScale="25" zoomScaleNormal="25" workbookViewId="0">
      <selection activeCell="AM54" sqref="AM54:AM72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6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4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R1" s="473"/>
      <c r="BX1" s="473"/>
      <c r="BY1" s="473"/>
      <c r="BZ1" s="473"/>
      <c r="CA1" s="473"/>
      <c r="CB1" s="473"/>
      <c r="CC1" s="473"/>
    </row>
    <row r="2" spans="2:114" ht="12" customHeight="1" thickBot="1">
      <c r="E2" s="1212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</row>
    <row r="3" spans="2:114" ht="21.75" thickBot="1">
      <c r="C3" s="69" t="s">
        <v>651</v>
      </c>
      <c r="D3" s="69"/>
      <c r="E3" s="69"/>
      <c r="F3" s="69"/>
      <c r="G3" s="1012" t="s">
        <v>1099</v>
      </c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N3" s="1263" t="s">
        <v>932</v>
      </c>
      <c r="AO3" s="1264"/>
      <c r="AP3" s="1263" t="s">
        <v>933</v>
      </c>
      <c r="AQ3" s="1264"/>
      <c r="AR3" s="1263" t="s">
        <v>934</v>
      </c>
      <c r="AS3" s="1264"/>
      <c r="AT3" s="1263" t="s">
        <v>935</v>
      </c>
      <c r="AU3" s="1270"/>
      <c r="AW3" s="66" t="s">
        <v>759</v>
      </c>
      <c r="AX3" s="66"/>
      <c r="AY3" s="66"/>
      <c r="AZ3" s="66"/>
      <c r="BA3" s="66"/>
      <c r="BB3" s="66"/>
      <c r="BC3" s="66"/>
      <c r="BD3" s="66"/>
      <c r="BE3" s="1013"/>
      <c r="BF3" s="1013"/>
      <c r="BG3" s="1013"/>
      <c r="BH3" s="1013"/>
      <c r="BI3" s="1013"/>
      <c r="BJ3" s="1013"/>
      <c r="BK3" s="1013"/>
      <c r="BL3" s="1013"/>
      <c r="BM3" s="1013"/>
      <c r="BN3" s="1013"/>
      <c r="BO3" s="1013"/>
      <c r="BP3" s="1013"/>
      <c r="BQ3" s="1013"/>
      <c r="BR3" s="1013"/>
      <c r="BS3" s="1013"/>
      <c r="BT3" s="1013"/>
      <c r="BU3" s="1013"/>
      <c r="BV3" s="1013"/>
      <c r="BW3" s="1013"/>
      <c r="BX3" s="1013"/>
      <c r="BY3" s="1013"/>
      <c r="BZ3" s="1013"/>
      <c r="CA3" s="1013"/>
      <c r="CB3" s="1013"/>
      <c r="CC3" s="1013"/>
      <c r="CD3" s="1013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</row>
    <row r="4" spans="2:114" ht="16.5" customHeight="1" thickBot="1">
      <c r="B4" s="1202"/>
      <c r="C4" s="36" t="s">
        <v>253</v>
      </c>
      <c r="D4" s="36" t="s">
        <v>265</v>
      </c>
      <c r="E4" s="36" t="s">
        <v>1101</v>
      </c>
      <c r="F4" s="36" t="s">
        <v>255</v>
      </c>
      <c r="G4" s="36" t="s">
        <v>256</v>
      </c>
      <c r="H4" s="43" t="s">
        <v>192</v>
      </c>
      <c r="I4" s="1112" t="s">
        <v>657</v>
      </c>
      <c r="J4" s="1112" t="s">
        <v>662</v>
      </c>
      <c r="K4" s="1112" t="s">
        <v>665</v>
      </c>
      <c r="L4" s="1112" t="s">
        <v>666</v>
      </c>
      <c r="M4" s="1112" t="s">
        <v>667</v>
      </c>
      <c r="N4" s="1112" t="s">
        <v>670</v>
      </c>
      <c r="O4" s="1112" t="s">
        <v>671</v>
      </c>
      <c r="P4" s="1112" t="s">
        <v>673</v>
      </c>
      <c r="Q4" s="1112" t="s">
        <v>675</v>
      </c>
      <c r="R4" s="1112" t="s">
        <v>680</v>
      </c>
      <c r="S4" s="1112" t="s">
        <v>681</v>
      </c>
      <c r="T4" s="1112" t="s">
        <v>682</v>
      </c>
      <c r="U4" s="1112" t="s">
        <v>659</v>
      </c>
      <c r="V4" s="1112" t="s">
        <v>660</v>
      </c>
      <c r="W4" s="1112" t="s">
        <v>664</v>
      </c>
      <c r="X4" s="1112" t="s">
        <v>669</v>
      </c>
      <c r="Y4" s="1112" t="s">
        <v>678</v>
      </c>
      <c r="Z4" s="1112" t="s">
        <v>679</v>
      </c>
      <c r="AA4" s="1112" t="s">
        <v>663</v>
      </c>
      <c r="AB4" s="1112" t="s">
        <v>1100</v>
      </c>
      <c r="AC4" s="1112" t="s">
        <v>672</v>
      </c>
      <c r="AD4" s="1112" t="s">
        <v>676</v>
      </c>
      <c r="AE4" s="1112" t="s">
        <v>677</v>
      </c>
      <c r="AF4" s="1112" t="s">
        <v>658</v>
      </c>
      <c r="AG4" s="1112" t="s">
        <v>661</v>
      </c>
      <c r="AH4" s="1112" t="s">
        <v>674</v>
      </c>
      <c r="AI4" s="43" t="s">
        <v>812</v>
      </c>
      <c r="AJ4" s="43" t="s">
        <v>267</v>
      </c>
      <c r="AK4" s="43" t="s">
        <v>268</v>
      </c>
      <c r="AL4" s="43" t="s">
        <v>704</v>
      </c>
      <c r="AN4" s="1088"/>
      <c r="AO4" s="1089"/>
      <c r="AP4" s="1090"/>
      <c r="AQ4" s="1090"/>
      <c r="AR4" s="1090"/>
      <c r="AS4" s="1090"/>
      <c r="AT4" s="1090"/>
      <c r="AU4" s="1091"/>
      <c r="AW4" s="36" t="s">
        <v>259</v>
      </c>
      <c r="AX4" s="36" t="s">
        <v>756</v>
      </c>
      <c r="AY4" s="36" t="s">
        <v>253</v>
      </c>
      <c r="AZ4" s="36" t="s">
        <v>254</v>
      </c>
      <c r="BA4" s="36" t="s">
        <v>260</v>
      </c>
      <c r="BB4" s="36" t="s">
        <v>261</v>
      </c>
      <c r="BC4" s="36" t="s">
        <v>262</v>
      </c>
      <c r="BD4" s="36" t="s">
        <v>263</v>
      </c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</row>
    <row r="5" spans="2:114" ht="26.25" thickBot="1">
      <c r="B5" s="1202"/>
      <c r="C5" s="902" t="s">
        <v>269</v>
      </c>
      <c r="D5" s="902" t="s">
        <v>270</v>
      </c>
      <c r="E5" s="902"/>
      <c r="F5" s="902" t="s">
        <v>271</v>
      </c>
      <c r="G5" s="902" t="s">
        <v>272</v>
      </c>
      <c r="H5" s="903" t="s">
        <v>273</v>
      </c>
      <c r="I5" s="903" t="s">
        <v>273</v>
      </c>
      <c r="J5" s="903" t="s">
        <v>273</v>
      </c>
      <c r="K5" s="903" t="s">
        <v>273</v>
      </c>
      <c r="L5" s="903" t="s">
        <v>273</v>
      </c>
      <c r="M5" s="903" t="s">
        <v>273</v>
      </c>
      <c r="N5" s="903" t="s">
        <v>273</v>
      </c>
      <c r="O5" s="903" t="s">
        <v>273</v>
      </c>
      <c r="P5" s="903" t="s">
        <v>273</v>
      </c>
      <c r="Q5" s="903" t="s">
        <v>273</v>
      </c>
      <c r="R5" s="903" t="s">
        <v>273</v>
      </c>
      <c r="S5" s="903" t="s">
        <v>273</v>
      </c>
      <c r="T5" s="903" t="s">
        <v>273</v>
      </c>
      <c r="U5" s="903" t="s">
        <v>273</v>
      </c>
      <c r="V5" s="903" t="s">
        <v>273</v>
      </c>
      <c r="W5" s="903" t="s">
        <v>273</v>
      </c>
      <c r="X5" s="903" t="s">
        <v>273</v>
      </c>
      <c r="Y5" s="903" t="s">
        <v>273</v>
      </c>
      <c r="Z5" s="903" t="s">
        <v>273</v>
      </c>
      <c r="AA5" s="903" t="s">
        <v>273</v>
      </c>
      <c r="AB5" s="903" t="s">
        <v>273</v>
      </c>
      <c r="AC5" s="903" t="s">
        <v>273</v>
      </c>
      <c r="AD5" s="903" t="s">
        <v>273</v>
      </c>
      <c r="AE5" s="903" t="s">
        <v>273</v>
      </c>
      <c r="AF5" s="903" t="s">
        <v>273</v>
      </c>
      <c r="AG5" s="903" t="s">
        <v>273</v>
      </c>
      <c r="AH5" s="903" t="s">
        <v>273</v>
      </c>
      <c r="AI5" s="903"/>
      <c r="AJ5" s="904"/>
      <c r="AK5" s="904"/>
      <c r="AL5" s="904" t="s">
        <v>705</v>
      </c>
      <c r="AN5" s="1092" t="s">
        <v>926</v>
      </c>
      <c r="AO5" s="1093" t="s">
        <v>216</v>
      </c>
      <c r="AP5" s="1092" t="s">
        <v>926</v>
      </c>
      <c r="AQ5" s="1094" t="s">
        <v>216</v>
      </c>
      <c r="AR5" s="1093" t="s">
        <v>926</v>
      </c>
      <c r="AS5" s="1094" t="s">
        <v>216</v>
      </c>
      <c r="AT5" s="1093" t="s">
        <v>926</v>
      </c>
      <c r="AU5" s="1094" t="s">
        <v>216</v>
      </c>
      <c r="AW5" s="38" t="s">
        <v>252</v>
      </c>
      <c r="AX5" s="38"/>
      <c r="AY5" s="38"/>
      <c r="AZ5" s="37"/>
      <c r="BA5" s="38"/>
      <c r="BB5" s="38"/>
      <c r="BC5" s="38"/>
      <c r="BD5" s="38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</row>
    <row r="6" spans="2:114" ht="15" customHeight="1" thickBot="1">
      <c r="B6" s="1202"/>
      <c r="C6" s="905" t="str">
        <f>AY6</f>
        <v>R-BLD_Att_A</v>
      </c>
      <c r="D6" s="906" t="str">
        <f>AZ6</f>
        <v>Residential Building Attached _ A</v>
      </c>
      <c r="E6" s="906">
        <v>2018</v>
      </c>
      <c r="F6" s="906" t="str">
        <f>COMM!O10</f>
        <v>RSDSH_Att-AB</v>
      </c>
      <c r="G6" s="906" t="s">
        <v>938</v>
      </c>
      <c r="H6" s="1210">
        <f>BH8/1000</f>
        <v>72.528642938868245</v>
      </c>
      <c r="I6" s="908">
        <f>DwellingStocks!J34/1000</f>
        <v>0.64012538597490587</v>
      </c>
      <c r="J6" s="908">
        <f>DwellingStocks!M34/1000</f>
        <v>32.295149545010126</v>
      </c>
      <c r="K6" s="908">
        <f>DwellingStocks!P34/1000</f>
        <v>8.491625054733154</v>
      </c>
      <c r="L6" s="908">
        <f>DwellingStocks!S34/1000</f>
        <v>0.40917285393349762</v>
      </c>
      <c r="M6" s="908">
        <f>DwellingStocks!V34/1000</f>
        <v>0.28219639747548908</v>
      </c>
      <c r="N6" s="908">
        <f>DwellingStocks!Y34/1000</f>
        <v>6.355919396405417E-2</v>
      </c>
      <c r="O6" s="908">
        <f>DwellingStocks!AB34/1000</f>
        <v>2.4763318075408587</v>
      </c>
      <c r="P6" s="908">
        <f>DwellingStocks!AE34/1000</f>
        <v>7.2436468767042816</v>
      </c>
      <c r="Q6" s="908">
        <f>DwellingStocks!AH34/1000</f>
        <v>0.21930557896366809</v>
      </c>
      <c r="R6" s="908">
        <f>DwellingStocks!AK34/1000</f>
        <v>0.19096389842424327</v>
      </c>
      <c r="S6" s="908">
        <f>DwellingStocks!AN34/1000</f>
        <v>1.3094827930403272</v>
      </c>
      <c r="T6" s="908">
        <f>DwellingStocks!AQ34/1000</f>
        <v>3.8599472270267614</v>
      </c>
      <c r="U6" s="908">
        <f>DwellingStocks!AT34/1000</f>
        <v>0.59369114083414021</v>
      </c>
      <c r="V6" s="908">
        <f>DwellingStocks!AW34/1000</f>
        <v>6.6182713025334419</v>
      </c>
      <c r="W6" s="908">
        <f>DwellingStocks!AZ34/1000</f>
        <v>0.62857871848192959</v>
      </c>
      <c r="X6" s="908">
        <f>DwellingStocks!BC34/1000</f>
        <v>1.8634350472929546</v>
      </c>
      <c r="Y6" s="908">
        <f>DwellingStocks!BF34/1000</f>
        <v>0.25351081690194532</v>
      </c>
      <c r="Z6" s="908">
        <f>DwellingStocks!BI34/1000</f>
        <v>1.6892604692613722</v>
      </c>
      <c r="AA6" s="908">
        <f>DwellingStocks!BL34/1000</f>
        <v>1.4826764323355131</v>
      </c>
      <c r="AB6" s="908">
        <f>DwellingStocks!BO34/1000</f>
        <v>1.8251862083734874E-2</v>
      </c>
      <c r="AC6" s="908">
        <f>DwellingStocks!BR34/1000</f>
        <v>0.47782606916581521</v>
      </c>
      <c r="AD6" s="908">
        <f>DwellingStocks!BU34/1000</f>
        <v>0.14411965010180888</v>
      </c>
      <c r="AE6" s="908">
        <f>DwellingStocks!BX34/1000</f>
        <v>0.23427944702287357</v>
      </c>
      <c r="AF6" s="908">
        <f>DwellingStocks!CA34/1000</f>
        <v>0.20157549947154663</v>
      </c>
      <c r="AG6" s="908">
        <f>DwellingStocks!CD34/1000</f>
        <v>0.47721507281766717</v>
      </c>
      <c r="AH6" s="908">
        <f>DwellingStocks!CG34/1000</f>
        <v>0.36444479777211397</v>
      </c>
      <c r="AI6" s="908">
        <v>1</v>
      </c>
      <c r="AJ6" s="906">
        <v>100</v>
      </c>
      <c r="AK6" s="906">
        <v>1</v>
      </c>
      <c r="AL6" s="1014">
        <f>AN6</f>
        <v>1.7512799033377992E-3</v>
      </c>
      <c r="AM6" s="1216"/>
      <c r="AN6" s="1095">
        <f>BR55*DwellingStocks!X18*(1+AO53)</f>
        <v>1.7512799033377992E-3</v>
      </c>
      <c r="AO6" s="1096">
        <f>AN6*H6</f>
        <v>0.12701795479520292</v>
      </c>
      <c r="AP6" s="1097"/>
      <c r="AQ6" s="1098"/>
      <c r="AR6" s="1097"/>
      <c r="AS6" s="1098"/>
      <c r="AT6" s="1096"/>
      <c r="AU6" s="1098"/>
      <c r="AW6" s="417" t="s">
        <v>274</v>
      </c>
      <c r="A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417" t="s">
        <v>953</v>
      </c>
      <c r="AZ6" s="417" t="s">
        <v>954</v>
      </c>
      <c r="BA6" s="417" t="s">
        <v>273</v>
      </c>
      <c r="BB6" s="1015" t="s">
        <v>273</v>
      </c>
      <c r="BC6" s="417"/>
      <c r="BD6" s="417"/>
      <c r="BE6" s="80"/>
      <c r="BF6" s="1267" t="s">
        <v>1071</v>
      </c>
      <c r="BG6" s="1268"/>
      <c r="BH6" s="1268"/>
      <c r="BI6" s="1268"/>
      <c r="BJ6" s="1269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</row>
    <row r="7" spans="2:114" ht="12" customHeight="1" thickBot="1">
      <c r="B7" s="1202"/>
      <c r="C7" s="490"/>
      <c r="D7" s="489"/>
      <c r="E7" s="489"/>
      <c r="F7" s="489" t="s">
        <v>939</v>
      </c>
      <c r="G7" s="489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489"/>
      <c r="AK7" s="489"/>
      <c r="AL7" s="1017">
        <v>0</v>
      </c>
      <c r="AM7" s="1216"/>
      <c r="AN7" s="1077"/>
      <c r="AO7" s="1074"/>
      <c r="AP7" s="1081"/>
      <c r="AQ7" s="1078"/>
      <c r="AR7" s="1081"/>
      <c r="AS7" s="1078"/>
      <c r="AT7" s="1074"/>
      <c r="AU7" s="1078"/>
      <c r="AW7" s="1018" t="s">
        <v>274</v>
      </c>
      <c r="A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1018" t="s">
        <v>955</v>
      </c>
      <c r="AZ7" s="1018" t="s">
        <v>956</v>
      </c>
      <c r="BA7" s="1019" t="s">
        <v>273</v>
      </c>
      <c r="BB7" s="1018" t="s">
        <v>273</v>
      </c>
      <c r="BC7" s="1019"/>
      <c r="BD7" s="1018"/>
      <c r="BE7" s="80"/>
      <c r="BF7" s="257" t="s">
        <v>284</v>
      </c>
      <c r="BG7" s="258" t="s">
        <v>293</v>
      </c>
      <c r="BH7" s="258" t="s">
        <v>44</v>
      </c>
      <c r="BI7" s="258" t="s">
        <v>46</v>
      </c>
      <c r="BJ7" s="259" t="s">
        <v>282</v>
      </c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  <c r="DJ7" s="80"/>
    </row>
    <row r="8" spans="2:114" ht="12" customHeight="1">
      <c r="B8" s="1202"/>
      <c r="C8" s="328"/>
      <c r="D8" s="328"/>
      <c r="E8" s="328"/>
      <c r="F8" s="328" t="s">
        <v>940</v>
      </c>
      <c r="G8" s="328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328"/>
      <c r="AK8" s="328"/>
      <c r="AL8" s="1021">
        <f>AP8</f>
        <v>5.8942461333407505E-3</v>
      </c>
      <c r="AM8" s="1216"/>
      <c r="AN8" s="1077"/>
      <c r="AO8" s="1074"/>
      <c r="AP8" s="1081">
        <f>BS55*(1+AQ53)</f>
        <v>5.8942461333407505E-3</v>
      </c>
      <c r="AQ8" s="1078">
        <f>AP8*H6</f>
        <v>0.42750167319887605</v>
      </c>
      <c r="AR8" s="1081"/>
      <c r="AS8" s="1078"/>
      <c r="AT8" s="1074"/>
      <c r="AU8" s="1078"/>
      <c r="AW8" s="417" t="s">
        <v>274</v>
      </c>
      <c r="A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417" t="s">
        <v>957</v>
      </c>
      <c r="AZ8" s="417" t="s">
        <v>958</v>
      </c>
      <c r="BA8" s="417" t="s">
        <v>273</v>
      </c>
      <c r="BB8" s="1015" t="s">
        <v>273</v>
      </c>
      <c r="BC8" s="417"/>
      <c r="BD8" s="417"/>
      <c r="BE8" s="80"/>
      <c r="BF8" s="247" t="s">
        <v>48</v>
      </c>
      <c r="BG8" s="345">
        <v>11735.038424732089</v>
      </c>
      <c r="BH8" s="345">
        <v>72528.642938868245</v>
      </c>
      <c r="BI8" s="1063">
        <v>37364.451209178158</v>
      </c>
      <c r="BJ8" s="1126">
        <v>121628.1325727785</v>
      </c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  <c r="DJ8" s="80"/>
    </row>
    <row r="9" spans="2:114" ht="12" customHeight="1">
      <c r="B9" s="1202"/>
      <c r="C9" s="490"/>
      <c r="D9" s="489"/>
      <c r="E9" s="489"/>
      <c r="F9" s="489" t="s">
        <v>941</v>
      </c>
      <c r="G9" s="489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489"/>
      <c r="AK9" s="489"/>
      <c r="AL9" s="1017">
        <f>AR9</f>
        <v>7.4581689061364799E-4</v>
      </c>
      <c r="AM9" s="1216"/>
      <c r="AN9" s="1077"/>
      <c r="AO9" s="1074"/>
      <c r="AP9" s="1081"/>
      <c r="AQ9" s="1078"/>
      <c r="AR9" s="1081">
        <f>BT55*(1+AS53)</f>
        <v>7.4581689061364799E-4</v>
      </c>
      <c r="AS9" s="1078">
        <f>AR9*H6</f>
        <v>5.4093086957094229E-2</v>
      </c>
      <c r="AT9" s="1102"/>
      <c r="AU9" s="1078"/>
      <c r="AW9" s="1018" t="s">
        <v>274</v>
      </c>
      <c r="A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1018" t="s">
        <v>959</v>
      </c>
      <c r="AZ9" s="1018" t="s">
        <v>960</v>
      </c>
      <c r="BA9" s="1019" t="s">
        <v>273</v>
      </c>
      <c r="BB9" s="1018" t="s">
        <v>273</v>
      </c>
      <c r="BC9" s="1019"/>
      <c r="BD9" s="1018"/>
      <c r="BE9" s="80"/>
      <c r="BF9" s="244" t="s">
        <v>50</v>
      </c>
      <c r="BG9" s="347">
        <v>5197.6132443555907</v>
      </c>
      <c r="BH9" s="347">
        <v>6727.4572369101443</v>
      </c>
      <c r="BI9" s="1064">
        <v>8186.7925913057998</v>
      </c>
      <c r="BJ9" s="1127">
        <v>20111.863072571534</v>
      </c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</row>
    <row r="10" spans="2:114" ht="12" customHeight="1" thickBot="1">
      <c r="B10" s="1202"/>
      <c r="C10" s="909"/>
      <c r="D10" s="909"/>
      <c r="E10" s="909"/>
      <c r="F10" s="909" t="s">
        <v>942</v>
      </c>
      <c r="G10" s="909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09"/>
      <c r="AK10" s="909"/>
      <c r="AL10" s="1022">
        <f>AT10</f>
        <v>6.6342920932503874E-4</v>
      </c>
      <c r="AM10" s="1216"/>
      <c r="AN10" s="1099"/>
      <c r="AO10" s="1079"/>
      <c r="AP10" s="1100"/>
      <c r="AQ10" s="1080"/>
      <c r="AR10" s="1100"/>
      <c r="AS10" s="1080"/>
      <c r="AT10" s="1101">
        <f>BU55*(1+$AU$53)</f>
        <v>6.6342920932503874E-4</v>
      </c>
      <c r="AU10" s="1080">
        <f>AT10*H6</f>
        <v>4.8117620238351415E-2</v>
      </c>
      <c r="AW10" s="417" t="s">
        <v>274</v>
      </c>
      <c r="A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417" t="s">
        <v>961</v>
      </c>
      <c r="AZ10" s="417" t="s">
        <v>962</v>
      </c>
      <c r="BA10" s="417" t="s">
        <v>273</v>
      </c>
      <c r="BB10" s="1015" t="s">
        <v>273</v>
      </c>
      <c r="BC10" s="417"/>
      <c r="BD10" s="417"/>
      <c r="BE10" s="80"/>
      <c r="BF10" s="248" t="s">
        <v>52</v>
      </c>
      <c r="BG10" s="349">
        <v>13979.419134898935</v>
      </c>
      <c r="BH10" s="349">
        <v>14584.48055403824</v>
      </c>
      <c r="BI10" s="1065">
        <v>18974.694526816245</v>
      </c>
      <c r="BJ10" s="1128">
        <v>47538.594215753423</v>
      </c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</row>
    <row r="11" spans="2:114" ht="12" customHeight="1">
      <c r="B11" s="1202"/>
      <c r="C11" s="905" t="str">
        <f>AY7</f>
        <v>R-BLD_Att_B1</v>
      </c>
      <c r="D11" s="906" t="str">
        <f>AZ7</f>
        <v>Residential Building Attached _ B1</v>
      </c>
      <c r="E11" s="906">
        <v>2018</v>
      </c>
      <c r="F11" s="906" t="str">
        <f>COMM!O10</f>
        <v>RSDSH_Att-AB</v>
      </c>
      <c r="G11" s="906" t="s">
        <v>938</v>
      </c>
      <c r="H11" s="908">
        <f>BH9/1000</f>
        <v>6.7274572369101442</v>
      </c>
      <c r="I11" s="908">
        <f>DwellingStocks!J35/1000</f>
        <v>5.7764138869705051E-2</v>
      </c>
      <c r="J11" s="908">
        <f>DwellingStocks!M35/1000</f>
        <v>2.0423059453862442</v>
      </c>
      <c r="K11" s="908">
        <f>DwellingStocks!P35/1000</f>
        <v>0.38922779303523941</v>
      </c>
      <c r="L11" s="908">
        <f>DwellingStocks!S35/1000</f>
        <v>0.12647997242746836</v>
      </c>
      <c r="M11" s="908">
        <f>DwellingStocks!V35/1000</f>
        <v>0.14856626238081996</v>
      </c>
      <c r="N11" s="908">
        <f>DwellingStocks!Y35/1000</f>
        <v>0.15769521416157165</v>
      </c>
      <c r="O11" s="908">
        <f>DwellingStocks!AB35/1000</f>
        <v>0.47515203337345047</v>
      </c>
      <c r="P11" s="908">
        <f>DwellingStocks!AE35/1000</f>
        <v>0.27925560206332622</v>
      </c>
      <c r="Q11" s="908">
        <f>DwellingStocks!AH35/1000</f>
        <v>3.5940929581826681E-2</v>
      </c>
      <c r="R11" s="908">
        <f>DwellingStocks!AK35/1000</f>
        <v>2.9544404203263624E-2</v>
      </c>
      <c r="S11" s="908">
        <f>DwellingStocks!AN35/1000</f>
        <v>0.14310442140608448</v>
      </c>
      <c r="T11" s="908">
        <f>DwellingStocks!AQ35/1000</f>
        <v>0.1881879388180264</v>
      </c>
      <c r="U11" s="908">
        <f>DwellingStocks!AT35/1000</f>
        <v>8.4771663699014427E-2</v>
      </c>
      <c r="V11" s="908">
        <f>DwellingStocks!AW35/1000</f>
        <v>1.0196405613550452</v>
      </c>
      <c r="W11" s="908">
        <f>DwellingStocks!AZ35/1000</f>
        <v>0.17674208196569424</v>
      </c>
      <c r="X11" s="908">
        <f>DwellingStocks!BC35/1000</f>
        <v>0.23505700105517635</v>
      </c>
      <c r="Y11" s="908">
        <f>DwellingStocks!BF35/1000</f>
        <v>0.20588599718364439</v>
      </c>
      <c r="Z11" s="908">
        <f>DwellingStocks!BI35/1000</f>
        <v>0.26346556892252571</v>
      </c>
      <c r="AA11" s="908">
        <f>DwellingStocks!BL35/1000</f>
        <v>0.16081239443278592</v>
      </c>
      <c r="AB11" s="908">
        <f>DwellingStocks!BO35/1000</f>
        <v>0</v>
      </c>
      <c r="AC11" s="908">
        <f>DwellingStocks!BR35/1000</f>
        <v>0.13983273659454598</v>
      </c>
      <c r="AD11" s="908">
        <f>DwellingStocks!BU35/1000</f>
        <v>1.7317051217140424E-2</v>
      </c>
      <c r="AE11" s="908">
        <f>DwellingStocks!BX35/1000</f>
        <v>0.11574451614501438</v>
      </c>
      <c r="AF11" s="908">
        <f>DwellingStocks!CA35/1000</f>
        <v>6.367007114718716E-2</v>
      </c>
      <c r="AG11" s="908">
        <f>DwellingStocks!CD35/1000</f>
        <v>7.1811338227973545E-2</v>
      </c>
      <c r="AH11" s="908">
        <f>DwellingStocks!CG35/1000</f>
        <v>9.9481599257371323E-2</v>
      </c>
      <c r="AI11" s="908">
        <v>1</v>
      </c>
      <c r="AJ11" s="906">
        <v>100</v>
      </c>
      <c r="AK11" s="906">
        <v>1</v>
      </c>
      <c r="AL11" s="1014">
        <f>AN11</f>
        <v>1.3716713488358611E-2</v>
      </c>
      <c r="AM11" s="1216"/>
      <c r="AN11" s="1077">
        <f>BR56*DwellingStocks!X19*(1+AO53)</f>
        <v>1.3716713488358611E-2</v>
      </c>
      <c r="AO11" s="1074">
        <f>AN11*H11</f>
        <v>9.2278603423881125E-2</v>
      </c>
      <c r="AP11" s="1081"/>
      <c r="AQ11" s="1078"/>
      <c r="AR11" s="1074"/>
      <c r="AS11" s="1078"/>
      <c r="AT11" s="1102"/>
      <c r="AU11" s="1078"/>
      <c r="AW11" s="1018" t="s">
        <v>274</v>
      </c>
      <c r="A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1018" t="s">
        <v>963</v>
      </c>
      <c r="AZ11" s="1018" t="s">
        <v>964</v>
      </c>
      <c r="BA11" s="1019" t="s">
        <v>273</v>
      </c>
      <c r="BB11" s="1018" t="s">
        <v>273</v>
      </c>
      <c r="BC11" s="1019"/>
      <c r="BD11" s="1018"/>
      <c r="BE11" s="80"/>
      <c r="BF11" s="244" t="s">
        <v>54</v>
      </c>
      <c r="BG11" s="347">
        <v>21709.86153487581</v>
      </c>
      <c r="BH11" s="347">
        <v>49420.927051735707</v>
      </c>
      <c r="BI11" s="1064">
        <v>54549.088898874157</v>
      </c>
      <c r="BJ11" s="1127">
        <v>125679.87748548566</v>
      </c>
      <c r="BK11" s="80"/>
      <c r="BL11" s="80"/>
      <c r="BM11" s="80"/>
      <c r="BN11" s="80"/>
      <c r="BO11" s="80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C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  <c r="DJ11" s="883"/>
    </row>
    <row r="12" spans="2:114" ht="12" customHeight="1">
      <c r="B12" s="1202"/>
      <c r="C12" s="490"/>
      <c r="D12" s="489"/>
      <c r="E12" s="489"/>
      <c r="F12" s="489" t="s">
        <v>939</v>
      </c>
      <c r="G12" s="489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489"/>
      <c r="AK12" s="489"/>
      <c r="AL12" s="1017">
        <v>0</v>
      </c>
      <c r="AM12" s="1216"/>
      <c r="AN12" s="1077"/>
      <c r="AO12" s="1074"/>
      <c r="AP12" s="1081"/>
      <c r="AQ12" s="1078"/>
      <c r="AR12" s="1074"/>
      <c r="AS12" s="1078"/>
      <c r="AT12" s="1102"/>
      <c r="AU12" s="1078"/>
      <c r="AW12" s="417" t="s">
        <v>274</v>
      </c>
      <c r="A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417" t="s">
        <v>965</v>
      </c>
      <c r="AZ12" s="417" t="s">
        <v>966</v>
      </c>
      <c r="BA12" s="417" t="s">
        <v>273</v>
      </c>
      <c r="BB12" s="1015" t="s">
        <v>273</v>
      </c>
      <c r="BC12" s="417"/>
      <c r="BD12" s="417"/>
      <c r="BE12" s="80"/>
      <c r="BF12" s="248" t="s">
        <v>56</v>
      </c>
      <c r="BG12" s="349">
        <v>71167.091754613168</v>
      </c>
      <c r="BH12" s="349">
        <v>293672.95873330871</v>
      </c>
      <c r="BI12" s="1065">
        <v>264765.40185365622</v>
      </c>
      <c r="BJ12" s="1128">
        <v>629605.45234157809</v>
      </c>
      <c r="BK12" s="80"/>
      <c r="BL12" s="80"/>
      <c r="BM12" s="80"/>
      <c r="BN12" s="80"/>
      <c r="BO12" s="80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C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  <c r="DJ12" s="883"/>
    </row>
    <row r="13" spans="2:114" ht="12" customHeight="1">
      <c r="B13" s="1202"/>
      <c r="C13" s="328"/>
      <c r="D13" s="328"/>
      <c r="E13" s="328"/>
      <c r="F13" s="328" t="s">
        <v>940</v>
      </c>
      <c r="G13" s="328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328"/>
      <c r="AK13" s="328"/>
      <c r="AL13" s="1021">
        <f>AP13</f>
        <v>5.5027969113499043E-3</v>
      </c>
      <c r="AM13" s="1216"/>
      <c r="AN13" s="1077"/>
      <c r="AO13" s="1074"/>
      <c r="AP13" s="1081">
        <f>BS56*(1+AQ53)</f>
        <v>5.5027969113499043E-3</v>
      </c>
      <c r="AQ13" s="1078">
        <f>AP13*H11</f>
        <v>3.7019830904507701E-2</v>
      </c>
      <c r="AR13" s="1074"/>
      <c r="AS13" s="1078"/>
      <c r="AT13" s="1102"/>
      <c r="AU13" s="1078"/>
      <c r="AW13" s="1018" t="s">
        <v>274</v>
      </c>
      <c r="A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1018" t="s">
        <v>967</v>
      </c>
      <c r="AZ13" s="1018" t="s">
        <v>968</v>
      </c>
      <c r="BA13" s="1019" t="s">
        <v>273</v>
      </c>
      <c r="BB13" s="1018" t="s">
        <v>273</v>
      </c>
      <c r="BC13" s="1019"/>
      <c r="BD13" s="1018"/>
      <c r="BF13" s="244" t="s">
        <v>58</v>
      </c>
      <c r="BG13" s="347">
        <v>47490.854787158918</v>
      </c>
      <c r="BH13" s="347">
        <v>175920.34461876052</v>
      </c>
      <c r="BI13" s="1064">
        <v>166984.19754801539</v>
      </c>
      <c r="BJ13" s="1127">
        <v>390395.3969539348</v>
      </c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</row>
    <row r="14" spans="2:114" ht="12" customHeight="1" thickBot="1">
      <c r="B14" s="1202"/>
      <c r="C14" s="490"/>
      <c r="D14" s="489"/>
      <c r="E14" s="489"/>
      <c r="F14" s="489" t="s">
        <v>941</v>
      </c>
      <c r="G14" s="489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489"/>
      <c r="AK14" s="489"/>
      <c r="AL14" s="1017">
        <f>AR14</f>
        <v>7.8297489387643942E-4</v>
      </c>
      <c r="AM14" s="1216"/>
      <c r="AN14" s="1077"/>
      <c r="AO14" s="1074"/>
      <c r="AP14" s="1081"/>
      <c r="AQ14" s="1078"/>
      <c r="AR14" s="1074">
        <f>BT56*(1+AS53)</f>
        <v>7.8297489387643942E-4</v>
      </c>
      <c r="AS14" s="1078">
        <f>AR14*H11</f>
        <v>5.2674301161280048E-3</v>
      </c>
      <c r="AT14" s="1102"/>
      <c r="AU14" s="1078"/>
      <c r="AW14" s="1023" t="s">
        <v>274</v>
      </c>
      <c r="A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1023" t="s">
        <v>969</v>
      </c>
      <c r="AZ14" s="1023" t="s">
        <v>970</v>
      </c>
      <c r="BA14" s="1023" t="s">
        <v>273</v>
      </c>
      <c r="BB14" s="1024" t="s">
        <v>273</v>
      </c>
      <c r="BC14" s="1023"/>
      <c r="BD14" s="1023"/>
      <c r="BE14" s="80"/>
      <c r="BF14" s="248" t="s">
        <v>60</v>
      </c>
      <c r="BG14" s="349">
        <v>23790.684938210514</v>
      </c>
      <c r="BH14" s="349">
        <v>85755.437936808186</v>
      </c>
      <c r="BI14" s="1065">
        <v>74836.881491341002</v>
      </c>
      <c r="BJ14" s="1128">
        <v>184383.0043663597</v>
      </c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</row>
    <row r="15" spans="2:114" ht="12" customHeight="1" thickBot="1">
      <c r="B15" s="1202"/>
      <c r="C15" s="909"/>
      <c r="D15" s="909"/>
      <c r="E15" s="909"/>
      <c r="F15" s="909" t="s">
        <v>942</v>
      </c>
      <c r="G15" s="909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09"/>
      <c r="AK15" s="909"/>
      <c r="AL15" s="1022">
        <f>AT15</f>
        <v>4.054499794063279E-4</v>
      </c>
      <c r="AM15" s="1216"/>
      <c r="AN15" s="1077"/>
      <c r="AO15" s="1074"/>
      <c r="AP15" s="1081"/>
      <c r="AQ15" s="1078"/>
      <c r="AR15" s="1074"/>
      <c r="AS15" s="1078"/>
      <c r="AT15" s="1102">
        <f>BU56*(1+$AU$53)</f>
        <v>4.054499794063279E-4</v>
      </c>
      <c r="AU15" s="1078">
        <f>AT15*H11</f>
        <v>2.7276473981621696E-3</v>
      </c>
      <c r="AW15" s="1018" t="s">
        <v>274</v>
      </c>
      <c r="A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1018" t="s">
        <v>971</v>
      </c>
      <c r="AZ15" s="1018" t="s">
        <v>972</v>
      </c>
      <c r="BA15" s="1019" t="s">
        <v>273</v>
      </c>
      <c r="BB15" s="1018" t="s">
        <v>273</v>
      </c>
      <c r="BC15" s="1019"/>
      <c r="BD15" s="1018"/>
      <c r="BE15" s="80"/>
      <c r="BF15" s="244" t="s">
        <v>62</v>
      </c>
      <c r="BG15" s="347">
        <v>8010.7993972868508</v>
      </c>
      <c r="BH15" s="347">
        <v>38588.997221862926</v>
      </c>
      <c r="BI15" s="1064">
        <v>37368.747662299225</v>
      </c>
      <c r="BJ15" s="1127">
        <v>83968.544281448994</v>
      </c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</row>
    <row r="16" spans="2:114" ht="12" customHeight="1" thickBot="1">
      <c r="B16" s="1202"/>
      <c r="C16" s="905" t="str">
        <f>AY8</f>
        <v>R-BLD_Att_B2</v>
      </c>
      <c r="D16" s="906" t="str">
        <f>AZ8</f>
        <v>Residential Building Attached _ B2</v>
      </c>
      <c r="E16" s="906">
        <v>2018</v>
      </c>
      <c r="F16" s="906" t="str">
        <f>COMM!O10</f>
        <v>RSDSH_Att-AB</v>
      </c>
      <c r="G16" s="906" t="s">
        <v>938</v>
      </c>
      <c r="H16" s="908">
        <f>BH10/1000</f>
        <v>14.58448055403824</v>
      </c>
      <c r="I16" s="908">
        <f>DwellingStocks!J36/1000</f>
        <v>0.21083910687442345</v>
      </c>
      <c r="J16" s="908">
        <f>DwellingStocks!M36/1000</f>
        <v>5.8919997429588635</v>
      </c>
      <c r="K16" s="908">
        <f>DwellingStocks!P36/1000</f>
        <v>0.55186288026592623</v>
      </c>
      <c r="L16" s="908">
        <f>DwellingStocks!S36/1000</f>
        <v>0.26658086496251027</v>
      </c>
      <c r="M16" s="908">
        <f>DwellingStocks!V36/1000</f>
        <v>0.21479459621323369</v>
      </c>
      <c r="N16" s="908">
        <f>DwellingStocks!Y36/1000</f>
        <v>0.10125692698795652</v>
      </c>
      <c r="O16" s="908">
        <f>DwellingStocks!AB36/1000</f>
        <v>0.54001920516504787</v>
      </c>
      <c r="P16" s="908">
        <f>DwellingStocks!AE36/1000</f>
        <v>0.54454842402348613</v>
      </c>
      <c r="Q16" s="908">
        <f>DwellingStocks!AH36/1000</f>
        <v>0.13998046258185126</v>
      </c>
      <c r="R16" s="908">
        <f>DwellingStocks!AK36/1000</f>
        <v>0.21723826620046782</v>
      </c>
      <c r="S16" s="908">
        <f>DwellingStocks!AN36/1000</f>
        <v>0.15475245570657969</v>
      </c>
      <c r="T16" s="908">
        <f>DwellingStocks!AQ36/1000</f>
        <v>0.30731608357439172</v>
      </c>
      <c r="U16" s="908">
        <f>DwellingStocks!AT36/1000</f>
        <v>0.18258512181326186</v>
      </c>
      <c r="V16" s="908">
        <f>DwellingStocks!AW36/1000</f>
        <v>2.5236103893537374</v>
      </c>
      <c r="W16" s="908">
        <f>DwellingStocks!AZ36/1000</f>
        <v>0.25901856839800019</v>
      </c>
      <c r="X16" s="908">
        <f>DwellingStocks!BC36/1000</f>
        <v>0.48326404412742552</v>
      </c>
      <c r="Y16" s="908">
        <f>DwellingStocks!BF36/1000</f>
        <v>0.29026550422612168</v>
      </c>
      <c r="Z16" s="908">
        <f>DwellingStocks!BI36/1000</f>
        <v>0.38724133955726936</v>
      </c>
      <c r="AA16" s="908">
        <f>DwellingStocks!BL36/1000</f>
        <v>0.44302238074130235</v>
      </c>
      <c r="AB16" s="908">
        <f>DwellingStocks!BO36/1000</f>
        <v>3.6503724167469748E-2</v>
      </c>
      <c r="AC16" s="908">
        <f>DwellingStocks!BR36/1000</f>
        <v>0.23413853569319326</v>
      </c>
      <c r="AD16" s="908">
        <f>DwellingStocks!BU36/1000</f>
        <v>1.8891328600516826E-2</v>
      </c>
      <c r="AE16" s="908">
        <f>DwellingStocks!BX36/1000</f>
        <v>0.12175721828241773</v>
      </c>
      <c r="AF16" s="908">
        <f>DwellingStocks!CA36/1000</f>
        <v>0.17703385636047164</v>
      </c>
      <c r="AG16" s="908">
        <f>DwellingStocks!CD36/1000</f>
        <v>0.15030280094227022</v>
      </c>
      <c r="AH16" s="908">
        <f>DwellingStocks!CG36/1000</f>
        <v>0.13565672626005182</v>
      </c>
      <c r="AI16" s="908">
        <v>1</v>
      </c>
      <c r="AJ16" s="906">
        <v>100</v>
      </c>
      <c r="AK16" s="906">
        <v>1</v>
      </c>
      <c r="AL16" s="1014">
        <f>AN16</f>
        <v>2.1725868290283792E-2</v>
      </c>
      <c r="AM16" s="1216"/>
      <c r="AN16" s="1095">
        <f>BR57*DwellingStocks!X20*(1+AO53)</f>
        <v>2.1725868290283792E-2</v>
      </c>
      <c r="AO16" s="1096">
        <f>AN16*H16</f>
        <v>0.31686050359924001</v>
      </c>
      <c r="AP16" s="1097"/>
      <c r="AQ16" s="1098"/>
      <c r="AR16" s="1096"/>
      <c r="AS16" s="1098"/>
      <c r="AT16" s="1103"/>
      <c r="AU16" s="1098"/>
      <c r="AW16" s="417" t="s">
        <v>274</v>
      </c>
      <c r="A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417" t="s">
        <v>973</v>
      </c>
      <c r="AZ16" s="417" t="s">
        <v>974</v>
      </c>
      <c r="BA16" s="417" t="s">
        <v>273</v>
      </c>
      <c r="BB16" s="1015" t="s">
        <v>273</v>
      </c>
      <c r="BC16" s="417"/>
      <c r="BD16" s="417"/>
      <c r="BE16" s="80"/>
      <c r="BF16" s="260" t="s">
        <v>64</v>
      </c>
      <c r="BG16" s="349">
        <v>8658.126308421115</v>
      </c>
      <c r="BH16" s="349">
        <v>38905.107366988203</v>
      </c>
      <c r="BI16" s="1065">
        <v>66469.176419880765</v>
      </c>
      <c r="BJ16" s="1128">
        <v>114032.41009529008</v>
      </c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</row>
    <row r="17" spans="2:114" ht="12" customHeight="1" thickBot="1">
      <c r="B17" s="1202"/>
      <c r="C17" s="490"/>
      <c r="D17" s="489"/>
      <c r="E17" s="489"/>
      <c r="F17" s="489" t="s">
        <v>939</v>
      </c>
      <c r="G17" s="489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489"/>
      <c r="AK17" s="489"/>
      <c r="AL17" s="1017">
        <v>0</v>
      </c>
      <c r="AM17" s="1216"/>
      <c r="AN17" s="1077"/>
      <c r="AO17" s="1074"/>
      <c r="AP17" s="1081"/>
      <c r="AQ17" s="1078"/>
      <c r="AR17" s="1074"/>
      <c r="AS17" s="1078"/>
      <c r="AT17" s="1102"/>
      <c r="AU17" s="1078"/>
      <c r="AW17" s="1018" t="s">
        <v>274</v>
      </c>
      <c r="A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1018" t="s">
        <v>975</v>
      </c>
      <c r="AZ17" s="1018" t="s">
        <v>976</v>
      </c>
      <c r="BA17" s="1019" t="s">
        <v>273</v>
      </c>
      <c r="BB17" s="1018" t="s">
        <v>273</v>
      </c>
      <c r="BC17" s="1019"/>
      <c r="BD17" s="1018"/>
      <c r="BE17" s="80"/>
      <c r="BF17" s="261" t="s">
        <v>216</v>
      </c>
      <c r="BG17" s="1179">
        <v>211739.48952455298</v>
      </c>
      <c r="BH17" s="1179">
        <v>776104.35365928081</v>
      </c>
      <c r="BI17" s="1180">
        <v>729499.43220136687</v>
      </c>
      <c r="BJ17" s="1129">
        <f>SUM(BJ8:BJ16)</f>
        <v>1717343.2753852005</v>
      </c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</row>
    <row r="18" spans="2:114" ht="12" customHeight="1" thickBot="1">
      <c r="B18" s="1202"/>
      <c r="C18" s="328"/>
      <c r="D18" s="328"/>
      <c r="E18" s="328"/>
      <c r="F18" s="328" t="s">
        <v>940</v>
      </c>
      <c r="G18" s="328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328"/>
      <c r="AK18" s="328"/>
      <c r="AL18" s="1021">
        <f>AP18</f>
        <v>8.1519868840456786E-3</v>
      </c>
      <c r="AM18" s="1216"/>
      <c r="AN18" s="1077"/>
      <c r="AO18" s="1074"/>
      <c r="AP18" s="1081">
        <f>BS57*(1+AQ53)</f>
        <v>8.1519868840456786E-3</v>
      </c>
      <c r="AQ18" s="1078">
        <f>AP18*H16</f>
        <v>0.11889249418713899</v>
      </c>
      <c r="AR18" s="1074"/>
      <c r="AS18" s="1078"/>
      <c r="AT18" s="1102"/>
      <c r="AU18" s="1078"/>
      <c r="AW18" s="417" t="s">
        <v>274</v>
      </c>
      <c r="A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417" t="s">
        <v>977</v>
      </c>
      <c r="AZ18" s="417" t="s">
        <v>978</v>
      </c>
      <c r="BA18" s="417" t="s">
        <v>273</v>
      </c>
      <c r="BB18" s="1015" t="s">
        <v>273</v>
      </c>
      <c r="BC18" s="417"/>
      <c r="BD18" s="417"/>
      <c r="BE18" s="80"/>
      <c r="BF18" s="1025" t="s">
        <v>878</v>
      </c>
      <c r="BG18" s="416">
        <v>0.74286208971025169</v>
      </c>
      <c r="BH18" s="416">
        <v>0.69963472197389465</v>
      </c>
      <c r="BI18" s="416">
        <v>0.71303848954914961</v>
      </c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</row>
    <row r="19" spans="2:114" ht="12" customHeight="1">
      <c r="B19" s="1202"/>
      <c r="C19" s="490"/>
      <c r="D19" s="489"/>
      <c r="E19" s="489"/>
      <c r="F19" s="489" t="s">
        <v>941</v>
      </c>
      <c r="G19" s="489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489"/>
      <c r="AK19" s="489"/>
      <c r="AL19" s="1017">
        <f>AR19</f>
        <v>9.3916277816909124E-4</v>
      </c>
      <c r="AM19" s="1216"/>
      <c r="AN19" s="1077"/>
      <c r="AO19" s="1074"/>
      <c r="AP19" s="1081"/>
      <c r="AQ19" s="1078"/>
      <c r="AR19" s="1074">
        <f>BT57*(1+AS53)</f>
        <v>9.3916277816909124E-4</v>
      </c>
      <c r="AS19" s="1078">
        <f>AR19*H16</f>
        <v>1.369720127528364E-2</v>
      </c>
      <c r="AT19" s="1102"/>
      <c r="AU19" s="1078"/>
      <c r="AW19" s="1018" t="s">
        <v>274</v>
      </c>
      <c r="A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1018" t="s">
        <v>979</v>
      </c>
      <c r="AZ19" s="1018" t="s">
        <v>980</v>
      </c>
      <c r="BA19" s="1019" t="s">
        <v>273</v>
      </c>
      <c r="BB19" s="1018" t="s">
        <v>273</v>
      </c>
      <c r="BC19" s="1019"/>
      <c r="BD19" s="1018"/>
      <c r="BE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</row>
    <row r="20" spans="2:114" ht="12" customHeight="1" thickBot="1">
      <c r="B20" s="1202"/>
      <c r="C20" s="909"/>
      <c r="D20" s="909"/>
      <c r="E20" s="909"/>
      <c r="F20" s="909" t="s">
        <v>942</v>
      </c>
      <c r="G20" s="909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09"/>
      <c r="AK20" s="909"/>
      <c r="AL20" s="1022">
        <f>AT20</f>
        <v>3.8693506869350643E-4</v>
      </c>
      <c r="AM20" s="1216"/>
      <c r="AN20" s="1099"/>
      <c r="AO20" s="1079"/>
      <c r="AP20" s="1100"/>
      <c r="AQ20" s="1080"/>
      <c r="AR20" s="1079"/>
      <c r="AS20" s="1080"/>
      <c r="AT20" s="1101">
        <f>BU57*(1+$AU$53)</f>
        <v>3.8693506869350643E-4</v>
      </c>
      <c r="AU20" s="1080">
        <f>AT20*H16</f>
        <v>5.6432469850358951E-3</v>
      </c>
      <c r="AW20" s="417" t="s">
        <v>274</v>
      </c>
      <c r="A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417" t="s">
        <v>981</v>
      </c>
      <c r="AZ20" s="417" t="s">
        <v>982</v>
      </c>
      <c r="BA20" s="417" t="s">
        <v>273</v>
      </c>
      <c r="BB20" s="1015" t="s">
        <v>273</v>
      </c>
      <c r="BC20" s="417"/>
      <c r="BD20" s="417"/>
      <c r="BE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</row>
    <row r="21" spans="2:114" ht="12" customHeight="1">
      <c r="B21" s="1202"/>
      <c r="C21" s="905" t="str">
        <f>AY9</f>
        <v>R-BLD_Att_B3</v>
      </c>
      <c r="D21" s="906" t="str">
        <f>AZ9</f>
        <v>Residential Building Attached _ B3</v>
      </c>
      <c r="E21" s="906">
        <v>2018</v>
      </c>
      <c r="F21" s="906" t="str">
        <f>COMM!O10</f>
        <v>RSDSH_Att-AB</v>
      </c>
      <c r="G21" s="906" t="s">
        <v>938</v>
      </c>
      <c r="H21" s="908">
        <f>BH11/1000</f>
        <v>49.42092705173571</v>
      </c>
      <c r="I21" s="908">
        <f>DwellingStocks!J37/1000</f>
        <v>0.58775011299924884</v>
      </c>
      <c r="J21" s="908">
        <f>DwellingStocks!M37/1000</f>
        <v>16.753257889821253</v>
      </c>
      <c r="K21" s="908">
        <f>DwellingStocks!P37/1000</f>
        <v>2.0576079575477917</v>
      </c>
      <c r="L21" s="908">
        <f>DwellingStocks!S37/1000</f>
        <v>0.98265209347494653</v>
      </c>
      <c r="M21" s="908">
        <f>DwellingStocks!V37/1000</f>
        <v>1.0632332512555067</v>
      </c>
      <c r="N21" s="908">
        <f>DwellingStocks!Y37/1000</f>
        <v>0.35356926964647112</v>
      </c>
      <c r="O21" s="908">
        <f>DwellingStocks!AB37/1000</f>
        <v>2.1000746867529636</v>
      </c>
      <c r="P21" s="908">
        <f>DwellingStocks!AE37/1000</f>
        <v>2.0556315151883742</v>
      </c>
      <c r="Q21" s="908">
        <f>DwellingStocks!AH37/1000</f>
        <v>0.39345859752736573</v>
      </c>
      <c r="R21" s="908">
        <f>DwellingStocks!AK37/1000</f>
        <v>0.96279999580047337</v>
      </c>
      <c r="S21" s="908">
        <f>DwellingStocks!AN37/1000</f>
        <v>0.58572972482490393</v>
      </c>
      <c r="T21" s="908">
        <f>DwellingStocks!AQ37/1000</f>
        <v>1.2499822725160652</v>
      </c>
      <c r="U21" s="908">
        <f>DwellingStocks!AT37/1000</f>
        <v>0.75968452468732162</v>
      </c>
      <c r="V21" s="908">
        <f>DwellingStocks!AW37/1000</f>
        <v>9.4990443010522707</v>
      </c>
      <c r="W21" s="908">
        <f>DwellingStocks!AZ37/1000</f>
        <v>1.078736155445789</v>
      </c>
      <c r="X21" s="908">
        <f>DwellingStocks!BC37/1000</f>
        <v>1.6388239863776981</v>
      </c>
      <c r="Y21" s="908">
        <f>DwellingStocks!BF37/1000</f>
        <v>1.0766825098620092</v>
      </c>
      <c r="Z21" s="908">
        <f>DwellingStocks!BI37/1000</f>
        <v>1.2112343269257055</v>
      </c>
      <c r="AA21" s="908">
        <f>DwellingStocks!BL37/1000</f>
        <v>1.3542926158604225</v>
      </c>
      <c r="AB21" s="908">
        <f>DwellingStocks!BO37/1000</f>
        <v>0.21641493613571353</v>
      </c>
      <c r="AC21" s="908">
        <f>DwellingStocks!BR37/1000</f>
        <v>0.5268117053096848</v>
      </c>
      <c r="AD21" s="908">
        <f>DwellingStocks!BU37/1000</f>
        <v>0.16844768002127503</v>
      </c>
      <c r="AE21" s="908">
        <f>DwellingStocks!BX37/1000</f>
        <v>0.61630196908384283</v>
      </c>
      <c r="AF21" s="908">
        <f>DwellingStocks!CA37/1000</f>
        <v>0.78112306797646691</v>
      </c>
      <c r="AG21" s="908">
        <f>DwellingStocks!CD37/1000</f>
        <v>0.80495500060193603</v>
      </c>
      <c r="AH21" s="908">
        <f>DwellingStocks!CG37/1000</f>
        <v>0.54262690504020727</v>
      </c>
      <c r="AI21" s="908">
        <v>1</v>
      </c>
      <c r="AJ21" s="906">
        <v>100</v>
      </c>
      <c r="AK21" s="906">
        <v>1</v>
      </c>
      <c r="AL21" s="1014">
        <f>AN21</f>
        <v>2.5989100905194046E-2</v>
      </c>
      <c r="AM21" s="1216"/>
      <c r="AN21" s="1077">
        <f>BR58*DwellingStocks!X21*(1+AO53)</f>
        <v>2.5989100905194046E-2</v>
      </c>
      <c r="AO21" s="1074">
        <f>AN21*H21</f>
        <v>1.2844054599757935</v>
      </c>
      <c r="AP21" s="1081"/>
      <c r="AQ21" s="1078"/>
      <c r="AR21" s="1074"/>
      <c r="AS21" s="1078"/>
      <c r="AT21" s="1102"/>
      <c r="AU21" s="1078"/>
      <c r="AW21" s="1018" t="s">
        <v>274</v>
      </c>
      <c r="A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1018" t="s">
        <v>983</v>
      </c>
      <c r="AZ21" s="1018" t="s">
        <v>984</v>
      </c>
      <c r="BA21" s="1019" t="s">
        <v>273</v>
      </c>
      <c r="BB21" s="1018" t="s">
        <v>273</v>
      </c>
      <c r="BC21" s="1019"/>
      <c r="BD21" s="1018"/>
      <c r="BE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</row>
    <row r="22" spans="2:114" ht="12" customHeight="1">
      <c r="B22" s="1202"/>
      <c r="C22" s="490"/>
      <c r="D22" s="489"/>
      <c r="E22" s="489"/>
      <c r="F22" s="489" t="s">
        <v>939</v>
      </c>
      <c r="G22" s="489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489"/>
      <c r="AK22" s="489"/>
      <c r="AL22" s="1017">
        <v>0</v>
      </c>
      <c r="AM22" s="1216"/>
      <c r="AN22" s="1077"/>
      <c r="AO22" s="1074"/>
      <c r="AP22" s="1081"/>
      <c r="AQ22" s="1078"/>
      <c r="AR22" s="1074"/>
      <c r="AS22" s="1078"/>
      <c r="AT22" s="1102"/>
      <c r="AU22" s="1078"/>
      <c r="AW22" s="417" t="s">
        <v>274</v>
      </c>
      <c r="A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417" t="s">
        <v>985</v>
      </c>
      <c r="AZ22" s="417" t="s">
        <v>986</v>
      </c>
      <c r="BA22" s="417" t="s">
        <v>273</v>
      </c>
      <c r="BB22" s="1015" t="s">
        <v>273</v>
      </c>
      <c r="BC22" s="417"/>
      <c r="BD22" s="417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</row>
    <row r="23" spans="2:114" ht="12" customHeight="1" thickBot="1">
      <c r="B23" s="1202"/>
      <c r="C23" s="328"/>
      <c r="D23" s="328"/>
      <c r="E23" s="328"/>
      <c r="F23" s="328" t="s">
        <v>940</v>
      </c>
      <c r="G23" s="328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328"/>
      <c r="AK23" s="328"/>
      <c r="AL23" s="1021">
        <f>AP23</f>
        <v>9.0793996646277974E-3</v>
      </c>
      <c r="AN23" s="1077"/>
      <c r="AO23" s="1074"/>
      <c r="AP23" s="1081">
        <f>BS58*(1+AQ53)</f>
        <v>9.0793996646277974E-3</v>
      </c>
      <c r="AQ23" s="1078">
        <f>AP23*H21</f>
        <v>0.44871234849912406</v>
      </c>
      <c r="AR23" s="1074"/>
      <c r="AS23" s="1078"/>
      <c r="AT23" s="1102"/>
      <c r="AU23" s="1078"/>
      <c r="AW23" s="1026" t="s">
        <v>274</v>
      </c>
      <c r="A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1026" t="s">
        <v>987</v>
      </c>
      <c r="AZ23" s="1026" t="s">
        <v>988</v>
      </c>
      <c r="BA23" s="1027" t="s">
        <v>273</v>
      </c>
      <c r="BB23" s="1026" t="s">
        <v>273</v>
      </c>
      <c r="BC23" s="1027"/>
      <c r="BD23" s="1026"/>
      <c r="BE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</row>
    <row r="24" spans="2:114" ht="17.25" customHeight="1" thickBot="1">
      <c r="B24" s="1202"/>
      <c r="C24" s="490"/>
      <c r="D24" s="489"/>
      <c r="E24" s="489"/>
      <c r="F24" s="489" t="s">
        <v>941</v>
      </c>
      <c r="G24" s="489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489"/>
      <c r="AK24" s="489"/>
      <c r="AL24" s="1017">
        <f>AR24</f>
        <v>9.6377188057861012E-4</v>
      </c>
      <c r="AN24" s="1077"/>
      <c r="AO24" s="1074"/>
      <c r="AP24" s="1081"/>
      <c r="AQ24" s="1078"/>
      <c r="AR24" s="1074">
        <f>BT58*(1+AS53)</f>
        <v>9.6377188057861012E-4</v>
      </c>
      <c r="AS24" s="1078">
        <f>AR24*H21</f>
        <v>4.7630499804589631E-2</v>
      </c>
      <c r="AT24" s="1102"/>
      <c r="AU24" s="1078"/>
      <c r="AW24" s="417" t="s">
        <v>274</v>
      </c>
      <c r="A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417" t="s">
        <v>989</v>
      </c>
      <c r="AZ24" s="417" t="s">
        <v>990</v>
      </c>
      <c r="BA24" s="417" t="s">
        <v>273</v>
      </c>
      <c r="BB24" s="1015" t="s">
        <v>273</v>
      </c>
      <c r="BC24" s="417"/>
      <c r="BD24" s="417"/>
      <c r="BE24" s="80"/>
      <c r="BF24" s="1267" t="s">
        <v>1079</v>
      </c>
      <c r="BG24" s="1268"/>
      <c r="BH24" s="1268"/>
      <c r="BI24" s="1268"/>
      <c r="BJ24" s="1268"/>
      <c r="BK24" s="1280" t="s">
        <v>1080</v>
      </c>
      <c r="BL24" s="1282" t="s">
        <v>1084</v>
      </c>
      <c r="BM24" s="1283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</row>
    <row r="25" spans="2:114" ht="15.75" thickBot="1">
      <c r="B25" s="1202"/>
      <c r="C25" s="909"/>
      <c r="D25" s="909"/>
      <c r="E25" s="909"/>
      <c r="F25" s="909" t="s">
        <v>942</v>
      </c>
      <c r="G25" s="909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09"/>
      <c r="AK25" s="909"/>
      <c r="AL25" s="1022">
        <f>AT25</f>
        <v>3.7813869504342844E-4</v>
      </c>
      <c r="AN25" s="1077"/>
      <c r="AO25" s="1074"/>
      <c r="AP25" s="1081"/>
      <c r="AQ25" s="1078"/>
      <c r="AR25" s="1074"/>
      <c r="AS25" s="1078"/>
      <c r="AT25" s="1102">
        <f>BU58*(1+$AU$53)</f>
        <v>3.7813869504342844E-4</v>
      </c>
      <c r="AU25" s="1078">
        <f>AT25*H21</f>
        <v>1.8687964863179814E-2</v>
      </c>
      <c r="AW25" s="1018" t="s">
        <v>274</v>
      </c>
      <c r="A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1018" t="s">
        <v>991</v>
      </c>
      <c r="AZ25" s="1018" t="s">
        <v>992</v>
      </c>
      <c r="BA25" s="1019" t="s">
        <v>273</v>
      </c>
      <c r="BB25" s="1018" t="s">
        <v>273</v>
      </c>
      <c r="BC25" s="1019"/>
      <c r="BD25" s="1018"/>
      <c r="BE25" s="80"/>
      <c r="BF25" s="257" t="s">
        <v>879</v>
      </c>
      <c r="BG25" s="257" t="s">
        <v>879</v>
      </c>
      <c r="BH25" s="1275" t="s">
        <v>880</v>
      </c>
      <c r="BI25" s="1276"/>
      <c r="BJ25" s="1276"/>
      <c r="BK25" s="1281"/>
      <c r="BL25" s="1284"/>
      <c r="BM25" s="1285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</row>
    <row r="26" spans="2:114" ht="15">
      <c r="B26" s="1202"/>
      <c r="C26" s="905" t="str">
        <f>AY10</f>
        <v>R-BLD_Att_C</v>
      </c>
      <c r="D26" s="906" t="str">
        <f>AZ10</f>
        <v>Residential Building Attached _ C</v>
      </c>
      <c r="E26" s="906">
        <v>2018</v>
      </c>
      <c r="F26" s="906" t="str">
        <f>COMM!O13</f>
        <v>RSDSH_Att-C</v>
      </c>
      <c r="G26" s="906" t="s">
        <v>938</v>
      </c>
      <c r="H26" s="908">
        <f>BH12/1000</f>
        <v>293.67295873330869</v>
      </c>
      <c r="I26" s="908">
        <f>DwellingStocks!J38/1000</f>
        <v>3.9741727542357075</v>
      </c>
      <c r="J26" s="908">
        <f>DwellingStocks!M38/1000</f>
        <v>99.526965485677621</v>
      </c>
      <c r="K26" s="908">
        <f>DwellingStocks!P38/1000</f>
        <v>14.284477268340218</v>
      </c>
      <c r="L26" s="908">
        <f>DwellingStocks!S38/1000</f>
        <v>5.0825490458545755</v>
      </c>
      <c r="M26" s="908">
        <f>DwellingStocks!V38/1000</f>
        <v>5.0566227858532091</v>
      </c>
      <c r="N26" s="908">
        <f>DwellingStocks!Y38/1000</f>
        <v>1.9371612097532012</v>
      </c>
      <c r="O26" s="908">
        <f>DwellingStocks!AB38/1000</f>
        <v>10.782545631058266</v>
      </c>
      <c r="P26" s="908">
        <f>DwellingStocks!AE38/1000</f>
        <v>11.294337683450085</v>
      </c>
      <c r="Q26" s="908">
        <f>DwellingStocks!AH38/1000</f>
        <v>3.6981324911826925</v>
      </c>
      <c r="R26" s="908">
        <f>DwellingStocks!AK38/1000</f>
        <v>5.0920649597389653</v>
      </c>
      <c r="S26" s="908">
        <f>DwellingStocks!AN38/1000</f>
        <v>6.9738445361965118</v>
      </c>
      <c r="T26" s="908">
        <f>DwellingStocks!AQ38/1000</f>
        <v>7.9349703376848568</v>
      </c>
      <c r="U26" s="908">
        <f>DwellingStocks!AT38/1000</f>
        <v>5.7171966267777616</v>
      </c>
      <c r="V26" s="908">
        <f>DwellingStocks!AW38/1000</f>
        <v>37.779503584921137</v>
      </c>
      <c r="W26" s="908">
        <f>DwellingStocks!AZ38/1000</f>
        <v>5.8065868480281102</v>
      </c>
      <c r="X26" s="908">
        <f>DwellingStocks!BC38/1000</f>
        <v>13.074429275474635</v>
      </c>
      <c r="Y26" s="908">
        <f>DwellingStocks!BF38/1000</f>
        <v>8.2776296408670156</v>
      </c>
      <c r="Z26" s="908">
        <f>DwellingStocks!BI38/1000</f>
        <v>8.5882702567564273</v>
      </c>
      <c r="AA26" s="908">
        <f>DwellingStocks!BL38/1000</f>
        <v>12.037280700924709</v>
      </c>
      <c r="AB26" s="908">
        <f>DwellingStocks!BO38/1000</f>
        <v>1.2763266414268888</v>
      </c>
      <c r="AC26" s="908">
        <f>DwellingStocks!BR38/1000</f>
        <v>5.2339718499749246</v>
      </c>
      <c r="AD26" s="908">
        <f>DwellingStocks!BU38/1000</f>
        <v>2.7612825304422093</v>
      </c>
      <c r="AE26" s="908">
        <f>DwellingStocks!BX38/1000</f>
        <v>3.4828577130908873</v>
      </c>
      <c r="AF26" s="908">
        <f>DwellingStocks!CA38/1000</f>
        <v>3.7782751975879605</v>
      </c>
      <c r="AG26" s="908">
        <f>DwellingStocks!CD38/1000</f>
        <v>7.7055235949737195</v>
      </c>
      <c r="AH26" s="908">
        <f>DwellingStocks!CG38/1000</f>
        <v>2.5159800830364278</v>
      </c>
      <c r="AI26" s="908">
        <v>1</v>
      </c>
      <c r="AJ26" s="906">
        <v>100</v>
      </c>
      <c r="AK26" s="906">
        <v>1</v>
      </c>
      <c r="AL26" s="1014">
        <f>AN26</f>
        <v>2.2119260054676432E-2</v>
      </c>
      <c r="AN26" s="1095">
        <f>BR59*DwellingStocks!X22*(1+AO53)</f>
        <v>2.2119260054676432E-2</v>
      </c>
      <c r="AO26" s="1096">
        <f>AN26*H26</f>
        <v>6.4958285452483153</v>
      </c>
      <c r="AP26" s="1097"/>
      <c r="AQ26" s="1098"/>
      <c r="AR26" s="1096"/>
      <c r="AS26" s="1098"/>
      <c r="AT26" s="1103"/>
      <c r="AU26" s="1098"/>
      <c r="AW26" s="417" t="s">
        <v>274</v>
      </c>
      <c r="A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417" t="s">
        <v>993</v>
      </c>
      <c r="AZ26" s="417" t="s">
        <v>994</v>
      </c>
      <c r="BA26" s="417" t="s">
        <v>273</v>
      </c>
      <c r="BB26" s="1015" t="s">
        <v>273</v>
      </c>
      <c r="BC26" s="417"/>
      <c r="BD26" s="417"/>
      <c r="BF26" s="1044" t="s">
        <v>48</v>
      </c>
      <c r="BG26" s="1167">
        <f>IFERROR(($BG$35*BK26)/(BJ8/$BJ$17),0)</f>
        <v>0</v>
      </c>
      <c r="BH26" s="1272">
        <f>$BL$26*(1-BG26)^($BL$28-$BL$27)/100</f>
        <v>1</v>
      </c>
      <c r="BI26" s="1273"/>
      <c r="BJ26" s="1274"/>
      <c r="BK26" s="1160">
        <v>0</v>
      </c>
      <c r="BL26" s="1164">
        <v>100</v>
      </c>
      <c r="BM26" s="377" t="s">
        <v>1081</v>
      </c>
      <c r="BN26" s="80"/>
      <c r="BO26" s="80"/>
    </row>
    <row r="27" spans="2:114" ht="15">
      <c r="B27" s="1202"/>
      <c r="C27" s="490"/>
      <c r="D27" s="489"/>
      <c r="E27" s="489"/>
      <c r="F27" s="489" t="s">
        <v>939</v>
      </c>
      <c r="G27" s="489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489"/>
      <c r="AK27" s="489"/>
      <c r="AL27" s="1017">
        <v>0</v>
      </c>
      <c r="AN27" s="1077"/>
      <c r="AO27" s="1074"/>
      <c r="AP27" s="1081"/>
      <c r="AQ27" s="1078"/>
      <c r="AR27" s="1074"/>
      <c r="AS27" s="1078"/>
      <c r="AT27" s="1102"/>
      <c r="AU27" s="1078"/>
      <c r="AW27" s="1018" t="s">
        <v>274</v>
      </c>
      <c r="A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1018" t="s">
        <v>995</v>
      </c>
      <c r="AZ27" s="1018" t="s">
        <v>996</v>
      </c>
      <c r="BA27" s="1019" t="s">
        <v>273</v>
      </c>
      <c r="BB27" s="1018" t="s">
        <v>273</v>
      </c>
      <c r="BC27" s="1019"/>
      <c r="BD27" s="1018"/>
      <c r="BF27" s="1045" t="s">
        <v>50</v>
      </c>
      <c r="BG27" s="1167">
        <f t="shared" ref="BG27:BG31" si="0">IFERROR(($BG$35*BK27)/(BJ9/$BJ$17),0)</f>
        <v>0</v>
      </c>
      <c r="BH27" s="1272">
        <f t="shared" ref="BH27:BH32" si="1">$BL$26*(1-BG27)^($BL$28-$BL$27)/100</f>
        <v>1</v>
      </c>
      <c r="BI27" s="1273"/>
      <c r="BJ27" s="1274"/>
      <c r="BK27" s="1160">
        <v>0</v>
      </c>
      <c r="BL27" s="1164">
        <v>2018</v>
      </c>
      <c r="BM27" s="377" t="s">
        <v>1082</v>
      </c>
      <c r="BN27" s="80"/>
      <c r="BO27" s="80"/>
    </row>
    <row r="28" spans="2:114" ht="15.75" thickBot="1">
      <c r="B28" s="1202"/>
      <c r="C28" s="328"/>
      <c r="D28" s="328"/>
      <c r="E28" s="328"/>
      <c r="F28" s="328" t="s">
        <v>940</v>
      </c>
      <c r="G28" s="328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328"/>
      <c r="AK28" s="328"/>
      <c r="AL28" s="1021">
        <f>AP28</f>
        <v>1.0197202926990688E-2</v>
      </c>
      <c r="AN28" s="1077"/>
      <c r="AO28" s="1074"/>
      <c r="AP28" s="1081">
        <f>BS59*(1+AQ53)</f>
        <v>1.0197202926990688E-2</v>
      </c>
      <c r="AQ28" s="1078">
        <f>AP28*H26</f>
        <v>2.9946427543733107</v>
      </c>
      <c r="AR28" s="1074"/>
      <c r="AS28" s="1078"/>
      <c r="AT28" s="1102"/>
      <c r="AU28" s="1078"/>
      <c r="AW28" s="417" t="s">
        <v>274</v>
      </c>
      <c r="A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417" t="s">
        <v>997</v>
      </c>
      <c r="AZ28" s="417" t="s">
        <v>998</v>
      </c>
      <c r="BA28" s="417" t="s">
        <v>273</v>
      </c>
      <c r="BB28" s="1015" t="s">
        <v>273</v>
      </c>
      <c r="BC28" s="417"/>
      <c r="BD28" s="417"/>
      <c r="BF28" s="1046" t="s">
        <v>52</v>
      </c>
      <c r="BG28" s="1167">
        <f t="shared" si="0"/>
        <v>0</v>
      </c>
      <c r="BH28" s="1272">
        <f t="shared" si="1"/>
        <v>1</v>
      </c>
      <c r="BI28" s="1273"/>
      <c r="BJ28" s="1274"/>
      <c r="BK28" s="1160">
        <v>0</v>
      </c>
      <c r="BL28" s="1165">
        <v>2070</v>
      </c>
      <c r="BM28" s="1163" t="s">
        <v>1083</v>
      </c>
      <c r="BN28" s="80"/>
      <c r="BO28" s="80"/>
    </row>
    <row r="29" spans="2:114" ht="15">
      <c r="B29" s="1202"/>
      <c r="C29" s="490"/>
      <c r="D29" s="489"/>
      <c r="E29" s="489"/>
      <c r="F29" s="489" t="s">
        <v>941</v>
      </c>
      <c r="G29" s="489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489"/>
      <c r="AK29" s="489"/>
      <c r="AL29" s="1017">
        <f>AR29</f>
        <v>9.5418080525995757E-4</v>
      </c>
      <c r="AN29" s="1077"/>
      <c r="AO29" s="1074"/>
      <c r="AP29" s="1081"/>
      <c r="AQ29" s="1078"/>
      <c r="AR29" s="1074">
        <f>BT59*(1+AS53)</f>
        <v>9.5418080525995757E-4</v>
      </c>
      <c r="AS29" s="1078">
        <f>AR29*H26</f>
        <v>0.28021710024722279</v>
      </c>
      <c r="AT29" s="1102"/>
      <c r="AU29" s="1078"/>
      <c r="AW29" s="1018" t="s">
        <v>274</v>
      </c>
      <c r="A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1018" t="s">
        <v>999</v>
      </c>
      <c r="AZ29" s="1018" t="s">
        <v>1000</v>
      </c>
      <c r="BA29" s="1019" t="s">
        <v>273</v>
      </c>
      <c r="BB29" s="1018" t="s">
        <v>273</v>
      </c>
      <c r="BC29" s="1019"/>
      <c r="BD29" s="1018"/>
      <c r="BF29" s="1045" t="s">
        <v>54</v>
      </c>
      <c r="BG29" s="1167">
        <f t="shared" si="0"/>
        <v>4.7825487930972541E-4</v>
      </c>
      <c r="BH29" s="1272">
        <f t="shared" si="1"/>
        <v>0.97543163582150982</v>
      </c>
      <c r="BI29" s="1273"/>
      <c r="BJ29" s="1274"/>
      <c r="BK29" s="1160">
        <v>0.01</v>
      </c>
      <c r="BN29" s="80"/>
      <c r="BO29" s="80"/>
    </row>
    <row r="30" spans="2:114" ht="15.75" thickBot="1">
      <c r="B30" s="1202"/>
      <c r="C30" s="909"/>
      <c r="D30" s="909"/>
      <c r="E30" s="909"/>
      <c r="F30" s="909" t="s">
        <v>942</v>
      </c>
      <c r="G30" s="909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09"/>
      <c r="AK30" s="909"/>
      <c r="AL30" s="1022">
        <f>AT30</f>
        <v>3.7567997794336699E-4</v>
      </c>
      <c r="AN30" s="1099"/>
      <c r="AO30" s="1079"/>
      <c r="AP30" s="1100"/>
      <c r="AQ30" s="1080"/>
      <c r="AR30" s="1079"/>
      <c r="AS30" s="1080"/>
      <c r="AT30" s="1101">
        <f>BU59*(1+$AU$53)</f>
        <v>3.7567997794336699E-4</v>
      </c>
      <c r="AU30" s="1080">
        <f>AT30*H26</f>
        <v>0.11032705065949273</v>
      </c>
      <c r="AW30" s="417" t="s">
        <v>274</v>
      </c>
      <c r="A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417" t="s">
        <v>1001</v>
      </c>
      <c r="AZ30" s="417" t="s">
        <v>1002</v>
      </c>
      <c r="BA30" s="417" t="s">
        <v>273</v>
      </c>
      <c r="BB30" s="1015" t="s">
        <v>273</v>
      </c>
      <c r="BC30" s="417"/>
      <c r="BD30" s="417"/>
      <c r="BF30" s="1046" t="s">
        <v>56</v>
      </c>
      <c r="BG30" s="1167">
        <f t="shared" si="0"/>
        <v>3.8187099184060013E-4</v>
      </c>
      <c r="BH30" s="1272">
        <f t="shared" si="1"/>
        <v>0.98033484804088578</v>
      </c>
      <c r="BI30" s="1273"/>
      <c r="BJ30" s="1274"/>
      <c r="BK30" s="1160">
        <v>0.04</v>
      </c>
      <c r="BN30" s="80"/>
      <c r="BO30" s="80"/>
    </row>
    <row r="31" spans="2:114" ht="15">
      <c r="B31" s="1202"/>
      <c r="C31" s="905" t="str">
        <f>AY11</f>
        <v>R-BLD_Att_D</v>
      </c>
      <c r="D31" s="906" t="str">
        <f>AZ11</f>
        <v>Residential Building Attached _ D</v>
      </c>
      <c r="E31" s="906">
        <v>2018</v>
      </c>
      <c r="F31" s="906" t="str">
        <f>COMM!O16</f>
        <v>RSDSH_Att-D</v>
      </c>
      <c r="G31" s="906" t="s">
        <v>938</v>
      </c>
      <c r="H31" s="908">
        <f>BH13/1000</f>
        <v>175.92034461876051</v>
      </c>
      <c r="I31" s="908">
        <f>DwellingStocks!J39/1000</f>
        <v>2.0852854131963521</v>
      </c>
      <c r="J31" s="908">
        <f>DwellingStocks!M39/1000</f>
        <v>72.928311473642054</v>
      </c>
      <c r="K31" s="908">
        <f>DwellingStocks!P39/1000</f>
        <v>8.0275948112854785</v>
      </c>
      <c r="L31" s="908">
        <f>DwellingStocks!S39/1000</f>
        <v>2.9615772005324135</v>
      </c>
      <c r="M31" s="908">
        <f>DwellingStocks!V39/1000</f>
        <v>1.8740828519604638</v>
      </c>
      <c r="N31" s="908">
        <f>DwellingStocks!Y39/1000</f>
        <v>1.1968236780051911</v>
      </c>
      <c r="O31" s="908">
        <f>DwellingStocks!AB39/1000</f>
        <v>4.2796116589506346</v>
      </c>
      <c r="P31" s="908">
        <f>DwellingStocks!AE39/1000</f>
        <v>3.3758899449433222</v>
      </c>
      <c r="Q31" s="908">
        <f>DwellingStocks!AH39/1000</f>
        <v>1.7440808986549579</v>
      </c>
      <c r="R31" s="908">
        <f>DwellingStocks!AK39/1000</f>
        <v>2.8449523341613268</v>
      </c>
      <c r="S31" s="908">
        <f>DwellingStocks!AN39/1000</f>
        <v>5.0435988521144415</v>
      </c>
      <c r="T31" s="908">
        <f>DwellingStocks!AQ39/1000</f>
        <v>4.8359120791678158</v>
      </c>
      <c r="U31" s="908">
        <f>DwellingStocks!AT39/1000</f>
        <v>4.4488821198963535</v>
      </c>
      <c r="V31" s="908">
        <f>DwellingStocks!AW39/1000</f>
        <v>17.241029420483791</v>
      </c>
      <c r="W31" s="908">
        <f>DwellingStocks!AZ39/1000</f>
        <v>4.0193587260819088</v>
      </c>
      <c r="X31" s="908">
        <f>DwellingStocks!BC39/1000</f>
        <v>8.1020696377689809</v>
      </c>
      <c r="Y31" s="908">
        <f>DwellingStocks!BF39/1000</f>
        <v>5.4542913352257276</v>
      </c>
      <c r="Z31" s="908">
        <f>DwellingStocks!BI39/1000</f>
        <v>5.5646050026791185</v>
      </c>
      <c r="AA31" s="908">
        <f>DwellingStocks!BL39/1000</f>
        <v>6.7320482767450569</v>
      </c>
      <c r="AB31" s="908">
        <f>DwellingStocks!BO39/1000</f>
        <v>0.46933359643889677</v>
      </c>
      <c r="AC31" s="908">
        <f>DwellingStocks!BR39/1000</f>
        <v>3.1511144595375593</v>
      </c>
      <c r="AD31" s="908">
        <f>DwellingStocks!BU39/1000</f>
        <v>0.93197221095882998</v>
      </c>
      <c r="AE31" s="908">
        <f>DwellingStocks!BX39/1000</f>
        <v>2.1164711523659769</v>
      </c>
      <c r="AF31" s="908">
        <f>DwellingStocks!CA39/1000</f>
        <v>1.2951424228476607</v>
      </c>
      <c r="AG31" s="908">
        <f>DwellingStocks!CD39/1000</f>
        <v>3.5087353864412187</v>
      </c>
      <c r="AH31" s="908">
        <f>DwellingStocks!CG39/1000</f>
        <v>1.6875696746750446</v>
      </c>
      <c r="AI31" s="908">
        <v>1</v>
      </c>
      <c r="AJ31" s="906">
        <v>100</v>
      </c>
      <c r="AK31" s="906">
        <v>1</v>
      </c>
      <c r="AL31" s="1014">
        <f>AN31</f>
        <v>3.1550916621563667E-2</v>
      </c>
      <c r="AN31" s="1077">
        <f>BR60*DwellingStocks!X23*(1+AO53)</f>
        <v>3.1550916621563667E-2</v>
      </c>
      <c r="AO31" s="1074">
        <f>AN31*H31</f>
        <v>5.5504481251032596</v>
      </c>
      <c r="AP31" s="1081"/>
      <c r="AQ31" s="1078"/>
      <c r="AR31" s="1074"/>
      <c r="AS31" s="1078"/>
      <c r="AT31" s="1102"/>
      <c r="AU31" s="1078"/>
      <c r="AW31" s="1018" t="s">
        <v>274</v>
      </c>
      <c r="A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1018" t="s">
        <v>1003</v>
      </c>
      <c r="AZ31" s="1018" t="s">
        <v>1004</v>
      </c>
      <c r="BA31" s="1019" t="s">
        <v>273</v>
      </c>
      <c r="BB31" s="1018" t="s">
        <v>273</v>
      </c>
      <c r="BC31" s="1019"/>
      <c r="BD31" s="1018"/>
      <c r="BE31" s="80"/>
      <c r="BF31" s="1045" t="s">
        <v>58</v>
      </c>
      <c r="BG31" s="1167">
        <f t="shared" si="0"/>
        <v>6.1585782114715281E-4</v>
      </c>
      <c r="BH31" s="1272">
        <f t="shared" si="1"/>
        <v>0.96847319624484829</v>
      </c>
      <c r="BI31" s="1273"/>
      <c r="BJ31" s="1274"/>
      <c r="BK31" s="1160">
        <v>0.04</v>
      </c>
      <c r="BN31" s="80"/>
      <c r="BO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</row>
    <row r="32" spans="2:114" ht="15">
      <c r="B32" s="1202"/>
      <c r="C32" s="490"/>
      <c r="D32" s="489"/>
      <c r="E32" s="489"/>
      <c r="F32" s="489" t="s">
        <v>939</v>
      </c>
      <c r="G32" s="489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489"/>
      <c r="AK32" s="489"/>
      <c r="AL32" s="1017">
        <v>0</v>
      </c>
      <c r="AN32" s="1077"/>
      <c r="AO32" s="1074"/>
      <c r="AP32" s="1081"/>
      <c r="AQ32" s="1078"/>
      <c r="AR32" s="1074"/>
      <c r="AS32" s="1078"/>
      <c r="AT32" s="1102"/>
      <c r="AU32" s="1078"/>
      <c r="AW32" s="417" t="s">
        <v>274</v>
      </c>
      <c r="A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417" t="s">
        <v>1005</v>
      </c>
      <c r="AZ32" s="417" t="s">
        <v>1006</v>
      </c>
      <c r="BA32" s="417" t="s">
        <v>273</v>
      </c>
      <c r="BB32" s="1015" t="s">
        <v>273</v>
      </c>
      <c r="BC32" s="417"/>
      <c r="BD32" s="417"/>
      <c r="BE32" s="80"/>
      <c r="BF32" s="1046" t="s">
        <v>60</v>
      </c>
      <c r="BG32" s="1167">
        <f>IFERROR(($BG$35*BK32)/(BJ14/$BJ$17),0)</f>
        <v>3.9118799378527807E-3</v>
      </c>
      <c r="BH32" s="1272">
        <f t="shared" si="1"/>
        <v>0.81561188331174039</v>
      </c>
      <c r="BI32" s="1273"/>
      <c r="BJ32" s="1274"/>
      <c r="BK32" s="1160">
        <v>0.12</v>
      </c>
      <c r="BN32" s="80"/>
      <c r="BO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</row>
    <row r="33" spans="2:114" ht="15">
      <c r="B33" s="1202"/>
      <c r="C33" s="328"/>
      <c r="D33" s="328"/>
      <c r="E33" s="328"/>
      <c r="F33" s="328" t="s">
        <v>940</v>
      </c>
      <c r="G33" s="328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328"/>
      <c r="AK33" s="328"/>
      <c r="AL33" s="1021">
        <f>AP33</f>
        <v>1.0822060248879148E-2</v>
      </c>
      <c r="AN33" s="1077"/>
      <c r="AO33" s="1074"/>
      <c r="AP33" s="1081">
        <f>BS60*(1+AQ53)</f>
        <v>1.0822060248879148E-2</v>
      </c>
      <c r="AQ33" s="1078">
        <f>AP33*H31</f>
        <v>1.9038205684678089</v>
      </c>
      <c r="AR33" s="1074"/>
      <c r="AS33" s="1078"/>
      <c r="AT33" s="1102"/>
      <c r="AU33" s="1078"/>
      <c r="AW33" s="80"/>
      <c r="AX33" s="80"/>
      <c r="AY33" s="80"/>
      <c r="AZ33" s="80"/>
      <c r="BA33" s="80"/>
      <c r="BB33" s="80"/>
      <c r="BC33" s="80"/>
      <c r="BD33" s="80"/>
      <c r="BE33" s="80"/>
      <c r="BF33" s="1045" t="s">
        <v>62</v>
      </c>
      <c r="BG33" s="1167">
        <f t="shared" ref="BG33" si="2">IFERROR(($BG$35*BK33)/(BJ15/$BJ$17),0)</f>
        <v>1.7179866147117095E-2</v>
      </c>
      <c r="BH33" s="1272">
        <f>$BL$26*(1-BG33)^($BL$28-$BL$27)/100</f>
        <v>0.40611621312446222</v>
      </c>
      <c r="BI33" s="1273"/>
      <c r="BJ33" s="1274"/>
      <c r="BK33" s="1161">
        <v>0.24</v>
      </c>
      <c r="BN33" s="80"/>
      <c r="BO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</row>
    <row r="34" spans="2:114" ht="15.75" thickBot="1">
      <c r="B34" s="1202"/>
      <c r="C34" s="490"/>
      <c r="D34" s="489"/>
      <c r="E34" s="489"/>
      <c r="F34" s="489" t="s">
        <v>941</v>
      </c>
      <c r="G34" s="489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489"/>
      <c r="AK34" s="489"/>
      <c r="AL34" s="1017">
        <f>AR34</f>
        <v>9.3135314734617953E-4</v>
      </c>
      <c r="AN34" s="1077"/>
      <c r="AO34" s="1074"/>
      <c r="AP34" s="1081"/>
      <c r="AQ34" s="1078"/>
      <c r="AR34" s="1074">
        <f>BT60*(1+AS53)</f>
        <v>9.3135314734617953E-4</v>
      </c>
      <c r="AS34" s="1078">
        <f>AR34*H31</f>
        <v>0.16384396664290712</v>
      </c>
      <c r="AT34" s="1102"/>
      <c r="AU34" s="1078"/>
      <c r="BD34" s="80"/>
      <c r="BE34" s="80"/>
      <c r="BF34" s="1166" t="s">
        <v>64</v>
      </c>
      <c r="BG34" s="1167">
        <f>IFERROR(($BG$35*BK34)/(BJ16/$BJ$17),0)</f>
        <v>2.899075624512347E-2</v>
      </c>
      <c r="BH34" s="1272">
        <f>$BL$26*(1-BG34)^($BL$28-$BL$27)/100</f>
        <v>0.21657830151277452</v>
      </c>
      <c r="BI34" s="1273"/>
      <c r="BJ34" s="1274"/>
      <c r="BK34" s="1162">
        <v>0.55000000000000004</v>
      </c>
      <c r="BN34" s="80"/>
      <c r="BO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</row>
    <row r="35" spans="2:114" ht="15.75" thickBot="1">
      <c r="B35" s="1202"/>
      <c r="C35" s="909"/>
      <c r="D35" s="909"/>
      <c r="E35" s="909"/>
      <c r="F35" s="909" t="s">
        <v>942</v>
      </c>
      <c r="G35" s="909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09"/>
      <c r="AK35" s="909"/>
      <c r="AL35" s="1022">
        <f>AT35</f>
        <v>3.5039280048821054E-4</v>
      </c>
      <c r="AN35" s="1077"/>
      <c r="AO35" s="1074"/>
      <c r="AP35" s="1081"/>
      <c r="AQ35" s="1078"/>
      <c r="AR35" s="1074"/>
      <c r="AS35" s="1078"/>
      <c r="AT35" s="1102">
        <f>BU60*(1+$AU$53)</f>
        <v>3.5039280048821054E-4</v>
      </c>
      <c r="AU35" s="1078">
        <f>AT35*H31</f>
        <v>6.164122221381859E-2</v>
      </c>
      <c r="BD35" s="80"/>
      <c r="BE35" s="80"/>
      <c r="BF35" s="1158" t="s">
        <v>653</v>
      </c>
      <c r="BG35" s="1159">
        <v>3.5000000000000001E-3</v>
      </c>
      <c r="BH35" s="1277">
        <f>BL26*(1-BG35)^(BL28-BL27)/100</f>
        <v>0.833335259728061</v>
      </c>
      <c r="BI35" s="1278"/>
      <c r="BJ35" s="1279"/>
      <c r="BK35" s="1028">
        <f>SUM(BK26:BK34)</f>
        <v>1</v>
      </c>
      <c r="BN35" s="80"/>
      <c r="BO35" s="80"/>
      <c r="BW35" s="80"/>
      <c r="BX35" s="80"/>
      <c r="BY35" s="80"/>
      <c r="BZ35" s="80"/>
      <c r="CA35" s="80"/>
      <c r="CB35" s="80"/>
      <c r="CC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</row>
    <row r="36" spans="2:114">
      <c r="B36" s="1202"/>
      <c r="C36" s="905" t="str">
        <f>AY12</f>
        <v>R-BLD_Att_E</v>
      </c>
      <c r="D36" s="906" t="str">
        <f>AZ12</f>
        <v>Residential Building Attached _ E</v>
      </c>
      <c r="E36" s="906">
        <v>2018</v>
      </c>
      <c r="F36" s="906" t="str">
        <f>COMM!O19</f>
        <v>RSDSH_Att-E</v>
      </c>
      <c r="G36" s="906" t="s">
        <v>938</v>
      </c>
      <c r="H36" s="908">
        <f>BH14/1000</f>
        <v>85.755437936808192</v>
      </c>
      <c r="I36" s="908">
        <f>DwellingStocks!J40/1000</f>
        <v>0.73938097753222465</v>
      </c>
      <c r="J36" s="908">
        <f>DwellingStocks!M40/1000</f>
        <v>37.887420760937346</v>
      </c>
      <c r="K36" s="908">
        <f>DwellingStocks!P40/1000</f>
        <v>2.5034839270341691</v>
      </c>
      <c r="L36" s="908">
        <f>DwellingStocks!S40/1000</f>
        <v>1.3834963137835385</v>
      </c>
      <c r="M36" s="908">
        <f>DwellingStocks!V40/1000</f>
        <v>1.469553029092207</v>
      </c>
      <c r="N36" s="908">
        <f>DwellingStocks!Y40/1000</f>
        <v>0.49134508833500218</v>
      </c>
      <c r="O36" s="908">
        <f>DwellingStocks!AB40/1000</f>
        <v>1.7206017317721194</v>
      </c>
      <c r="P36" s="908">
        <f>DwellingStocks!AE40/1000</f>
        <v>1.1821820487347479</v>
      </c>
      <c r="Q36" s="908">
        <f>DwellingStocks!AH40/1000</f>
        <v>2.0561994976550313</v>
      </c>
      <c r="R36" s="908">
        <f>DwellingStocks!AK40/1000</f>
        <v>1.4042281527198239</v>
      </c>
      <c r="S36" s="908">
        <f>DwellingStocks!AN40/1000</f>
        <v>2.2064704974938141</v>
      </c>
      <c r="T36" s="908">
        <f>DwellingStocks!AQ40/1000</f>
        <v>2.6001012464215392</v>
      </c>
      <c r="U36" s="908">
        <f>DwellingStocks!AT40/1000</f>
        <v>1.9155135547373452</v>
      </c>
      <c r="V36" s="908">
        <f>DwellingStocks!AW40/1000</f>
        <v>8.5212818341814511</v>
      </c>
      <c r="W36" s="908">
        <f>DwellingStocks!AZ40/1000</f>
        <v>2.0508176062571075</v>
      </c>
      <c r="X36" s="908">
        <f>DwellingStocks!BC40/1000</f>
        <v>3.3992858614133197</v>
      </c>
      <c r="Y36" s="908">
        <f>DwellingStocks!BF40/1000</f>
        <v>3.0697264662053212</v>
      </c>
      <c r="Z36" s="908">
        <f>DwellingStocks!BI40/1000</f>
        <v>2.0935787490219497</v>
      </c>
      <c r="AA36" s="908">
        <f>DwellingStocks!BL40/1000</f>
        <v>2.8489019288239619</v>
      </c>
      <c r="AB36" s="908">
        <f>DwellingStocks!BO40/1000</f>
        <v>0.29463720220886297</v>
      </c>
      <c r="AC36" s="908">
        <f>DwellingStocks!BR40/1000</f>
        <v>1.2080898056947402</v>
      </c>
      <c r="AD36" s="908">
        <f>DwellingStocks!BU40/1000</f>
        <v>0.65175083671783041</v>
      </c>
      <c r="AE36" s="908">
        <f>DwellingStocks!BX40/1000</f>
        <v>1.1439165816409864</v>
      </c>
      <c r="AF36" s="908">
        <f>DwellingStocks!CA40/1000</f>
        <v>0.68484149697340346</v>
      </c>
      <c r="AG36" s="908">
        <f>DwellingStocks!CD40/1000</f>
        <v>1.564819160921191</v>
      </c>
      <c r="AH36" s="908">
        <f>DwellingStocks!CG40/1000</f>
        <v>0.66381358049918682</v>
      </c>
      <c r="AI36" s="908">
        <v>1</v>
      </c>
      <c r="AJ36" s="906">
        <v>100</v>
      </c>
      <c r="AK36" s="906">
        <v>1</v>
      </c>
      <c r="AL36" s="1014">
        <f>AN36</f>
        <v>4.3020493728583943E-2</v>
      </c>
      <c r="AN36" s="1095">
        <f>BR61*DwellingStocks!X24*(1+AO53)</f>
        <v>4.3020493728583943E-2</v>
      </c>
      <c r="AO36" s="1096">
        <f>AN36*H36</f>
        <v>3.6892412799524266</v>
      </c>
      <c r="AP36" s="1097"/>
      <c r="AQ36" s="1098"/>
      <c r="AR36" s="1096"/>
      <c r="AS36" s="1098"/>
      <c r="AT36" s="1103"/>
      <c r="AU36" s="1098"/>
      <c r="BD36" s="80"/>
      <c r="BE36" s="80"/>
      <c r="BV36" s="226"/>
      <c r="BW36" s="51"/>
      <c r="BX36" s="80"/>
      <c r="BY36" s="80"/>
      <c r="BZ36" s="80"/>
      <c r="CA36" s="80"/>
      <c r="CB36" s="80"/>
      <c r="CC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</row>
    <row r="37" spans="2:114" ht="13.5" thickBot="1">
      <c r="B37" s="1202"/>
      <c r="C37" s="490"/>
      <c r="D37" s="489"/>
      <c r="E37" s="489"/>
      <c r="F37" s="489" t="s">
        <v>939</v>
      </c>
      <c r="G37" s="489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489"/>
      <c r="AK37" s="489"/>
      <c r="AL37" s="1017">
        <v>0</v>
      </c>
      <c r="AN37" s="1077"/>
      <c r="AO37" s="1074"/>
      <c r="AP37" s="1081"/>
      <c r="AQ37" s="1078"/>
      <c r="AR37" s="1074"/>
      <c r="AS37" s="1078"/>
      <c r="AT37" s="1102"/>
      <c r="AU37" s="1078"/>
      <c r="BC37" s="80"/>
      <c r="BD37" s="80"/>
      <c r="BE37" s="80"/>
      <c r="BF37" s="473" t="s">
        <v>1077</v>
      </c>
      <c r="BV37" s="226"/>
      <c r="BW37" s="51"/>
      <c r="BX37" s="80"/>
      <c r="BY37" s="80"/>
      <c r="BZ37" s="80"/>
      <c r="CA37" s="80"/>
      <c r="CB37" s="80"/>
      <c r="CC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</row>
    <row r="38" spans="2:114" ht="16.5" thickBot="1">
      <c r="B38" s="1202"/>
      <c r="C38" s="328"/>
      <c r="D38" s="328"/>
      <c r="E38" s="328"/>
      <c r="F38" s="328" t="s">
        <v>940</v>
      </c>
      <c r="G38" s="328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328"/>
      <c r="AK38" s="328"/>
      <c r="AL38" s="1021">
        <f>AP38</f>
        <v>1.1286574974103356E-2</v>
      </c>
      <c r="AN38" s="1077"/>
      <c r="AO38" s="1074"/>
      <c r="AP38" s="1081">
        <f>BS61*(1+AQ53)</f>
        <v>1.1286574974103356E-2</v>
      </c>
      <c r="AQ38" s="1078">
        <f>AP38*H36</f>
        <v>0.96788517971085286</v>
      </c>
      <c r="AR38" s="1074"/>
      <c r="AS38" s="1078"/>
      <c r="AT38" s="1102"/>
      <c r="AU38" s="1078"/>
      <c r="BC38" s="80"/>
      <c r="BD38" s="80"/>
      <c r="BE38" s="80"/>
      <c r="BF38" s="1265" t="s">
        <v>293</v>
      </c>
      <c r="BG38" s="1266"/>
      <c r="BH38" s="1266"/>
      <c r="BI38" s="1266"/>
      <c r="BJ38" s="1266"/>
      <c r="BK38" s="1266"/>
      <c r="BL38" s="1266"/>
      <c r="BM38" s="1266"/>
      <c r="BN38" s="1266"/>
      <c r="BO38" s="1266"/>
      <c r="BP38" s="1266"/>
      <c r="BQ38" s="1266"/>
      <c r="BR38" s="1263" t="s">
        <v>888</v>
      </c>
      <c r="BS38" s="1264"/>
      <c r="BT38" s="1264"/>
      <c r="BU38" s="1264"/>
      <c r="BV38" s="226"/>
      <c r="BW38" s="51"/>
      <c r="BX38" s="80"/>
      <c r="BY38" s="80"/>
      <c r="BZ38" s="80"/>
      <c r="CA38" s="80"/>
      <c r="CB38" s="80"/>
      <c r="CC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</row>
    <row r="39" spans="2:114" ht="16.5" thickBot="1">
      <c r="B39" s="1202"/>
      <c r="C39" s="490"/>
      <c r="D39" s="489"/>
      <c r="E39" s="489"/>
      <c r="F39" s="489" t="s">
        <v>941</v>
      </c>
      <c r="G39" s="489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489"/>
      <c r="AK39" s="489"/>
      <c r="AL39" s="1017">
        <f>AR39</f>
        <v>9.0282898693787772E-4</v>
      </c>
      <c r="AN39" s="1077"/>
      <c r="AO39" s="1074"/>
      <c r="AP39" s="1081"/>
      <c r="AQ39" s="1078"/>
      <c r="AR39" s="1074">
        <f>BT61*(1+AS53)</f>
        <v>9.0282898693787772E-4</v>
      </c>
      <c r="AS39" s="1078">
        <f>AR39*H36</f>
        <v>7.7422495156902582E-2</v>
      </c>
      <c r="AT39" s="1102"/>
      <c r="AU39" s="1078"/>
      <c r="AW39" s="1265" t="s">
        <v>600</v>
      </c>
      <c r="AX39" s="1266"/>
      <c r="AY39" s="1266"/>
      <c r="AZ39" s="1266"/>
      <c r="BA39" s="1271"/>
      <c r="BB39" s="80"/>
      <c r="BE39" s="80"/>
      <c r="BF39" s="1152" t="s">
        <v>285</v>
      </c>
      <c r="BG39" s="1152" t="s">
        <v>394</v>
      </c>
      <c r="BH39" s="1153" t="s">
        <v>395</v>
      </c>
      <c r="BI39" s="1151" t="s">
        <v>883</v>
      </c>
      <c r="BJ39" s="1151" t="s">
        <v>884</v>
      </c>
      <c r="BK39" s="1152" t="s">
        <v>885</v>
      </c>
      <c r="BL39" s="1152" t="s">
        <v>413</v>
      </c>
      <c r="BM39" s="1153" t="s">
        <v>882</v>
      </c>
      <c r="BN39" s="1151" t="s">
        <v>886</v>
      </c>
      <c r="BO39" s="1152" t="s">
        <v>887</v>
      </c>
      <c r="BP39" s="1154" t="s">
        <v>216</v>
      </c>
      <c r="BQ39" s="1154" t="s">
        <v>216</v>
      </c>
      <c r="BR39" s="1157" t="s">
        <v>217</v>
      </c>
      <c r="BS39" s="1157" t="s">
        <v>881</v>
      </c>
      <c r="BT39" s="1157" t="s">
        <v>219</v>
      </c>
      <c r="BU39" s="1157" t="s">
        <v>882</v>
      </c>
      <c r="BV39" s="226"/>
      <c r="BW39" s="51"/>
      <c r="BX39" s="80"/>
      <c r="BY39" s="80"/>
      <c r="BZ39" s="80"/>
      <c r="CA39" s="80"/>
      <c r="CB39" s="80"/>
      <c r="CC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</row>
    <row r="40" spans="2:114" ht="13.5" thickBot="1">
      <c r="B40" s="1202"/>
      <c r="C40" s="909"/>
      <c r="D40" s="909"/>
      <c r="E40" s="909"/>
      <c r="F40" s="909" t="s">
        <v>942</v>
      </c>
      <c r="G40" s="909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09"/>
      <c r="AK40" s="909"/>
      <c r="AL40" s="1022">
        <f>AT40</f>
        <v>3.1890389320583703E-4</v>
      </c>
      <c r="AN40" s="1099"/>
      <c r="AO40" s="1079"/>
      <c r="AP40" s="1100"/>
      <c r="AQ40" s="1080"/>
      <c r="AR40" s="1079"/>
      <c r="AS40" s="1080"/>
      <c r="AT40" s="1101">
        <f>BU61*(1+$AU$53)</f>
        <v>3.1890389320583703E-4</v>
      </c>
      <c r="AU40" s="1080">
        <f>AT40*H36</f>
        <v>2.7347743021619665E-2</v>
      </c>
      <c r="AW40" s="884"/>
      <c r="AX40" s="885" t="s">
        <v>825</v>
      </c>
      <c r="AY40" s="885" t="s">
        <v>824</v>
      </c>
      <c r="AZ40" s="886" t="s">
        <v>826</v>
      </c>
      <c r="BA40" s="884" t="s">
        <v>827</v>
      </c>
      <c r="BB40" s="80"/>
      <c r="BC40" s="80"/>
      <c r="BD40" s="80"/>
      <c r="BE40" s="80"/>
      <c r="BF40" s="1147" t="s">
        <v>48</v>
      </c>
      <c r="BG40" s="1148">
        <v>6419</v>
      </c>
      <c r="BH40" s="1148">
        <v>535137</v>
      </c>
      <c r="BI40" s="1148">
        <v>52</v>
      </c>
      <c r="BJ40" s="1149">
        <v>-505747</v>
      </c>
      <c r="BK40" s="1147">
        <v>11249</v>
      </c>
      <c r="BL40" s="1148">
        <v>2509515</v>
      </c>
      <c r="BM40" s="1148">
        <v>1893006</v>
      </c>
      <c r="BN40" s="1148">
        <v>5793778</v>
      </c>
      <c r="BO40" s="1148">
        <v>31852</v>
      </c>
      <c r="BP40" s="1148">
        <v>9733652</v>
      </c>
      <c r="BQ40" s="1148">
        <f>DwellingStocks!O19</f>
        <v>11735.038424732089</v>
      </c>
      <c r="BR40" s="1150">
        <f>((BQ40/BG40)*$BG$18*(BJ40+BK40)*0.0000000036)/(BQ40/1000)</f>
        <v>-2.0601927769047272E-4</v>
      </c>
      <c r="BS40" s="1150">
        <f>((BQ40/BG40)*(BN40+BO40)*0.0000000036)/(BQ40/1000)</f>
        <v>3.2672173235706501E-3</v>
      </c>
      <c r="BT40" s="1150">
        <f>((BQ40/BG40)*(BL40)*0.0000000036)/(BQ40/1000)</f>
        <v>1.4074238978033964E-3</v>
      </c>
      <c r="BU40" s="1150">
        <f>((BQ40/BG40)*(BM40)*0.0000000036)/(BQ40/1000)</f>
        <v>1.0616640598224022E-3</v>
      </c>
      <c r="BV40" s="226"/>
      <c r="BW40" s="51"/>
      <c r="BX40" s="80"/>
      <c r="BY40" s="80"/>
      <c r="BZ40" s="80"/>
      <c r="CA40" s="80"/>
      <c r="CB40" s="80"/>
      <c r="CC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</row>
    <row r="41" spans="2:114">
      <c r="B41" s="1202"/>
      <c r="C41" s="905" t="str">
        <f>AY13</f>
        <v>R-BLD_Att_F</v>
      </c>
      <c r="D41" s="906" t="str">
        <f>AZ13</f>
        <v>Residential Building Attached _ F</v>
      </c>
      <c r="E41" s="906">
        <v>2018</v>
      </c>
      <c r="F41" s="906" t="str">
        <f>COMM!O22</f>
        <v>RSDSH_Att-F</v>
      </c>
      <c r="G41" s="906" t="s">
        <v>938</v>
      </c>
      <c r="H41" s="908">
        <f>BH15/1000</f>
        <v>38.588997221862925</v>
      </c>
      <c r="I41" s="908">
        <f>DwellingStocks!J41/1000</f>
        <v>0.37257869570959756</v>
      </c>
      <c r="J41" s="908">
        <f>DwellingStocks!M41/1000</f>
        <v>17.538434579705495</v>
      </c>
      <c r="K41" s="908">
        <f>DwellingStocks!P41/1000</f>
        <v>0.88444249685002763</v>
      </c>
      <c r="L41" s="908">
        <f>DwellingStocks!S41/1000</f>
        <v>0.6304540164076885</v>
      </c>
      <c r="M41" s="908">
        <f>DwellingStocks!V41/1000</f>
        <v>0.66228333832413722</v>
      </c>
      <c r="N41" s="908">
        <f>DwellingStocks!Y41/1000</f>
        <v>0.23239294718547399</v>
      </c>
      <c r="O41" s="908">
        <f>DwellingStocks!AB41/1000</f>
        <v>0.77516270290958822</v>
      </c>
      <c r="P41" s="908">
        <f>DwellingStocks!AE41/1000</f>
        <v>0.58023108428713355</v>
      </c>
      <c r="Q41" s="908">
        <f>DwellingStocks!AH41/1000</f>
        <v>0.99310463318205289</v>
      </c>
      <c r="R41" s="908">
        <f>DwellingStocks!AK41/1000</f>
        <v>0.63433573730536608</v>
      </c>
      <c r="S41" s="908">
        <f>DwellingStocks!AN41/1000</f>
        <v>0.90022665093827547</v>
      </c>
      <c r="T41" s="908">
        <f>DwellingStocks!AQ41/1000</f>
        <v>1.046255880034165</v>
      </c>
      <c r="U41" s="908">
        <f>DwellingStocks!AT41/1000</f>
        <v>0.71403824423400608</v>
      </c>
      <c r="V41" s="908">
        <f>DwellingStocks!AW41/1000</f>
        <v>3.7526414231299081</v>
      </c>
      <c r="W41" s="908">
        <f>DwellingStocks!AZ41/1000</f>
        <v>0.78619753701981232</v>
      </c>
      <c r="X41" s="908">
        <f>DwellingStocks!BC41/1000</f>
        <v>1.4021232300703876</v>
      </c>
      <c r="Y41" s="908">
        <f>DwellingStocks!BF41/1000</f>
        <v>1.4817041436659</v>
      </c>
      <c r="Z41" s="908">
        <f>DwellingStocks!BI41/1000</f>
        <v>0.92478182917101326</v>
      </c>
      <c r="AA41" s="908">
        <f>DwellingStocks!BL41/1000</f>
        <v>1.2880757475645694</v>
      </c>
      <c r="AB41" s="908">
        <f>DwellingStocks!BO41/1000</f>
        <v>0.21902234500481851</v>
      </c>
      <c r="AC41" s="908">
        <f>DwellingStocks!BR41/1000</f>
        <v>0.63900308699600672</v>
      </c>
      <c r="AD41" s="908">
        <f>DwellingStocks!BU41/1000</f>
        <v>0.34476674695943205</v>
      </c>
      <c r="AE41" s="908">
        <f>DwellingStocks!BX41/1000</f>
        <v>0.47800981992356589</v>
      </c>
      <c r="AF41" s="908">
        <f>DwellingStocks!CA41/1000</f>
        <v>0.30747985578397702</v>
      </c>
      <c r="AG41" s="908">
        <f>DwellingStocks!CD41/1000</f>
        <v>0.70642316442867004</v>
      </c>
      <c r="AH41" s="908">
        <f>DwellingStocks!CG41/1000</f>
        <v>0.29482728507184597</v>
      </c>
      <c r="AI41" s="908">
        <v>1</v>
      </c>
      <c r="AJ41" s="906">
        <v>100</v>
      </c>
      <c r="AK41" s="906">
        <v>1</v>
      </c>
      <c r="AL41" s="1014">
        <f>AN41</f>
        <v>5.49526682521988E-2</v>
      </c>
      <c r="AN41" s="1077">
        <f>BR62*DwellingStocks!X25*(1+AO53)</f>
        <v>5.49526682521988E-2</v>
      </c>
      <c r="AO41" s="1074">
        <f>AN41*H41</f>
        <v>2.1205683625180543</v>
      </c>
      <c r="AP41" s="1081"/>
      <c r="AQ41" s="1078"/>
      <c r="AR41" s="1074"/>
      <c r="AS41" s="1078"/>
      <c r="AT41" s="1102"/>
      <c r="AU41" s="1078"/>
      <c r="AW41" s="887" t="s">
        <v>42</v>
      </c>
      <c r="AX41" s="896">
        <v>37772</v>
      </c>
      <c r="AY41" s="888">
        <f>AX41/SUM(AX41+AZ41)</f>
        <v>0.58696834548025667</v>
      </c>
      <c r="AZ41" s="896">
        <v>26579</v>
      </c>
      <c r="BA41" s="889">
        <f>AZ41/SUM(AX41+AZ41)</f>
        <v>0.41303165451974327</v>
      </c>
      <c r="BB41" s="80"/>
      <c r="BC41" s="80"/>
      <c r="BD41" s="80"/>
      <c r="BE41" s="80"/>
      <c r="BF41" s="1143" t="s">
        <v>50</v>
      </c>
      <c r="BG41" s="1144">
        <v>3209</v>
      </c>
      <c r="BH41" s="1144">
        <v>264012</v>
      </c>
      <c r="BI41" s="1144">
        <v>91</v>
      </c>
      <c r="BJ41" s="1145">
        <v>5149071</v>
      </c>
      <c r="BK41" s="1143">
        <v>157450</v>
      </c>
      <c r="BL41" s="1144">
        <v>1694468</v>
      </c>
      <c r="BM41" s="1144">
        <v>638663</v>
      </c>
      <c r="BN41" s="1144">
        <v>6968385</v>
      </c>
      <c r="BO41" s="1144">
        <v>83330</v>
      </c>
      <c r="BP41" s="1144">
        <v>14691367</v>
      </c>
      <c r="BQ41" s="1148">
        <f>DwellingStocks!O20</f>
        <v>5197.6132443555907</v>
      </c>
      <c r="BR41" s="1146">
        <f>((BQ41/BG41)*$BG$18*(BJ41+BK41)*0.0000000036)/(BQ41/1000)</f>
        <v>4.4223271439528845E-3</v>
      </c>
      <c r="BS41" s="1146">
        <f t="shared" ref="BS41:BS42" si="3">((BQ41/BG41)*(BN41+BO41)*0.0000000036)/(BQ41/1000)</f>
        <v>7.9109298846992849E-3</v>
      </c>
      <c r="BT41" s="1146">
        <f t="shared" ref="BT41:BT42" si="4">((BQ41/BG41)*(BL41)*0.0000000036)/(BQ41/1000)</f>
        <v>1.9009301339981304E-3</v>
      </c>
      <c r="BU41" s="1146">
        <f t="shared" ref="BU41:BU42" si="5">((BQ41/BG41)*(BM41)*0.0000000036)/(BQ41/1000)</f>
        <v>7.1648077282642582E-4</v>
      </c>
      <c r="BV41" s="226"/>
      <c r="BW41" s="51"/>
      <c r="BX41" s="80"/>
      <c r="BY41" s="80"/>
      <c r="BZ41" s="80"/>
      <c r="CA41" s="80"/>
      <c r="CB41" s="80"/>
      <c r="CC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</row>
    <row r="42" spans="2:114">
      <c r="B42" s="1202"/>
      <c r="C42" s="490"/>
      <c r="D42" s="489"/>
      <c r="E42" s="489"/>
      <c r="F42" s="489" t="s">
        <v>939</v>
      </c>
      <c r="G42" s="489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489"/>
      <c r="AK42" s="489"/>
      <c r="AL42" s="1017">
        <v>0</v>
      </c>
      <c r="AN42" s="1077"/>
      <c r="AO42" s="1074"/>
      <c r="AP42" s="1081"/>
      <c r="AQ42" s="1078"/>
      <c r="AR42" s="1074"/>
      <c r="AS42" s="1078"/>
      <c r="AT42" s="1102"/>
      <c r="AU42" s="1078"/>
      <c r="AW42" s="890" t="s">
        <v>44</v>
      </c>
      <c r="AX42" s="897">
        <v>12745</v>
      </c>
      <c r="AY42" s="891">
        <f t="shared" ref="AY42:AY43" si="6">AX42/SUM(AX42+AZ42)</f>
        <v>0.36680481206469812</v>
      </c>
      <c r="AZ42" s="897">
        <v>22001</v>
      </c>
      <c r="BA42" s="892">
        <f t="shared" ref="BA42:BA43" si="7">AZ42/SUM(AX42+AZ42)</f>
        <v>0.63319518793530194</v>
      </c>
      <c r="BB42" s="80"/>
      <c r="BC42" s="80"/>
      <c r="BD42" s="80"/>
      <c r="BE42" s="80"/>
      <c r="BF42" s="1147" t="s">
        <v>52</v>
      </c>
      <c r="BG42" s="1148">
        <v>8665</v>
      </c>
      <c r="BH42" s="1148">
        <v>712223</v>
      </c>
      <c r="BI42" s="1148">
        <v>114</v>
      </c>
      <c r="BJ42" s="1149">
        <v>24443713</v>
      </c>
      <c r="BK42" s="1147">
        <v>1103093</v>
      </c>
      <c r="BL42" s="1148">
        <v>5068146</v>
      </c>
      <c r="BM42" s="1148">
        <v>1589124</v>
      </c>
      <c r="BN42" s="1148">
        <v>23824149</v>
      </c>
      <c r="BO42" s="1148">
        <v>271620</v>
      </c>
      <c r="BP42" s="1148">
        <v>56299844</v>
      </c>
      <c r="BQ42" s="1148">
        <f>DwellingStocks!O21</f>
        <v>13979.419134898935</v>
      </c>
      <c r="BR42" s="1150">
        <f t="shared" ref="BR42:BR48" si="8">((BQ42/BG42)*$BG$18*(BJ42+BK42)*0.0000000036)/(BQ42/1000)</f>
        <v>7.8845831836233862E-3</v>
      </c>
      <c r="BS42" s="1150">
        <f t="shared" si="3"/>
        <v>1.0010936918638198E-2</v>
      </c>
      <c r="BT42" s="1150">
        <f t="shared" si="4"/>
        <v>2.1056348066935946E-3</v>
      </c>
      <c r="BU42" s="1150">
        <f t="shared" si="5"/>
        <v>6.6022462781304097E-4</v>
      </c>
      <c r="BV42" s="226"/>
      <c r="BW42" s="51"/>
      <c r="BX42" s="80"/>
      <c r="BY42" s="80"/>
      <c r="BZ42" s="80"/>
      <c r="CA42" s="80"/>
      <c r="CB42" s="80"/>
      <c r="CC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</row>
    <row r="43" spans="2:114">
      <c r="B43" s="1202"/>
      <c r="C43" s="328"/>
      <c r="D43" s="328"/>
      <c r="E43" s="328"/>
      <c r="F43" s="328" t="s">
        <v>940</v>
      </c>
      <c r="G43" s="328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328"/>
      <c r="AK43" s="328"/>
      <c r="AL43" s="1021">
        <f>AP43</f>
        <v>1.1717323468249699E-2</v>
      </c>
      <c r="AN43" s="1077"/>
      <c r="AO43" s="1074"/>
      <c r="AP43" s="1081">
        <f>BS62*(1+AQ53)</f>
        <v>1.1717323468249699E-2</v>
      </c>
      <c r="AQ43" s="1078">
        <f>AP43*H41</f>
        <v>0.45215976276395692</v>
      </c>
      <c r="AR43" s="1074"/>
      <c r="AS43" s="1078"/>
      <c r="AT43" s="1102"/>
      <c r="AU43" s="1078"/>
      <c r="AW43" s="893" t="s">
        <v>46</v>
      </c>
      <c r="AX43" s="898">
        <v>6299</v>
      </c>
      <c r="AY43" s="894">
        <f t="shared" si="6"/>
        <v>0.35199776473875383</v>
      </c>
      <c r="AZ43" s="898">
        <v>11596</v>
      </c>
      <c r="BA43" s="895">
        <f t="shared" si="7"/>
        <v>0.64800223526124612</v>
      </c>
      <c r="BB43" s="80"/>
      <c r="BC43" s="80"/>
      <c r="BD43" s="80"/>
      <c r="BE43" s="80"/>
      <c r="BF43" s="1143" t="s">
        <v>54</v>
      </c>
      <c r="BG43" s="1144">
        <v>13570</v>
      </c>
      <c r="BH43" s="1144">
        <v>1073828</v>
      </c>
      <c r="BI43" s="1144">
        <v>138</v>
      </c>
      <c r="BJ43" s="1145">
        <v>50858810</v>
      </c>
      <c r="BK43" s="1143">
        <v>3129098</v>
      </c>
      <c r="BL43" s="1144">
        <v>7944420</v>
      </c>
      <c r="BM43" s="1144">
        <v>2305495</v>
      </c>
      <c r="BN43" s="1144">
        <v>41205233</v>
      </c>
      <c r="BO43" s="1144">
        <v>896605</v>
      </c>
      <c r="BP43" s="1144">
        <v>106339660</v>
      </c>
      <c r="BQ43" s="1148">
        <f>DwellingStocks!O22</f>
        <v>21709.86153487581</v>
      </c>
      <c r="BR43" s="1146">
        <f t="shared" si="8"/>
        <v>1.0639650151914029E-2</v>
      </c>
      <c r="BS43" s="1146">
        <f t="shared" ref="BS43:BS48" si="9">((BQ43/BG43)*(BN43+BO43)*0.0000000036)/(BQ43/1000)</f>
        <v>1.1169242210759028E-2</v>
      </c>
      <c r="BT43" s="1146">
        <f t="shared" ref="BT43:BT48" si="10">((BQ43/BG43)*(BL43)*0.0000000036)/(BQ43/1000)</f>
        <v>2.1075837877671333E-3</v>
      </c>
      <c r="BU43" s="1146">
        <f t="shared" ref="BU43:BU48" si="11">((BQ43/BG43)*(BM43)*0.0000000036)/(BQ43/1000)</f>
        <v>6.1162726602800302E-4</v>
      </c>
      <c r="BV43" s="226"/>
      <c r="BW43" s="51"/>
      <c r="BX43" s="80"/>
      <c r="BY43" s="80"/>
      <c r="BZ43" s="80"/>
      <c r="CA43" s="80"/>
      <c r="CB43" s="80"/>
      <c r="CC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</row>
    <row r="44" spans="2:114">
      <c r="B44" s="1202"/>
      <c r="C44" s="490"/>
      <c r="D44" s="489"/>
      <c r="E44" s="489"/>
      <c r="F44" s="489" t="s">
        <v>941</v>
      </c>
      <c r="G44" s="489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489"/>
      <c r="AK44" s="489"/>
      <c r="AL44" s="1017">
        <f>AR44</f>
        <v>9.0329109755474897E-4</v>
      </c>
      <c r="AN44" s="1077"/>
      <c r="AO44" s="1074"/>
      <c r="AP44" s="1081"/>
      <c r="AQ44" s="1078"/>
      <c r="AR44" s="1074">
        <f>BT62*(1+AS53)</f>
        <v>9.0329109755474897E-4</v>
      </c>
      <c r="AS44" s="1078">
        <f>AR44*H41</f>
        <v>3.4857097654073722E-2</v>
      </c>
      <c r="AT44" s="1102"/>
      <c r="AU44" s="1078"/>
      <c r="AW44" s="80"/>
      <c r="AX44" s="80"/>
      <c r="AY44" s="80"/>
      <c r="AZ44" s="80"/>
      <c r="BA44" s="80"/>
      <c r="BB44" s="80"/>
      <c r="BC44" s="80"/>
      <c r="BD44" s="80"/>
      <c r="BE44" s="80"/>
      <c r="BF44" s="1147" t="s">
        <v>56</v>
      </c>
      <c r="BG44" s="1148">
        <v>45566</v>
      </c>
      <c r="BH44" s="1148">
        <v>3308771</v>
      </c>
      <c r="BI44" s="1148">
        <v>187</v>
      </c>
      <c r="BJ44" s="1149">
        <v>191371995</v>
      </c>
      <c r="BK44" s="1147">
        <v>20181333</v>
      </c>
      <c r="BL44" s="1148">
        <v>24809831</v>
      </c>
      <c r="BM44" s="1148">
        <v>5185837</v>
      </c>
      <c r="BN44" s="1148">
        <v>135290780</v>
      </c>
      <c r="BO44" s="1148">
        <v>5131131</v>
      </c>
      <c r="BP44" s="1148">
        <v>381970906</v>
      </c>
      <c r="BQ44" s="1148">
        <f>DwellingStocks!O23</f>
        <v>71167.091754613168</v>
      </c>
      <c r="BR44" s="1150">
        <f t="shared" si="8"/>
        <v>1.2416227238810909E-2</v>
      </c>
      <c r="BS44" s="1150">
        <f t="shared" si="9"/>
        <v>1.1094212342536103E-2</v>
      </c>
      <c r="BT44" s="1150">
        <f t="shared" si="10"/>
        <v>1.9601323706272223E-3</v>
      </c>
      <c r="BU44" s="1150">
        <f t="shared" si="11"/>
        <v>4.097136724750911E-4</v>
      </c>
      <c r="BW44" s="80"/>
      <c r="BX44" s="80"/>
      <c r="BY44" s="80"/>
      <c r="BZ44" s="80"/>
      <c r="CA44" s="80"/>
      <c r="CB44" s="80"/>
      <c r="CC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</row>
    <row r="45" spans="2:114" ht="13.5" thickBot="1">
      <c r="B45" s="1202"/>
      <c r="C45" s="909"/>
      <c r="D45" s="909"/>
      <c r="E45" s="909"/>
      <c r="F45" s="909" t="s">
        <v>942</v>
      </c>
      <c r="G45" s="909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09"/>
      <c r="AK45" s="909"/>
      <c r="AL45" s="1022">
        <f>AT45</f>
        <v>3.1478346183740487E-4</v>
      </c>
      <c r="AN45" s="1077"/>
      <c r="AO45" s="1074"/>
      <c r="AP45" s="1081"/>
      <c r="AQ45" s="1078"/>
      <c r="AR45" s="1074"/>
      <c r="AS45" s="1078"/>
      <c r="AT45" s="1102">
        <f>BU62*(1+$AU$53)</f>
        <v>3.1478346183740487E-4</v>
      </c>
      <c r="AU45" s="1078">
        <f>AT45*H41</f>
        <v>1.2147178134332011E-2</v>
      </c>
      <c r="AW45" s="80"/>
      <c r="AX45" s="80"/>
      <c r="AY45" s="80"/>
      <c r="AZ45" s="80"/>
      <c r="BA45" s="80"/>
      <c r="BB45" s="80"/>
      <c r="BC45" s="80"/>
      <c r="BD45" s="80"/>
      <c r="BE45" s="80"/>
      <c r="BF45" s="1143" t="s">
        <v>58</v>
      </c>
      <c r="BG45" s="1144">
        <v>30979</v>
      </c>
      <c r="BH45" s="1144">
        <v>2017902</v>
      </c>
      <c r="BI45" s="1144">
        <v>261</v>
      </c>
      <c r="BJ45" s="1145">
        <v>133224360</v>
      </c>
      <c r="BK45" s="1143">
        <v>19396995</v>
      </c>
      <c r="BL45" s="1144">
        <v>15123200</v>
      </c>
      <c r="BM45" s="1144">
        <v>1533922</v>
      </c>
      <c r="BN45" s="1144">
        <v>78676858</v>
      </c>
      <c r="BO45" s="1144">
        <v>2505229</v>
      </c>
      <c r="BP45" s="1144">
        <v>250460563</v>
      </c>
      <c r="BQ45" s="1148">
        <f>DwellingStocks!O24</f>
        <v>47490.854787158918</v>
      </c>
      <c r="BR45" s="1146">
        <f>((BQ45/BG45)*$BG$18*(BJ45+BK45)*0.0000000036)/(BQ45/1000)</f>
        <v>1.3175242175504588E-2</v>
      </c>
      <c r="BS45" s="1146">
        <f t="shared" si="9"/>
        <v>9.433987966041512E-3</v>
      </c>
      <c r="BT45" s="1146">
        <f t="shared" si="10"/>
        <v>1.7574330998418282E-3</v>
      </c>
      <c r="BU45" s="1146">
        <f t="shared" si="11"/>
        <v>1.7825362987830467E-4</v>
      </c>
      <c r="BW45" s="80"/>
      <c r="BX45" s="80"/>
      <c r="BY45" s="80"/>
      <c r="BZ45" s="80"/>
      <c r="CA45" s="80"/>
      <c r="CB45" s="80"/>
      <c r="CC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</row>
    <row r="46" spans="2:114">
      <c r="B46" s="1202"/>
      <c r="C46" s="905" t="str">
        <f>AY14</f>
        <v>R-BLD_Att_G</v>
      </c>
      <c r="D46" s="906" t="str">
        <f>AZ14</f>
        <v>Residential Building Attached _ G</v>
      </c>
      <c r="E46" s="906">
        <v>2018</v>
      </c>
      <c r="F46" s="906" t="str">
        <f>COMM!O25</f>
        <v>RSDSH_Att-G</v>
      </c>
      <c r="G46" s="906" t="s">
        <v>938</v>
      </c>
      <c r="H46" s="908">
        <f>BH16/1000</f>
        <v>38.905107366988204</v>
      </c>
      <c r="I46" s="908">
        <f>DwellingStocks!J42/1000</f>
        <v>0.34947304016171554</v>
      </c>
      <c r="J46" s="908">
        <f>DwellingStocks!M42/1000</f>
        <v>14.876029523440319</v>
      </c>
      <c r="K46" s="908">
        <f>DwellingStocks!P42/1000</f>
        <v>0.9538821970159389</v>
      </c>
      <c r="L46" s="908">
        <f>DwellingStocks!S42/1000</f>
        <v>0.66547923954144894</v>
      </c>
      <c r="M46" s="908">
        <f>DwellingStocks!V42/1000</f>
        <v>0.73925140196721262</v>
      </c>
      <c r="N46" s="908">
        <f>DwellingStocks!Y42/1000</f>
        <v>0.21247355171243337</v>
      </c>
      <c r="O46" s="908">
        <f>DwellingStocks!AB42/1000</f>
        <v>1.1400405442373234</v>
      </c>
      <c r="P46" s="908">
        <f>DwellingStocks!AE42/1000</f>
        <v>0.54765126404641207</v>
      </c>
      <c r="Q46" s="908">
        <f>DwellingStocks!AH42/1000</f>
        <v>0.95905533147295396</v>
      </c>
      <c r="R46" s="908">
        <f>DwellingStocks!AK42/1000</f>
        <v>0.88807003222751246</v>
      </c>
      <c r="S46" s="908">
        <f>DwellingStocks!AN42/1000</f>
        <v>1.0682911458454212</v>
      </c>
      <c r="T46" s="908">
        <f>DwellingStocks!AQ42/1000</f>
        <v>1.1446660865720322</v>
      </c>
      <c r="U46" s="908">
        <f>DwellingStocks!AT42/1000</f>
        <v>0.70262667412067725</v>
      </c>
      <c r="V46" s="908">
        <f>DwellingStocks!AW42/1000</f>
        <v>4.4918808301123159</v>
      </c>
      <c r="W46" s="908">
        <f>DwellingStocks!AZ42/1000</f>
        <v>0.88066313255320061</v>
      </c>
      <c r="X46" s="908">
        <f>DwellingStocks!BC42/1000</f>
        <v>1.4974610346941655</v>
      </c>
      <c r="Y46" s="908">
        <f>DwellingStocks!BF42/1000</f>
        <v>1.844536023948552</v>
      </c>
      <c r="Z46" s="908">
        <f>DwellingStocks!BI42/1000</f>
        <v>1.0467893745109749</v>
      </c>
      <c r="AA46" s="908">
        <f>DwellingStocks!BL42/1000</f>
        <v>1.2423545765983852</v>
      </c>
      <c r="AB46" s="908">
        <f>DwellingStocks!BO42/1000</f>
        <v>0.20728900509384607</v>
      </c>
      <c r="AC46" s="908">
        <f>DwellingStocks!BR42/1000</f>
        <v>0.90891278786454877</v>
      </c>
      <c r="AD46" s="908">
        <f>DwellingStocks!BU42/1000</f>
        <v>0.33374680527579725</v>
      </c>
      <c r="AE46" s="908">
        <f>DwellingStocks!BX42/1000</f>
        <v>0.58022575625942274</v>
      </c>
      <c r="AF46" s="908">
        <f>DwellingStocks!CA42/1000</f>
        <v>0.41773778386813043</v>
      </c>
      <c r="AG46" s="908">
        <f>DwellingStocks!CD42/1000</f>
        <v>0.89179661892413664</v>
      </c>
      <c r="AH46" s="908">
        <f>DwellingStocks!CG42/1000</f>
        <v>0.31472360492332024</v>
      </c>
      <c r="AI46" s="908">
        <v>1</v>
      </c>
      <c r="AJ46" s="906">
        <v>100</v>
      </c>
      <c r="AK46" s="906">
        <v>1</v>
      </c>
      <c r="AL46" s="1014">
        <f>AN46</f>
        <v>5.6805655070075907E-2</v>
      </c>
      <c r="AN46" s="1095">
        <f>BR63*DwellingStocks!X26*(1+AO53)</f>
        <v>5.6805655070075907E-2</v>
      </c>
      <c r="AO46" s="1096">
        <f>AN46*H46</f>
        <v>2.2100301095534012</v>
      </c>
      <c r="AP46" s="1097"/>
      <c r="AQ46" s="1098"/>
      <c r="AR46" s="1096"/>
      <c r="AS46" s="1098"/>
      <c r="AT46" s="1103"/>
      <c r="AU46" s="1098"/>
      <c r="AW46" s="80"/>
      <c r="AX46" s="80"/>
      <c r="AY46" s="80"/>
      <c r="AZ46" s="80"/>
      <c r="BA46" s="80"/>
      <c r="BB46" s="80"/>
      <c r="BC46" s="80"/>
      <c r="BD46" s="80"/>
      <c r="BE46" s="80"/>
      <c r="BF46" s="1147" t="s">
        <v>60</v>
      </c>
      <c r="BG46" s="1148">
        <v>15595</v>
      </c>
      <c r="BH46" s="1148">
        <v>931541</v>
      </c>
      <c r="BI46" s="1148">
        <v>337</v>
      </c>
      <c r="BJ46" s="1149">
        <v>83766308</v>
      </c>
      <c r="BK46" s="1147">
        <v>16239436</v>
      </c>
      <c r="BL46" s="1148">
        <v>7086953</v>
      </c>
      <c r="BM46" s="1148">
        <v>575189</v>
      </c>
      <c r="BN46" s="1148">
        <v>37375430</v>
      </c>
      <c r="BO46" s="1148">
        <v>1099500</v>
      </c>
      <c r="BP46" s="1148">
        <v>146142817</v>
      </c>
      <c r="BQ46" s="1148">
        <f>DwellingStocks!O25</f>
        <v>23790.684938210514</v>
      </c>
      <c r="BR46" s="1150">
        <f>((BQ46/BG46)*$BG$18*(BJ46+BK46)*0.0000000036)/(BQ46/1000)</f>
        <v>1.714945261270449E-2</v>
      </c>
      <c r="BS46" s="1150">
        <f t="shared" si="9"/>
        <v>8.8816766912471947E-3</v>
      </c>
      <c r="BT46" s="1150">
        <f t="shared" si="10"/>
        <v>1.6359750432831037E-3</v>
      </c>
      <c r="BU46" s="1150">
        <f t="shared" si="11"/>
        <v>1.327784802821417E-4</v>
      </c>
      <c r="BW46" s="80"/>
      <c r="BX46" s="80"/>
      <c r="BY46" s="80"/>
      <c r="BZ46" s="80"/>
      <c r="CA46" s="80"/>
      <c r="CB46" s="80"/>
      <c r="CC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</row>
    <row r="47" spans="2:114">
      <c r="B47" s="1202"/>
      <c r="C47" s="490"/>
      <c r="D47" s="489"/>
      <c r="E47" s="489"/>
      <c r="F47" s="489" t="s">
        <v>939</v>
      </c>
      <c r="G47" s="489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489"/>
      <c r="AK47" s="489"/>
      <c r="AL47" s="1017">
        <v>0</v>
      </c>
      <c r="AN47" s="355"/>
      <c r="AO47" s="226"/>
      <c r="AP47" s="355"/>
      <c r="AQ47" s="375"/>
      <c r="AR47" s="1074"/>
      <c r="AS47" s="1078"/>
      <c r="AT47" s="1102"/>
      <c r="AU47" s="375"/>
      <c r="AW47" s="80"/>
      <c r="AX47" s="80"/>
      <c r="AY47" s="80"/>
      <c r="AZ47" s="80"/>
      <c r="BA47" s="80"/>
      <c r="BB47" s="80"/>
      <c r="BC47" s="80"/>
      <c r="BD47" s="80"/>
      <c r="BE47" s="80"/>
      <c r="BF47" s="1143" t="s">
        <v>62</v>
      </c>
      <c r="BG47" s="1144">
        <v>5191</v>
      </c>
      <c r="BH47" s="1144">
        <v>290189</v>
      </c>
      <c r="BI47" s="1144">
        <v>413</v>
      </c>
      <c r="BJ47" s="1145">
        <v>36993288</v>
      </c>
      <c r="BK47" s="1143">
        <v>7041768</v>
      </c>
      <c r="BL47" s="1144">
        <v>2218849</v>
      </c>
      <c r="BM47" s="1144">
        <v>235069</v>
      </c>
      <c r="BN47" s="1144">
        <v>12463794</v>
      </c>
      <c r="BO47" s="1144">
        <v>507628</v>
      </c>
      <c r="BP47" s="1144">
        <v>59460396</v>
      </c>
      <c r="BQ47" s="1148">
        <f>DwellingStocks!O26</f>
        <v>8010.7993972868508</v>
      </c>
      <c r="BR47" s="1146">
        <f t="shared" si="8"/>
        <v>2.2686015294626206E-2</v>
      </c>
      <c r="BS47" s="1146">
        <f t="shared" si="9"/>
        <v>8.995784858408783E-3</v>
      </c>
      <c r="BT47" s="1146">
        <f t="shared" si="10"/>
        <v>1.5387895203236373E-3</v>
      </c>
      <c r="BU47" s="1146">
        <f t="shared" si="11"/>
        <v>1.6302223078404931E-4</v>
      </c>
      <c r="BW47" s="80"/>
      <c r="BX47" s="80"/>
      <c r="BY47" s="80"/>
      <c r="BZ47" s="80"/>
      <c r="CA47" s="80"/>
      <c r="CB47" s="80"/>
      <c r="CC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</row>
    <row r="48" spans="2:114" ht="13.5" thickBot="1">
      <c r="B48" s="1202"/>
      <c r="C48" s="328"/>
      <c r="D48" s="328"/>
      <c r="E48" s="328"/>
      <c r="F48" s="328" t="s">
        <v>940</v>
      </c>
      <c r="G48" s="328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328"/>
      <c r="AK48" s="328"/>
      <c r="AL48" s="1021">
        <f>AP48</f>
        <v>1.0644787940139301E-2</v>
      </c>
      <c r="AN48" s="355"/>
      <c r="AO48" s="226"/>
      <c r="AP48" s="1081">
        <f>BS63*(1+AQ53)</f>
        <v>1.0644787940139301E-2</v>
      </c>
      <c r="AQ48" s="1078">
        <f>AP48*H46</f>
        <v>0.4141366177099407</v>
      </c>
      <c r="AR48" s="1074"/>
      <c r="AS48" s="1078"/>
      <c r="AT48" s="1102"/>
      <c r="AU48" s="375"/>
      <c r="AW48" s="80" t="s">
        <v>828</v>
      </c>
      <c r="AY48" s="80"/>
      <c r="AZ48" s="80"/>
      <c r="BA48" s="80"/>
      <c r="BB48" s="80"/>
      <c r="BC48" s="80"/>
      <c r="BD48" s="80"/>
      <c r="BE48" s="80"/>
      <c r="BF48" s="1147" t="s">
        <v>64</v>
      </c>
      <c r="BG48" s="1148">
        <v>5603</v>
      </c>
      <c r="BH48" s="1148">
        <v>294590</v>
      </c>
      <c r="BI48" s="1148">
        <v>602</v>
      </c>
      <c r="BJ48" s="1149">
        <v>59600854</v>
      </c>
      <c r="BK48" s="1147">
        <v>9624009</v>
      </c>
      <c r="BL48" s="1148">
        <v>2310613</v>
      </c>
      <c r="BM48" s="1148">
        <v>213528</v>
      </c>
      <c r="BN48" s="1148">
        <v>12820227</v>
      </c>
      <c r="BO48" s="1148">
        <v>550098</v>
      </c>
      <c r="BP48" s="1148">
        <v>85119330</v>
      </c>
      <c r="BQ48" s="1148">
        <f>DwellingStocks!O27</f>
        <v>8658.126308421115</v>
      </c>
      <c r="BR48" s="1150">
        <f t="shared" si="8"/>
        <v>3.3040923611834583E-2</v>
      </c>
      <c r="BS48" s="1150">
        <f t="shared" si="9"/>
        <v>8.5906068177761911E-3</v>
      </c>
      <c r="BT48" s="1150">
        <f t="shared" si="10"/>
        <v>1.4845987506692843E-3</v>
      </c>
      <c r="BU48" s="1150">
        <f t="shared" si="11"/>
        <v>1.3719450294485096E-4</v>
      </c>
    </row>
    <row r="49" spans="2:73" ht="13.5" thickBot="1">
      <c r="B49" s="1202"/>
      <c r="C49" s="490"/>
      <c r="D49" s="489"/>
      <c r="E49" s="489"/>
      <c r="F49" s="489" t="s">
        <v>941</v>
      </c>
      <c r="G49" s="489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489"/>
      <c r="AK49" s="489"/>
      <c r="AL49" s="1017">
        <f>AR49</f>
        <v>8.7437241598877023E-4</v>
      </c>
      <c r="AN49" s="355"/>
      <c r="AO49" s="226"/>
      <c r="AP49" s="1082"/>
      <c r="AQ49" s="1083"/>
      <c r="AR49" s="1074">
        <f>BT63*(1+AS53)</f>
        <v>8.7437241598877023E-4</v>
      </c>
      <c r="AS49" s="1078">
        <f>AR49*H46</f>
        <v>3.4017552722775977E-2</v>
      </c>
      <c r="AT49" s="1102"/>
      <c r="AU49" s="375"/>
      <c r="AW49" s="80"/>
      <c r="AX49" s="885" t="s">
        <v>824</v>
      </c>
      <c r="AY49" s="885" t="s">
        <v>827</v>
      </c>
      <c r="AZ49" s="80"/>
      <c r="BA49" s="80"/>
      <c r="BB49" s="80"/>
      <c r="BC49" s="80"/>
      <c r="BD49" s="80"/>
      <c r="BE49" s="80"/>
      <c r="BJ49" s="226"/>
      <c r="BK49" s="226"/>
      <c r="BL49" s="226"/>
      <c r="BM49" s="226"/>
      <c r="BN49" s="226"/>
      <c r="BO49" s="226"/>
      <c r="BP49" s="226"/>
      <c r="BQ49" s="506" t="s">
        <v>1078</v>
      </c>
      <c r="BR49" s="1155">
        <f>AVERAGE(BR40:BR48)</f>
        <v>1.3467600237253401E-2</v>
      </c>
      <c r="BS49" s="1156">
        <f t="shared" ref="BS49:BU49" si="12">AVERAGE(BS40:BS48)</f>
        <v>8.8171772237418851E-3</v>
      </c>
      <c r="BT49" s="1156">
        <f>AVERAGE(BT40:BT48)</f>
        <v>1.7665001567785923E-3</v>
      </c>
      <c r="BU49" s="1156">
        <f t="shared" si="12"/>
        <v>4.5232880476159005E-4</v>
      </c>
    </row>
    <row r="50" spans="2:73" ht="13.5" thickBot="1">
      <c r="B50" s="1202"/>
      <c r="C50" s="909"/>
      <c r="D50" s="909"/>
      <c r="E50" s="909"/>
      <c r="F50" s="909" t="s">
        <v>942</v>
      </c>
      <c r="G50" s="909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09"/>
      <c r="AK50" s="909"/>
      <c r="AL50" s="1022">
        <f>AT50</f>
        <v>2.2390789835131475E-4</v>
      </c>
      <c r="AN50" s="367"/>
      <c r="AO50" s="1070"/>
      <c r="AP50" s="1084"/>
      <c r="AQ50" s="1085"/>
      <c r="AR50" s="1079"/>
      <c r="AS50" s="1080"/>
      <c r="AT50" s="1101">
        <f>BU63*(1+$AU$53)</f>
        <v>2.2390789835131475E-4</v>
      </c>
      <c r="AU50" s="1080">
        <f>AT50*H46</f>
        <v>8.7111608256745816E-3</v>
      </c>
      <c r="AW50" s="887" t="s">
        <v>42</v>
      </c>
      <c r="AX50" s="888">
        <f>1-AY50</f>
        <v>0.67999999999999994</v>
      </c>
      <c r="AY50" s="888">
        <v>0.32</v>
      </c>
      <c r="AZ50" s="80"/>
      <c r="BA50" s="80"/>
      <c r="BB50" s="80"/>
      <c r="BC50" s="80"/>
      <c r="BD50" s="80"/>
      <c r="BE50" s="80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</row>
    <row r="51" spans="2:73" ht="13.5" thickBot="1">
      <c r="B51" s="1202"/>
      <c r="C51" s="1069" t="s">
        <v>252</v>
      </c>
      <c r="D51" s="1067"/>
      <c r="E51" s="1067"/>
      <c r="F51" s="1067"/>
      <c r="G51" s="1067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8"/>
      <c r="AJ51" s="1067"/>
      <c r="AK51" s="1067"/>
      <c r="AL51" s="1021"/>
      <c r="AN51" s="365" t="s">
        <v>927</v>
      </c>
      <c r="AO51" s="354">
        <f>'SHWLP-Att'!AC27</f>
        <v>21.886678944169574</v>
      </c>
      <c r="AP51" s="358"/>
      <c r="AQ51" s="359">
        <f>'SHWLP-Att'!AC54</f>
        <v>7.7647712298155183</v>
      </c>
      <c r="AR51" s="358"/>
      <c r="AS51" s="359">
        <f>'SHWLP-Att'!AC59</f>
        <v>0.71104643057697769</v>
      </c>
      <c r="AT51" s="358"/>
      <c r="AU51" s="359">
        <f>'SHWLP-Att'!AC60</f>
        <v>0.29535083433966691</v>
      </c>
      <c r="AW51" s="890" t="s">
        <v>44</v>
      </c>
      <c r="AX51" s="891">
        <f t="shared" ref="AX51:AX52" si="13">1-AY51</f>
        <v>0.65</v>
      </c>
      <c r="AY51" s="891">
        <v>0.35</v>
      </c>
      <c r="AZ51" s="80"/>
      <c r="BA51" s="80"/>
      <c r="BB51" s="80"/>
      <c r="BC51" s="80"/>
      <c r="BD51" s="80"/>
      <c r="BE51" s="80"/>
    </row>
    <row r="52" spans="2:73" ht="13.5" thickBot="1">
      <c r="B52" s="1202"/>
      <c r="C52" s="1069" t="s">
        <v>252</v>
      </c>
      <c r="D52" s="1067"/>
      <c r="E52" s="1067"/>
      <c r="F52" s="1067"/>
      <c r="G52" s="1067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8"/>
      <c r="AJ52" s="1067"/>
      <c r="AK52" s="1067"/>
      <c r="AL52" s="1021"/>
      <c r="AN52" s="1071" t="s">
        <v>928</v>
      </c>
      <c r="AO52" s="226">
        <v>16.342539911584367</v>
      </c>
      <c r="AP52" s="355"/>
      <c r="AQ52" s="375">
        <v>11.94022616223222</v>
      </c>
      <c r="AR52" s="355"/>
      <c r="AS52" s="226">
        <v>1.9682898018529464</v>
      </c>
      <c r="AT52" s="355"/>
      <c r="AU52" s="375">
        <v>0.55560648002897184</v>
      </c>
      <c r="AW52" s="893" t="s">
        <v>46</v>
      </c>
      <c r="AX52" s="888">
        <f t="shared" si="13"/>
        <v>0.7</v>
      </c>
      <c r="AY52" s="894">
        <v>0.3</v>
      </c>
      <c r="BE52" s="80"/>
    </row>
    <row r="53" spans="2:73" ht="16.5" thickBot="1">
      <c r="B53" s="1202"/>
      <c r="C53" s="1069" t="s">
        <v>252</v>
      </c>
      <c r="D53" s="1067"/>
      <c r="E53" s="1067"/>
      <c r="F53" s="1067"/>
      <c r="G53" s="1067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7"/>
      <c r="AK53" s="1067"/>
      <c r="AL53" s="1021"/>
      <c r="AN53" s="1072" t="s">
        <v>929</v>
      </c>
      <c r="AO53" s="1086">
        <f>((AO51-AO52)/AO52)</f>
        <v>0.33924586157230419</v>
      </c>
      <c r="AP53" s="355"/>
      <c r="AQ53" s="1086">
        <f>((AQ51-AQ52)/AQ52)</f>
        <v>-0.34969646937040111</v>
      </c>
      <c r="AR53" s="355"/>
      <c r="AS53" s="1086">
        <f>((AS51-AS52)/AS52)</f>
        <v>-0.63874911615779384</v>
      </c>
      <c r="AT53" s="355"/>
      <c r="AU53" s="1086">
        <f>((AU51-AU52)/AU52)</f>
        <v>-0.46841722521978868</v>
      </c>
      <c r="AV53" s="1211"/>
      <c r="AW53" s="80"/>
      <c r="BE53" s="80"/>
      <c r="BF53" s="1265" t="s">
        <v>44</v>
      </c>
      <c r="BG53" s="1266" t="s">
        <v>44</v>
      </c>
      <c r="BH53" s="1266" t="s">
        <v>44</v>
      </c>
      <c r="BI53" s="1266" t="s">
        <v>44</v>
      </c>
      <c r="BJ53" s="1266" t="s">
        <v>44</v>
      </c>
      <c r="BK53" s="1266" t="s">
        <v>44</v>
      </c>
      <c r="BL53" s="1266" t="s">
        <v>44</v>
      </c>
      <c r="BM53" s="1266" t="s">
        <v>44</v>
      </c>
      <c r="BN53" s="1266" t="s">
        <v>44</v>
      </c>
      <c r="BO53" s="1266" t="s">
        <v>44</v>
      </c>
      <c r="BP53" s="1266" t="s">
        <v>44</v>
      </c>
      <c r="BQ53" s="1266"/>
      <c r="BR53" s="1263" t="s">
        <v>888</v>
      </c>
      <c r="BS53" s="1264"/>
      <c r="BT53" s="1264"/>
      <c r="BU53" s="1264"/>
    </row>
    <row r="54" spans="2:73">
      <c r="B54" s="1202"/>
      <c r="C54" s="1069" t="s">
        <v>252</v>
      </c>
      <c r="D54" s="1067"/>
      <c r="E54" s="1067"/>
      <c r="F54" s="1067"/>
      <c r="G54" s="1067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7"/>
      <c r="AK54" s="1067"/>
      <c r="AL54" s="1021"/>
      <c r="AN54" s="1071" t="s">
        <v>930</v>
      </c>
      <c r="AO54" s="1074">
        <f>SUM(AO6:AO46)</f>
        <v>21.886678944169574</v>
      </c>
      <c r="AP54" s="355"/>
      <c r="AQ54" s="1078">
        <f>SUM(AQ6:AQ50)</f>
        <v>7.7647712298155174</v>
      </c>
      <c r="AR54" s="355"/>
      <c r="AS54" s="1078">
        <f t="shared" ref="AS54" si="14">SUM(AS6:AS50)</f>
        <v>0.71104643057697769</v>
      </c>
      <c r="AT54" s="355"/>
      <c r="AU54" s="1078">
        <f>SUM(AU6:AU50)</f>
        <v>0.29535083433966691</v>
      </c>
      <c r="AW54" s="80"/>
      <c r="BE54" s="80"/>
      <c r="BF54" s="1151" t="s">
        <v>285</v>
      </c>
      <c r="BG54" s="1152" t="s">
        <v>394</v>
      </c>
      <c r="BH54" s="1152" t="s">
        <v>395</v>
      </c>
      <c r="BI54" s="1153" t="s">
        <v>883</v>
      </c>
      <c r="BJ54" s="1151" t="s">
        <v>884</v>
      </c>
      <c r="BK54" s="1151" t="s">
        <v>885</v>
      </c>
      <c r="BL54" s="1152" t="s">
        <v>413</v>
      </c>
      <c r="BM54" s="1152" t="s">
        <v>882</v>
      </c>
      <c r="BN54" s="1153" t="s">
        <v>886</v>
      </c>
      <c r="BO54" s="1151" t="s">
        <v>887</v>
      </c>
      <c r="BP54" s="1152" t="s">
        <v>216</v>
      </c>
      <c r="BQ54" s="1154"/>
      <c r="BR54" s="1157" t="s">
        <v>217</v>
      </c>
      <c r="BS54" s="1157" t="s">
        <v>881</v>
      </c>
      <c r="BT54" s="1157" t="s">
        <v>219</v>
      </c>
      <c r="BU54" s="1157" t="s">
        <v>882</v>
      </c>
    </row>
    <row r="55" spans="2:73" ht="13.5" thickBot="1">
      <c r="B55" s="1202"/>
      <c r="C55" s="1069" t="s">
        <v>252</v>
      </c>
      <c r="D55" s="1067"/>
      <c r="E55" s="1067"/>
      <c r="F55" s="1067"/>
      <c r="G55" s="1067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7"/>
      <c r="AK55" s="1067"/>
      <c r="AL55" s="1021"/>
      <c r="AM55" s="1216"/>
      <c r="AN55" s="1075" t="s">
        <v>931</v>
      </c>
      <c r="AO55" s="1076">
        <f>((AO51-AO54)/AO54)</f>
        <v>0</v>
      </c>
      <c r="AP55" s="367"/>
      <c r="AQ55" s="1087">
        <f t="shared" ref="AQ55" si="15">((AQ51-AQ54)/AQ54)</f>
        <v>1.1438565199315311E-16</v>
      </c>
      <c r="AR55" s="367"/>
      <c r="AS55" s="1087">
        <f t="shared" ref="AS55" si="16">((AS51-AS54)/AS54)</f>
        <v>0</v>
      </c>
      <c r="AT55" s="367"/>
      <c r="AU55" s="1087">
        <f t="shared" ref="AU55" si="17">((AU51-AU54)/AU54)</f>
        <v>0</v>
      </c>
      <c r="AW55" s="80"/>
      <c r="AX55" s="80"/>
      <c r="BF55" s="1147" t="s">
        <v>48</v>
      </c>
      <c r="BG55" s="1148">
        <v>30917</v>
      </c>
      <c r="BH55" s="1148">
        <v>3791316</v>
      </c>
      <c r="BI55" s="1148">
        <v>54</v>
      </c>
      <c r="BJ55" s="1149">
        <v>10485360</v>
      </c>
      <c r="BK55" s="1147">
        <v>1188542</v>
      </c>
      <c r="BL55" s="1148">
        <v>17730384</v>
      </c>
      <c r="BM55" s="1148">
        <v>10718118</v>
      </c>
      <c r="BN55" s="1148">
        <v>77836062</v>
      </c>
      <c r="BO55" s="1148">
        <v>4686</v>
      </c>
      <c r="BP55" s="1148">
        <v>117963152</v>
      </c>
      <c r="BQ55" s="1148">
        <f>DwellingStocks!P19</f>
        <v>72528.642938868245</v>
      </c>
      <c r="BR55" s="1150">
        <f>((BQ55/BG55)*$BH$18*(BJ55+BK55)*0.0000000036)/(BQ55/1000)</f>
        <v>9.510263559994105E-4</v>
      </c>
      <c r="BS55" s="1150">
        <f>((BQ55/BG55)*(BN55+BO55)*0.0000000036)/(BQ55/1000)</f>
        <v>9.0638384319306521E-3</v>
      </c>
      <c r="BT55" s="1150">
        <f>((BQ55/BG55)*(BL55)*0.0000000036)/(BQ55/1000)</f>
        <v>2.0645399747711611E-3</v>
      </c>
      <c r="BU55" s="1150">
        <f>((BQ55/BG55)*(BM55)*0.0000000036)/(BQ55/1000)</f>
        <v>1.2480261603648477E-3</v>
      </c>
    </row>
    <row r="56" spans="2:73" ht="16.5" thickBot="1">
      <c r="B56" s="1202"/>
      <c r="C56" s="905" t="str">
        <f>AY15</f>
        <v>R-BLD_Apt_A</v>
      </c>
      <c r="D56" s="906" t="str">
        <f>AZ15</f>
        <v>Residential Building Apartment _ A</v>
      </c>
      <c r="E56" s="906">
        <v>2018</v>
      </c>
      <c r="F56" s="907" t="str">
        <f>COMM!O9</f>
        <v>RSDSH_Apt-AB</v>
      </c>
      <c r="G56" s="906" t="s">
        <v>943</v>
      </c>
      <c r="H56" s="908">
        <f>BG8/1000</f>
        <v>11.735038424732089</v>
      </c>
      <c r="I56" s="908">
        <f>DwellingStocks!I34/1000</f>
        <v>1.0999213170625809E-2</v>
      </c>
      <c r="J56" s="908">
        <f>DwellingStocks!L34/1000</f>
        <v>9.3752305952282828</v>
      </c>
      <c r="K56" s="908">
        <f>DwellingStocks!O34/1000</f>
        <v>0.38111078467402082</v>
      </c>
      <c r="L56" s="908">
        <f>DwellingStocks!R34/1000</f>
        <v>7.6168764397473235E-2</v>
      </c>
      <c r="M56" s="908">
        <f>DwellingStocks!U34/1000</f>
        <v>1.8635524481144205E-2</v>
      </c>
      <c r="N56" s="908">
        <f>DwellingStocks!X34/1000</f>
        <v>2.4560877536437445E-2</v>
      </c>
      <c r="O56" s="908">
        <f>DwellingStocks!AA34/1000</f>
        <v>0.13853042258541853</v>
      </c>
      <c r="P56" s="908">
        <f>DwellingStocks!AD34/1000</f>
        <v>0.16269659248084406</v>
      </c>
      <c r="Q56" s="908">
        <f>DwellingStocks!AG34/1000</f>
        <v>1.2999999999999999E-2</v>
      </c>
      <c r="R56" s="908">
        <f>DwellingStocks!AJ34/1000</f>
        <v>1.9986531797620652E-2</v>
      </c>
      <c r="S56" s="908">
        <f>DwellingStocks!AM34/1000</f>
        <v>2.6840370017248788E-2</v>
      </c>
      <c r="T56" s="908">
        <f>DwellingStocks!AP34/1000</f>
        <v>0.23678136971547895</v>
      </c>
      <c r="U56" s="908">
        <f>DwellingStocks!AS34/1000</f>
        <v>4.0430778237842586E-2</v>
      </c>
      <c r="V56" s="908">
        <f>DwellingStocks!AV34/1000</f>
        <v>0.46229041477688143</v>
      </c>
      <c r="W56" s="908">
        <f>DwellingStocks!AY34/1000</f>
        <v>7.7809037903225312E-2</v>
      </c>
      <c r="X56" s="908">
        <f>DwellingStocks!BB34/1000</f>
        <v>7.9968170445857648E-2</v>
      </c>
      <c r="Y56" s="908">
        <f>DwellingStocks!BE34/1000</f>
        <v>3.5745393028063198E-2</v>
      </c>
      <c r="Z56" s="908">
        <f>DwellingStocks!BH34/1000</f>
        <v>0.15468678455337934</v>
      </c>
      <c r="AA56" s="908">
        <f>DwellingStocks!BK34/1000</f>
        <v>0.20802835889673207</v>
      </c>
      <c r="AB56" s="908">
        <f>DwellingStocks!BN34/1000</f>
        <v>0</v>
      </c>
      <c r="AC56" s="908">
        <f>DwellingStocks!BQ34/1000</f>
        <v>3.3146875959603223E-2</v>
      </c>
      <c r="AD56" s="908">
        <f>DwellingStocks!BT34/1000</f>
        <v>0.02</v>
      </c>
      <c r="AE56" s="908">
        <f>DwellingStocks!BW34/1000</f>
        <v>3.89006646724816E-2</v>
      </c>
      <c r="AF56" s="908">
        <f>DwellingStocks!BZ34/1000</f>
        <v>3.9228229989771699E-2</v>
      </c>
      <c r="AG56" s="908">
        <f>DwellingStocks!CC34/1000</f>
        <v>3.8853388562053358E-2</v>
      </c>
      <c r="AH56" s="908">
        <f>DwellingStocks!CF34/1000</f>
        <v>2.1409281621601231E-2</v>
      </c>
      <c r="AI56" s="908">
        <v>1</v>
      </c>
      <c r="AJ56" s="906">
        <v>100</v>
      </c>
      <c r="AK56" s="906">
        <v>1</v>
      </c>
      <c r="AL56" s="1014">
        <f>AN56</f>
        <v>4.5415655095884164E-4</v>
      </c>
      <c r="AM56" s="1216"/>
      <c r="AN56" s="1095">
        <f>ABS(BR40*DwellingStocks!W18*(1+AO103))</f>
        <v>4.5415655095884164E-4</v>
      </c>
      <c r="AO56" s="1096">
        <f>AN56*H56</f>
        <v>5.3295445763458038E-3</v>
      </c>
      <c r="AP56" s="1097"/>
      <c r="AQ56" s="1098"/>
      <c r="AR56" s="1097"/>
      <c r="AS56" s="1098"/>
      <c r="AT56" s="1096"/>
      <c r="AU56" s="1098"/>
      <c r="AW56" s="1265" t="s">
        <v>823</v>
      </c>
      <c r="AX56" s="1266"/>
      <c r="AY56" s="1266"/>
      <c r="AZ56" s="1266"/>
      <c r="BA56" s="1271"/>
      <c r="BF56" s="1143" t="s">
        <v>50</v>
      </c>
      <c r="BG56" s="1144">
        <v>3722</v>
      </c>
      <c r="BH56" s="1144">
        <v>417890</v>
      </c>
      <c r="BI56" s="1144">
        <v>90</v>
      </c>
      <c r="BJ56" s="1145">
        <v>13034192</v>
      </c>
      <c r="BK56" s="1143">
        <v>2101151</v>
      </c>
      <c r="BL56" s="1144">
        <v>2240850</v>
      </c>
      <c r="BM56" s="1144">
        <v>788570</v>
      </c>
      <c r="BN56" s="1144">
        <v>8717545</v>
      </c>
      <c r="BO56" s="1144">
        <v>31109</v>
      </c>
      <c r="BP56" s="1144">
        <v>26913417</v>
      </c>
      <c r="BQ56" s="1148">
        <f>DwellingStocks!P20</f>
        <v>6727.4572369101443</v>
      </c>
      <c r="BR56" s="1146">
        <f>((BQ56/BG56)*$BH$18*(BJ56+BK56)*0.0000000036)/(BQ56/1000)</f>
        <v>1.0242117509517548E-2</v>
      </c>
      <c r="BS56" s="1146">
        <f>((BQ56/BG56)*(BN56+BO56)*0.0000000036)/(BQ56/1000)</f>
        <v>8.4618899516389033E-3</v>
      </c>
      <c r="BT56" s="1146">
        <f t="shared" ref="BT56:BT57" si="18">((BQ56/BG56)*(BL56)*0.0000000036)/(BQ56/1000)</f>
        <v>2.1673992477162815E-3</v>
      </c>
      <c r="BU56" s="1146">
        <f t="shared" ref="BU56:BU57" si="19">((BQ56/BG56)*(BM56)*0.0000000036)/(BQ56/1000)</f>
        <v>7.6272219236969371E-4</v>
      </c>
    </row>
    <row r="57" spans="2:73" ht="15.75" thickBot="1">
      <c r="B57" s="1202"/>
      <c r="C57" s="490"/>
      <c r="D57" s="489"/>
      <c r="E57" s="489"/>
      <c r="F57" s="433" t="s">
        <v>944</v>
      </c>
      <c r="G57" s="489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489"/>
      <c r="AK57" s="489"/>
      <c r="AL57" s="1017">
        <v>0</v>
      </c>
      <c r="AM57" s="1216"/>
      <c r="AN57" s="1077"/>
      <c r="AO57" s="1074"/>
      <c r="AP57" s="1081"/>
      <c r="AQ57" s="1078"/>
      <c r="AR57" s="1081"/>
      <c r="AS57" s="1078"/>
      <c r="AT57" s="1074"/>
      <c r="AU57" s="1078"/>
      <c r="AW57" s="884"/>
      <c r="AX57" s="885" t="s">
        <v>825</v>
      </c>
      <c r="AY57" s="885" t="s">
        <v>824</v>
      </c>
      <c r="AZ57" s="886" t="s">
        <v>826</v>
      </c>
      <c r="BA57" s="884" t="s">
        <v>827</v>
      </c>
      <c r="BB57" s="80"/>
      <c r="BC57" s="80"/>
      <c r="BD57" s="80"/>
      <c r="BF57" s="1147" t="s">
        <v>52</v>
      </c>
      <c r="BG57" s="1148">
        <v>7882</v>
      </c>
      <c r="BH57" s="1148">
        <v>923821</v>
      </c>
      <c r="BI57" s="1148">
        <v>116</v>
      </c>
      <c r="BJ57" s="1149">
        <v>43515430</v>
      </c>
      <c r="BK57" s="1147">
        <v>7251325</v>
      </c>
      <c r="BL57" s="1148">
        <v>5692013</v>
      </c>
      <c r="BM57" s="1148">
        <v>1593680</v>
      </c>
      <c r="BN57" s="1148">
        <v>27323207</v>
      </c>
      <c r="BO57" s="1148">
        <v>122934</v>
      </c>
      <c r="BP57" s="1148">
        <v>85498588</v>
      </c>
      <c r="BQ57" s="1148">
        <f>DwellingStocks!P21</f>
        <v>14584.48055403824</v>
      </c>
      <c r="BR57" s="1150">
        <f>((BQ57/BG57)*$BH$18*(BJ57+BK57)*0.0000000036)/(BQ57/1000)</f>
        <v>1.6222464383632399E-2</v>
      </c>
      <c r="BS57" s="1150">
        <f t="shared" ref="BS57:BS63" si="20">((BQ57/BG57)*(BN57+BO57)*0.0000000036)/(BQ57/1000)</f>
        <v>1.2535664501395585E-2</v>
      </c>
      <c r="BT57" s="1150">
        <f t="shared" si="18"/>
        <v>2.5997521948743969E-3</v>
      </c>
      <c r="BU57" s="1150">
        <f t="shared" si="19"/>
        <v>7.2789241309312357E-4</v>
      </c>
    </row>
    <row r="58" spans="2:73" ht="15.75" thickBot="1">
      <c r="B58" s="1202"/>
      <c r="C58" s="328"/>
      <c r="D58" s="328"/>
      <c r="E58" s="328"/>
      <c r="F58" s="329" t="s">
        <v>945</v>
      </c>
      <c r="G58" s="328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328"/>
      <c r="AK58" s="328"/>
      <c r="AL58" s="1021">
        <f>AP58</f>
        <v>3.9321604957794154E-3</v>
      </c>
      <c r="AM58" s="1216"/>
      <c r="AN58" s="1077"/>
      <c r="AO58" s="1074"/>
      <c r="AP58" s="1081">
        <f>BS40*(1+AQ103)</f>
        <v>3.9321604957794154E-3</v>
      </c>
      <c r="AQ58" s="1078">
        <f>AP58*H56</f>
        <v>4.6144054510185023E-2</v>
      </c>
      <c r="AR58" s="1081"/>
      <c r="AS58" s="1078"/>
      <c r="AT58" s="1074"/>
      <c r="AU58" s="1078"/>
      <c r="AW58" s="887" t="s">
        <v>42</v>
      </c>
      <c r="AX58" s="896">
        <v>69107.395872611189</v>
      </c>
      <c r="AY58" s="888">
        <v>0.7</v>
      </c>
      <c r="AZ58" s="896">
        <v>29617.455373976227</v>
      </c>
      <c r="BA58" s="889">
        <v>0.3</v>
      </c>
      <c r="BB58" s="80"/>
      <c r="BC58" s="80"/>
      <c r="BD58" s="80"/>
      <c r="BF58" s="1143" t="s">
        <v>54</v>
      </c>
      <c r="BG58" s="1144">
        <v>27081</v>
      </c>
      <c r="BH58" s="1144">
        <v>2951365</v>
      </c>
      <c r="BI58" s="1144">
        <v>140</v>
      </c>
      <c r="BJ58" s="1145">
        <v>174012862</v>
      </c>
      <c r="BK58" s="1143">
        <v>34638769</v>
      </c>
      <c r="BL58" s="1144">
        <v>20069083</v>
      </c>
      <c r="BM58" s="1144">
        <v>5351092</v>
      </c>
      <c r="BN58" s="1144">
        <v>103542140</v>
      </c>
      <c r="BO58" s="1144">
        <v>1485406</v>
      </c>
      <c r="BP58" s="1144">
        <v>339099353</v>
      </c>
      <c r="BQ58" s="1148">
        <f>DwellingStocks!P22</f>
        <v>49420.927051735707</v>
      </c>
      <c r="BR58" s="1146">
        <f t="shared" ref="BR58:BR63" si="21">((BQ58/BG58)*$BH$18*(BJ58+BK58)*0.0000000036)/(BQ58/1000)</f>
        <v>1.9405772794162134E-2</v>
      </c>
      <c r="BS58" s="1146">
        <f t="shared" si="20"/>
        <v>1.3961787437686939E-2</v>
      </c>
      <c r="BT58" s="1146">
        <f t="shared" ref="BT58:BT63" si="22">((BQ58/BG58)*(BL58)*0.0000000036)/(BQ58/1000)</f>
        <v>2.6678741110003324E-3</v>
      </c>
      <c r="BU58" s="1146">
        <f t="shared" ref="BU58:BU63" si="23">((BQ58/BG58)*(BM58)*0.0000000036)/(BQ58/1000)</f>
        <v>7.1134489863742103E-4</v>
      </c>
    </row>
    <row r="59" spans="2:73" ht="15.75" thickBot="1">
      <c r="B59" s="1202"/>
      <c r="C59" s="490"/>
      <c r="D59" s="489"/>
      <c r="E59" s="489"/>
      <c r="F59" s="433" t="s">
        <v>946</v>
      </c>
      <c r="G59" s="489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489"/>
      <c r="AK59" s="489"/>
      <c r="AL59" s="1017">
        <f>AR59</f>
        <v>4.974085228881467E-4</v>
      </c>
      <c r="AM59" s="1216"/>
      <c r="AN59" s="1077"/>
      <c r="AO59" s="1074"/>
      <c r="AP59" s="1081"/>
      <c r="AQ59" s="1078"/>
      <c r="AR59" s="1081">
        <f>BT40*(1+AS103)</f>
        <v>4.974085228881467E-4</v>
      </c>
      <c r="AS59" s="1078">
        <f>AR59*H56</f>
        <v>5.8371081288816325E-3</v>
      </c>
      <c r="AT59" s="1074"/>
      <c r="AU59" s="1078"/>
      <c r="AW59" s="890" t="s">
        <v>44</v>
      </c>
      <c r="AX59" s="897">
        <v>41710.491459586934</v>
      </c>
      <c r="AY59" s="888">
        <f>AX59/SUM(AX59+AZ59)</f>
        <v>0.65</v>
      </c>
      <c r="AZ59" s="897">
        <v>22459.495401316039</v>
      </c>
      <c r="BA59" s="889">
        <f>AZ59/SUM(AX59+AZ59)</f>
        <v>0.35</v>
      </c>
      <c r="BB59" s="80"/>
      <c r="BC59" s="80"/>
      <c r="BD59" s="80"/>
      <c r="BF59" s="1147" t="s">
        <v>56</v>
      </c>
      <c r="BG59" s="1148">
        <v>161926</v>
      </c>
      <c r="BH59" s="1148">
        <v>16330846</v>
      </c>
      <c r="BI59" s="1148">
        <v>189</v>
      </c>
      <c r="BJ59" s="1149">
        <v>1338047187</v>
      </c>
      <c r="BK59" s="1147">
        <v>324841172</v>
      </c>
      <c r="BL59" s="1148">
        <v>118805308</v>
      </c>
      <c r="BM59" s="1148">
        <v>31787856</v>
      </c>
      <c r="BN59" s="1148">
        <v>660359371</v>
      </c>
      <c r="BO59" s="1148">
        <v>44948998</v>
      </c>
      <c r="BP59" s="1148">
        <v>2518789892</v>
      </c>
      <c r="BQ59" s="1148">
        <f>DwellingStocks!P23</f>
        <v>293672.95873330871</v>
      </c>
      <c r="BR59" s="1150">
        <f t="shared" si="21"/>
        <v>2.586546919581369E-2</v>
      </c>
      <c r="BS59" s="1150">
        <f t="shared" si="20"/>
        <v>1.568068209181972E-2</v>
      </c>
      <c r="BT59" s="1150">
        <f t="shared" si="22"/>
        <v>2.6413244864938305E-3</v>
      </c>
      <c r="BU59" s="1150">
        <f t="shared" si="23"/>
        <v>7.0671962254363109E-4</v>
      </c>
    </row>
    <row r="60" spans="2:73" ht="15.75" thickBot="1">
      <c r="B60" s="1202"/>
      <c r="C60" s="909"/>
      <c r="D60" s="909"/>
      <c r="E60" s="909"/>
      <c r="F60" s="910" t="s">
        <v>947</v>
      </c>
      <c r="G60" s="909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09"/>
      <c r="AK60" s="909"/>
      <c r="AL60" s="1022">
        <f>AT60</f>
        <v>5.4989074758546579E-4</v>
      </c>
      <c r="AM60" s="1216"/>
      <c r="AN60" s="1099"/>
      <c r="AO60" s="1079"/>
      <c r="AP60" s="1100"/>
      <c r="AQ60" s="1080"/>
      <c r="AR60" s="1100"/>
      <c r="AS60" s="1080"/>
      <c r="AT60" s="1101">
        <f>BU40*(1+AU103)</f>
        <v>5.4989074758546579E-4</v>
      </c>
      <c r="AU60" s="1080">
        <f>AT60*H56</f>
        <v>6.4529890523200954E-3</v>
      </c>
      <c r="AW60" s="893" t="s">
        <v>46</v>
      </c>
      <c r="AX60" s="898">
        <v>34182.00001626688</v>
      </c>
      <c r="AY60" s="888">
        <f>AX60/SUM(AX60+AZ60)</f>
        <v>0.70000000000000007</v>
      </c>
      <c r="AZ60" s="898">
        <v>14649.428578400091</v>
      </c>
      <c r="BA60" s="889">
        <f>AZ60/SUM(AX60+AZ60)</f>
        <v>0.3</v>
      </c>
      <c r="BB60" s="80"/>
      <c r="BC60" s="80"/>
      <c r="BD60" s="80"/>
      <c r="BF60" s="1143" t="s">
        <v>58</v>
      </c>
      <c r="BG60" s="1144">
        <v>95372</v>
      </c>
      <c r="BH60" s="1144">
        <v>9015651</v>
      </c>
      <c r="BI60" s="1144">
        <v>260</v>
      </c>
      <c r="BJ60" s="1145">
        <v>1084292370</v>
      </c>
      <c r="BK60" s="1143">
        <v>253316321</v>
      </c>
      <c r="BL60" s="1144">
        <v>68300496</v>
      </c>
      <c r="BM60" s="1144">
        <v>17462349</v>
      </c>
      <c r="BN60" s="1144">
        <v>395641968</v>
      </c>
      <c r="BO60" s="1144">
        <v>45229735</v>
      </c>
      <c r="BP60" s="1144">
        <v>1864243238</v>
      </c>
      <c r="BQ60" s="1148">
        <f>DwellingStocks!P24</f>
        <v>175920.34461876052</v>
      </c>
      <c r="BR60" s="1146">
        <f t="shared" si="21"/>
        <v>3.5324989983386533E-2</v>
      </c>
      <c r="BS60" s="1146">
        <f t="shared" si="20"/>
        <v>1.6641552350794783E-2</v>
      </c>
      <c r="BT60" s="1146">
        <f t="shared" si="22"/>
        <v>2.5781338925470786E-3</v>
      </c>
      <c r="BU60" s="1146">
        <f t="shared" si="23"/>
        <v>6.5915002726167008E-4</v>
      </c>
    </row>
    <row r="61" spans="2:73">
      <c r="B61" s="1202"/>
      <c r="C61" s="905" t="str">
        <f>AY16</f>
        <v>R-BLD_Apt_B1</v>
      </c>
      <c r="D61" s="906" t="str">
        <f>AZ16</f>
        <v>Residential Building Apartment _ B1</v>
      </c>
      <c r="E61" s="906">
        <v>2018</v>
      </c>
      <c r="F61" s="905" t="str">
        <f>COMM!O9</f>
        <v>RSDSH_Apt-AB</v>
      </c>
      <c r="G61" s="906" t="s">
        <v>943</v>
      </c>
      <c r="H61" s="908">
        <f>BG9/1000</f>
        <v>5.1976132443555905</v>
      </c>
      <c r="I61" s="908">
        <f>DwellingStocks!I35/1000</f>
        <v>9.3314973981268902E-3</v>
      </c>
      <c r="J61" s="908">
        <f>DwellingStocks!L35/1000</f>
        <v>3.8795577189656774</v>
      </c>
      <c r="K61" s="908">
        <f>DwellingStocks!O35/1000</f>
        <v>1.9211992602239075E-2</v>
      </c>
      <c r="L61" s="908">
        <f>DwellingStocks!R35/1000</f>
        <v>1.4912875269250541E-2</v>
      </c>
      <c r="M61" s="908">
        <f>DwellingStocks!U35/1000</f>
        <v>8.1776224057210217E-3</v>
      </c>
      <c r="N61" s="908">
        <f>DwellingStocks!X35/1000</f>
        <v>3.585329076164042E-3</v>
      </c>
      <c r="O61" s="908">
        <f>DwellingStocks!AA35/1000</f>
        <v>5.3278902698974957E-2</v>
      </c>
      <c r="P61" s="908">
        <f>DwellingStocks!AD35/1000</f>
        <v>7.8704653993169504E-2</v>
      </c>
      <c r="Q61" s="908">
        <f>DwellingStocks!AG35/1000</f>
        <v>0</v>
      </c>
      <c r="R61" s="908">
        <f>DwellingStocks!AJ35/1000</f>
        <v>3.8536474043666308E-2</v>
      </c>
      <c r="S61" s="908">
        <f>DwellingStocks!AM35/1000</f>
        <v>2.583097129527806E-2</v>
      </c>
      <c r="T61" s="908">
        <f>DwellingStocks!AP35/1000</f>
        <v>0.10936635397320441</v>
      </c>
      <c r="U61" s="908">
        <f>DwellingStocks!AS35/1000</f>
        <v>1.2858304335706622E-3</v>
      </c>
      <c r="V61" s="908">
        <f>DwellingStocks!AV35/1000</f>
        <v>0.66116165910752589</v>
      </c>
      <c r="W61" s="908">
        <f>DwellingStocks!AY35/1000</f>
        <v>4.2605646774192665E-2</v>
      </c>
      <c r="X61" s="908">
        <f>DwellingStocks!BB35/1000</f>
        <v>6.9194421278598928E-2</v>
      </c>
      <c r="Y61" s="908">
        <f>DwellingStocks!BE35/1000</f>
        <v>1.6854268626284391E-2</v>
      </c>
      <c r="Z61" s="908">
        <f>DwellingStocks!BH35/1000</f>
        <v>1.8706514038054258E-2</v>
      </c>
      <c r="AA61" s="908">
        <f>DwellingStocks!BK35/1000</f>
        <v>7.0812631399005024E-2</v>
      </c>
      <c r="AB61" s="908">
        <f>DwellingStocks!BN35/1000</f>
        <v>1.0207219784121402E-3</v>
      </c>
      <c r="AC61" s="908">
        <f>DwellingStocks!BQ35/1000</f>
        <v>1.1015909788802345E-2</v>
      </c>
      <c r="AD61" s="908">
        <f>DwellingStocks!BT35/1000</f>
        <v>1.15166974613897E-2</v>
      </c>
      <c r="AE61" s="908">
        <f>DwellingStocks!BW35/1000</f>
        <v>7.0228130422058666E-3</v>
      </c>
      <c r="AF61" s="908">
        <f>DwellingStocks!BZ35/1000</f>
        <v>2.8188199931811317E-3</v>
      </c>
      <c r="AG61" s="908">
        <f>DwellingStocks!CC35/1000</f>
        <v>3.7693637091293482E-2</v>
      </c>
      <c r="AH61" s="908">
        <f>DwellingStocks!CF35/1000</f>
        <v>5.4092816216012298E-3</v>
      </c>
      <c r="AI61" s="908">
        <v>1</v>
      </c>
      <c r="AJ61" s="906">
        <v>100</v>
      </c>
      <c r="AK61" s="906">
        <v>1</v>
      </c>
      <c r="AL61" s="1014">
        <f>AN61</f>
        <v>6.8241195959766743E-3</v>
      </c>
      <c r="AM61" s="1216"/>
      <c r="AN61" s="1095">
        <f>ABS(BR41*DwellingStocks!W19*(1+$AO$103))</f>
        <v>6.8241195959766743E-3</v>
      </c>
      <c r="AO61" s="1096">
        <f>AN61*H61</f>
        <v>3.546913439311488E-2</v>
      </c>
      <c r="AP61" s="1081"/>
      <c r="AQ61" s="1078"/>
      <c r="AR61" s="1074"/>
      <c r="AS61" s="1078"/>
      <c r="AT61" s="1102"/>
      <c r="AU61" s="1078"/>
      <c r="AW61" s="80"/>
      <c r="AX61" s="80"/>
      <c r="AY61" s="80"/>
      <c r="AZ61" s="80"/>
      <c r="BA61" s="80"/>
      <c r="BB61" s="80"/>
      <c r="BC61" s="80"/>
      <c r="BD61" s="80"/>
      <c r="BF61" s="1147" t="s">
        <v>60</v>
      </c>
      <c r="BG61" s="1148">
        <v>46130</v>
      </c>
      <c r="BH61" s="1148">
        <v>4172403</v>
      </c>
      <c r="BI61" s="1148">
        <v>338</v>
      </c>
      <c r="BJ61" s="1149">
        <v>710540728</v>
      </c>
      <c r="BK61" s="1147">
        <v>151669826</v>
      </c>
      <c r="BL61" s="1148">
        <v>32024144</v>
      </c>
      <c r="BM61" s="1148">
        <v>7687230</v>
      </c>
      <c r="BN61" s="1148">
        <v>197368280</v>
      </c>
      <c r="BO61" s="1148">
        <v>25027741</v>
      </c>
      <c r="BP61" s="1148">
        <v>1124317950</v>
      </c>
      <c r="BQ61" s="1148">
        <f>DwellingStocks!P25</f>
        <v>85755.437936808186</v>
      </c>
      <c r="BR61" s="1150">
        <f t="shared" si="21"/>
        <v>4.7076453250177577E-2</v>
      </c>
      <c r="BS61" s="1150">
        <f t="shared" si="20"/>
        <v>1.7355856830695855E-2</v>
      </c>
      <c r="BT61" s="1150">
        <f t="shared" si="22"/>
        <v>2.499174472143941E-3</v>
      </c>
      <c r="BU61" s="1150">
        <f t="shared" si="23"/>
        <v>5.9991389551268157E-4</v>
      </c>
    </row>
    <row r="62" spans="2:73">
      <c r="B62" s="1202"/>
      <c r="C62" s="490"/>
      <c r="D62" s="489"/>
      <c r="E62" s="489"/>
      <c r="F62" s="1018" t="s">
        <v>944</v>
      </c>
      <c r="G62" s="489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489"/>
      <c r="AK62" s="489"/>
      <c r="AL62" s="1017">
        <v>0</v>
      </c>
      <c r="AM62" s="1216"/>
      <c r="AN62" s="1077"/>
      <c r="AO62" s="1074"/>
      <c r="AP62" s="1081"/>
      <c r="AQ62" s="1078"/>
      <c r="AR62" s="1074"/>
      <c r="AS62" s="1078"/>
      <c r="AT62" s="1102"/>
      <c r="AU62" s="1078"/>
      <c r="BB62" s="80"/>
      <c r="BC62" s="80"/>
      <c r="BD62" s="80"/>
      <c r="BF62" s="1143" t="s">
        <v>62</v>
      </c>
      <c r="BG62" s="1144">
        <v>20720</v>
      </c>
      <c r="BH62" s="1144">
        <v>1831493</v>
      </c>
      <c r="BI62" s="1144">
        <v>413</v>
      </c>
      <c r="BJ62" s="1145">
        <v>402775920</v>
      </c>
      <c r="BK62" s="1143">
        <v>83851393</v>
      </c>
      <c r="BL62" s="1144">
        <v>14391500</v>
      </c>
      <c r="BM62" s="1144">
        <v>3408225</v>
      </c>
      <c r="BN62" s="1144">
        <v>91534744</v>
      </c>
      <c r="BO62" s="1144">
        <v>12170223</v>
      </c>
      <c r="BP62" s="1144">
        <v>608132005</v>
      </c>
      <c r="BQ62" s="1148">
        <f>DwellingStocks!P26</f>
        <v>38588.997221862926</v>
      </c>
      <c r="BR62" s="1146">
        <f t="shared" si="21"/>
        <v>5.915351898689046E-2</v>
      </c>
      <c r="BS62" s="1146">
        <f t="shared" si="20"/>
        <v>1.8018237509652511E-2</v>
      </c>
      <c r="BT62" s="1146">
        <f t="shared" si="22"/>
        <v>2.5004536679536682E-3</v>
      </c>
      <c r="BU62" s="1146">
        <f t="shared" si="23"/>
        <v>5.9216264478764485E-4</v>
      </c>
    </row>
    <row r="63" spans="2:73" ht="12.75" customHeight="1">
      <c r="B63" s="1202"/>
      <c r="C63" s="328"/>
      <c r="D63" s="328"/>
      <c r="E63" s="328"/>
      <c r="F63" s="417" t="s">
        <v>945</v>
      </c>
      <c r="G63" s="328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328"/>
      <c r="AK63" s="328"/>
      <c r="AL63" s="1021">
        <f>AP63</f>
        <v>9.5209601617499123E-3</v>
      </c>
      <c r="AM63" s="1216"/>
      <c r="AN63" s="1077"/>
      <c r="AO63" s="1074"/>
      <c r="AP63" s="1081">
        <f>BS41*(1+AQ103)</f>
        <v>9.5209601617499123E-3</v>
      </c>
      <c r="AQ63" s="1078">
        <f>AP63*H61</f>
        <v>4.948626863569329E-2</v>
      </c>
      <c r="AR63" s="1074"/>
      <c r="AS63" s="1078"/>
      <c r="AT63" s="1102"/>
      <c r="AU63" s="1078"/>
      <c r="AW63" s="1115"/>
      <c r="AX63" s="1115"/>
      <c r="AY63" s="1115"/>
      <c r="AZ63" s="1115"/>
      <c r="BA63" s="1115"/>
      <c r="BB63" s="80"/>
      <c r="BC63" s="80"/>
      <c r="BD63" s="80"/>
      <c r="BF63" s="1147" t="s">
        <v>64</v>
      </c>
      <c r="BG63" s="1148">
        <v>21208</v>
      </c>
      <c r="BH63" s="1148">
        <v>1754836</v>
      </c>
      <c r="BI63" s="1148">
        <v>604</v>
      </c>
      <c r="BJ63" s="1149">
        <v>548461962</v>
      </c>
      <c r="BK63" s="1147">
        <v>105828500</v>
      </c>
      <c r="BL63" s="1148">
        <v>14258858</v>
      </c>
      <c r="BM63" s="1148">
        <v>2481394</v>
      </c>
      <c r="BN63" s="1148">
        <v>86745130</v>
      </c>
      <c r="BO63" s="1148">
        <v>9686191</v>
      </c>
      <c r="BP63" s="1148">
        <v>767462035</v>
      </c>
      <c r="BQ63" s="1148">
        <f>DwellingStocks!P27</f>
        <v>38905.107366988203</v>
      </c>
      <c r="BR63" s="1150">
        <f t="shared" si="21"/>
        <v>7.7704242347111832E-2</v>
      </c>
      <c r="BS63" s="1150">
        <f t="shared" si="20"/>
        <v>1.636895301772916E-2</v>
      </c>
      <c r="BT63" s="1150">
        <f t="shared" si="22"/>
        <v>2.4204021501320252E-3</v>
      </c>
      <c r="BU63" s="1150">
        <f t="shared" si="23"/>
        <v>4.2120984534138058E-4</v>
      </c>
    </row>
    <row r="64" spans="2:73" ht="12.75" customHeight="1">
      <c r="B64" s="1202"/>
      <c r="C64" s="490"/>
      <c r="D64" s="489"/>
      <c r="E64" s="489"/>
      <c r="F64" s="1018" t="s">
        <v>946</v>
      </c>
      <c r="G64" s="489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489"/>
      <c r="AK64" s="489"/>
      <c r="AL64" s="1017">
        <f>AR64</f>
        <v>6.7182236392411999E-4</v>
      </c>
      <c r="AM64" s="1216"/>
      <c r="AN64" s="1077"/>
      <c r="AO64" s="1074"/>
      <c r="AP64" s="1081"/>
      <c r="AQ64" s="1078"/>
      <c r="AR64" s="1074">
        <f>BT41*(1+AS103)</f>
        <v>6.7182236392411999E-4</v>
      </c>
      <c r="AS64" s="1078">
        <f>AR64*H61</f>
        <v>3.4918728165862873E-3</v>
      </c>
      <c r="AT64" s="1102"/>
      <c r="AU64" s="1078"/>
      <c r="AW64" s="1115"/>
      <c r="AX64" s="1115"/>
      <c r="AY64" s="1115"/>
      <c r="AZ64" s="1115"/>
      <c r="BA64" s="1115"/>
      <c r="BB64" s="80"/>
      <c r="BC64" s="80"/>
      <c r="BD64" s="80"/>
      <c r="BJ64" s="226"/>
      <c r="BK64" s="226"/>
      <c r="BL64" s="226"/>
      <c r="BM64" s="226"/>
      <c r="BN64" s="226"/>
      <c r="BO64" s="226"/>
      <c r="BP64" s="226"/>
      <c r="BQ64" s="506" t="s">
        <v>1078</v>
      </c>
      <c r="BR64" s="1155">
        <f>AVERAGE(BR55:BR63)</f>
        <v>3.2438450534076839E-2</v>
      </c>
      <c r="BS64" s="1156">
        <f t="shared" ref="BS64:BU64" si="24">AVERAGE(BS55:BS63)</f>
        <v>1.4232051347038236E-2</v>
      </c>
      <c r="BT64" s="1156">
        <f t="shared" si="24"/>
        <v>2.4598949108480795E-3</v>
      </c>
      <c r="BU64" s="1156">
        <f t="shared" si="24"/>
        <v>7.1434907776801054E-4</v>
      </c>
    </row>
    <row r="65" spans="2:73" ht="19.5" customHeight="1" thickBot="1">
      <c r="B65" s="1202"/>
      <c r="C65" s="909"/>
      <c r="D65" s="909"/>
      <c r="E65" s="909"/>
      <c r="F65" s="1023" t="s">
        <v>947</v>
      </c>
      <c r="G65" s="909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09"/>
      <c r="AK65" s="909"/>
      <c r="AL65" s="1022">
        <f>AT65</f>
        <v>3.7110246330279142E-4</v>
      </c>
      <c r="AM65" s="1216"/>
      <c r="AN65" s="1077"/>
      <c r="AO65" s="1074"/>
      <c r="AP65" s="1081"/>
      <c r="AQ65" s="1078"/>
      <c r="AR65" s="1074"/>
      <c r="AS65" s="1078"/>
      <c r="AT65" s="1102">
        <f>BU41*(1+AU103)</f>
        <v>3.7110246330279142E-4</v>
      </c>
      <c r="AU65" s="1078">
        <f>AT65*H61</f>
        <v>1.9288470782755731E-3</v>
      </c>
      <c r="AW65" s="1115"/>
      <c r="AX65" s="1115"/>
      <c r="AY65" s="1115"/>
      <c r="AZ65" s="1115"/>
      <c r="BA65" s="1115"/>
      <c r="BB65" s="80"/>
      <c r="BC65" s="80"/>
      <c r="BD65" s="80"/>
    </row>
    <row r="66" spans="2:73" ht="13.5" customHeight="1" thickBot="1">
      <c r="B66" s="1202"/>
      <c r="C66" s="905" t="str">
        <f>AY17</f>
        <v>R-BLD_Apt_B2</v>
      </c>
      <c r="D66" s="906" t="str">
        <f>AZ17</f>
        <v>Residential Building Apartment _ B2</v>
      </c>
      <c r="E66" s="906">
        <v>2018</v>
      </c>
      <c r="F66" s="905" t="str">
        <f>COMM!O9</f>
        <v>RSDSH_Apt-AB</v>
      </c>
      <c r="G66" s="906" t="s">
        <v>943</v>
      </c>
      <c r="H66" s="908">
        <f>BG10/1000</f>
        <v>13.979419134898935</v>
      </c>
      <c r="I66" s="908">
        <f>DwellingStocks!I36/1000</f>
        <v>1.066456845500216E-2</v>
      </c>
      <c r="J66" s="908">
        <f>DwellingStocks!L36/1000</f>
        <v>9.7924474391647536</v>
      </c>
      <c r="K66" s="908">
        <f>DwellingStocks!O36/1000</f>
        <v>0.23578354557293413</v>
      </c>
      <c r="L66" s="908">
        <f>DwellingStocks!R36/1000</f>
        <v>6.9593417923169199E-2</v>
      </c>
      <c r="M66" s="908">
        <f>DwellingStocks!U36/1000</f>
        <v>0.11285118919895011</v>
      </c>
      <c r="N66" s="908">
        <f>DwellingStocks!X36/1000</f>
        <v>7.1706581523280841E-3</v>
      </c>
      <c r="O66" s="908">
        <f>DwellingStocks!AA36/1000</f>
        <v>0.21858011363682037</v>
      </c>
      <c r="P66" s="908">
        <f>DwellingStocks!AD36/1000</f>
        <v>0.36903737761241701</v>
      </c>
      <c r="Q66" s="908">
        <f>DwellingStocks!AG36/1000</f>
        <v>2.0501788054471191E-2</v>
      </c>
      <c r="R66" s="908">
        <f>DwellingStocks!AJ36/1000</f>
        <v>0.16743433550006739</v>
      </c>
      <c r="S66" s="908">
        <f>DwellingStocks!AM36/1000</f>
        <v>5.043189633840002E-2</v>
      </c>
      <c r="T66" s="908">
        <f>DwellingStocks!AP36/1000</f>
        <v>0.28546472054022848</v>
      </c>
      <c r="U66" s="908">
        <f>DwellingStocks!AS36/1000</f>
        <v>4.3718234741402517E-2</v>
      </c>
      <c r="V66" s="908">
        <f>DwellingStocks!AV36/1000</f>
        <v>1.6642476076064439</v>
      </c>
      <c r="W66" s="908">
        <f>DwellingStocks!AY36/1000</f>
        <v>6.0149148387095529E-2</v>
      </c>
      <c r="X66" s="908">
        <f>DwellingStocks!BB36/1000</f>
        <v>0.21009942460956402</v>
      </c>
      <c r="Y66" s="908">
        <f>DwellingStocks!BE36/1000</f>
        <v>1.872696514031599E-2</v>
      </c>
      <c r="Z66" s="908">
        <f>DwellingStocks!BH36/1000</f>
        <v>4.4427970840378861E-2</v>
      </c>
      <c r="AA66" s="908">
        <f>DwellingStocks!BK36/1000</f>
        <v>0.27491962778437246</v>
      </c>
      <c r="AB66" s="908">
        <f>DwellingStocks!BN36/1000</f>
        <v>8.1657758272971216E-3</v>
      </c>
      <c r="AC66" s="908">
        <f>DwellingStocks!BQ36/1000</f>
        <v>4.9571594049610555E-2</v>
      </c>
      <c r="AD66" s="908">
        <f>DwellingStocks!BT36/1000</f>
        <v>1.15166974613897E-2</v>
      </c>
      <c r="AE66" s="908">
        <f>DwellingStocks!BW36/1000</f>
        <v>3.8625471732132266E-2</v>
      </c>
      <c r="AF66" s="908">
        <f>DwellingStocks!BZ36/1000</f>
        <v>4.2282299897716973E-2</v>
      </c>
      <c r="AG66" s="908">
        <f>DwellingStocks!CC36/1000</f>
        <v>0.12792991982499607</v>
      </c>
      <c r="AH66" s="908">
        <f>DwellingStocks!CF36/1000</f>
        <v>4.507734684667692E-2</v>
      </c>
      <c r="AI66" s="908">
        <v>1</v>
      </c>
      <c r="AJ66" s="906">
        <v>100</v>
      </c>
      <c r="AK66" s="906">
        <v>1</v>
      </c>
      <c r="AL66" s="1014">
        <f>AN66</f>
        <v>1.2166747700483043E-2</v>
      </c>
      <c r="AM66" s="1216"/>
      <c r="AN66" s="1095">
        <f>ABS(BR42*DwellingStocks!W20*(1+$AO$103))</f>
        <v>1.2166747700483043E-2</v>
      </c>
      <c r="AO66" s="1096">
        <f>AN66*H66</f>
        <v>0.17008406561362027</v>
      </c>
      <c r="AP66" s="1097"/>
      <c r="AQ66" s="1098"/>
      <c r="AR66" s="1096"/>
      <c r="AS66" s="1098"/>
      <c r="AT66" s="1103"/>
      <c r="AU66" s="1098"/>
      <c r="AW66" s="1115"/>
      <c r="AX66" s="1115"/>
      <c r="AY66" s="1115"/>
      <c r="AZ66" s="1115"/>
      <c r="BA66" s="1115"/>
      <c r="BB66" s="80"/>
      <c r="BC66" s="80"/>
      <c r="BD66" s="80"/>
    </row>
    <row r="67" spans="2:73" ht="21.75" customHeight="1" thickBot="1">
      <c r="B67" s="1202"/>
      <c r="C67" s="490"/>
      <c r="D67" s="489"/>
      <c r="E67" s="489"/>
      <c r="F67" s="1018" t="s">
        <v>944</v>
      </c>
      <c r="G67" s="489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489"/>
      <c r="AK67" s="489"/>
      <c r="AL67" s="1017">
        <v>0</v>
      </c>
      <c r="AM67" s="1216"/>
      <c r="AN67" s="1077"/>
      <c r="AO67" s="1074"/>
      <c r="AP67" s="1081"/>
      <c r="AQ67" s="1078"/>
      <c r="AR67" s="1074"/>
      <c r="AS67" s="1078"/>
      <c r="AT67" s="1102"/>
      <c r="AU67" s="1078"/>
      <c r="AW67" s="1115"/>
      <c r="AX67" s="1115"/>
      <c r="AY67" s="1115"/>
      <c r="AZ67" s="1115"/>
      <c r="BA67" s="1115"/>
      <c r="BB67" s="80"/>
      <c r="BC67" s="80"/>
      <c r="BD67" s="80"/>
      <c r="BF67" s="1265" t="s">
        <v>46</v>
      </c>
      <c r="BG67" s="1266" t="s">
        <v>46</v>
      </c>
      <c r="BH67" s="1266" t="s">
        <v>46</v>
      </c>
      <c r="BI67" s="1266" t="s">
        <v>46</v>
      </c>
      <c r="BJ67" s="1266" t="s">
        <v>46</v>
      </c>
      <c r="BK67" s="1266" t="s">
        <v>46</v>
      </c>
      <c r="BL67" s="1266" t="s">
        <v>46</v>
      </c>
      <c r="BM67" s="1266" t="s">
        <v>46</v>
      </c>
      <c r="BN67" s="1266" t="s">
        <v>46</v>
      </c>
      <c r="BO67" s="1266" t="s">
        <v>46</v>
      </c>
      <c r="BP67" s="1266" t="s">
        <v>46</v>
      </c>
      <c r="BQ67" s="1266"/>
      <c r="BR67" s="1263" t="s">
        <v>888</v>
      </c>
      <c r="BS67" s="1264"/>
      <c r="BT67" s="1264"/>
      <c r="BU67" s="1264"/>
    </row>
    <row r="68" spans="2:73" ht="15" customHeight="1">
      <c r="B68" s="1202"/>
      <c r="C68" s="328"/>
      <c r="D68" s="328"/>
      <c r="E68" s="328"/>
      <c r="F68" s="417" t="s">
        <v>945</v>
      </c>
      <c r="G68" s="328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328"/>
      <c r="AK68" s="328"/>
      <c r="AL68" s="1021">
        <f>AP68</f>
        <v>1.2048360050377167E-2</v>
      </c>
      <c r="AM68" s="1216"/>
      <c r="AN68" s="1077"/>
      <c r="AO68" s="1074"/>
      <c r="AP68" s="1081">
        <f>BS42*(1+AQ103)</f>
        <v>1.2048360050377167E-2</v>
      </c>
      <c r="AQ68" s="1078">
        <f>AP68*H66</f>
        <v>0.16842907503239446</v>
      </c>
      <c r="AR68" s="1074"/>
      <c r="AS68" s="1078"/>
      <c r="AT68" s="1102"/>
      <c r="AU68" s="1078"/>
      <c r="AW68" s="1115"/>
      <c r="AX68" s="1115"/>
      <c r="AY68" s="1115"/>
      <c r="AZ68" s="1115"/>
      <c r="BA68" s="1115"/>
      <c r="BB68" s="80"/>
      <c r="BC68" s="80"/>
      <c r="BD68" s="80"/>
      <c r="BF68" s="1151" t="s">
        <v>285</v>
      </c>
      <c r="BG68" s="1152" t="s">
        <v>394</v>
      </c>
      <c r="BH68" s="1152" t="s">
        <v>395</v>
      </c>
      <c r="BI68" s="1153" t="s">
        <v>883</v>
      </c>
      <c r="BJ68" s="1151" t="s">
        <v>884</v>
      </c>
      <c r="BK68" s="1151" t="s">
        <v>885</v>
      </c>
      <c r="BL68" s="1152" t="s">
        <v>413</v>
      </c>
      <c r="BM68" s="1152" t="s">
        <v>882</v>
      </c>
      <c r="BN68" s="1153" t="s">
        <v>886</v>
      </c>
      <c r="BO68" s="1151" t="s">
        <v>887</v>
      </c>
      <c r="BP68" s="1152" t="s">
        <v>216</v>
      </c>
      <c r="BQ68" s="1154"/>
      <c r="BR68" s="1157" t="s">
        <v>217</v>
      </c>
      <c r="BS68" s="1157" t="s">
        <v>881</v>
      </c>
      <c r="BT68" s="1157" t="s">
        <v>219</v>
      </c>
      <c r="BU68" s="1157" t="s">
        <v>882</v>
      </c>
    </row>
    <row r="69" spans="2:73" ht="12.75" customHeight="1">
      <c r="B69" s="1202"/>
      <c r="C69" s="490"/>
      <c r="D69" s="489"/>
      <c r="E69" s="489"/>
      <c r="F69" s="1018" t="s">
        <v>946</v>
      </c>
      <c r="G69" s="489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489"/>
      <c r="AK69" s="489"/>
      <c r="AL69" s="1017">
        <f>AR69</f>
        <v>7.4416861940029063E-4</v>
      </c>
      <c r="AM69" s="1216"/>
      <c r="AN69" s="1077"/>
      <c r="AO69" s="1074"/>
      <c r="AP69" s="1081"/>
      <c r="AQ69" s="1078"/>
      <c r="AR69" s="1074">
        <f>BT42*(1+AS103)</f>
        <v>7.4416861940029063E-4</v>
      </c>
      <c r="AS69" s="1078">
        <f>AR69*H66</f>
        <v>1.0403045037635745E-2</v>
      </c>
      <c r="AT69" s="1102"/>
      <c r="AU69" s="1078"/>
      <c r="AW69" s="1115"/>
      <c r="AX69" s="1115"/>
      <c r="AY69" s="1115"/>
      <c r="AZ69" s="1115"/>
      <c r="BA69" s="1115"/>
      <c r="BB69" s="80"/>
      <c r="BC69" s="80"/>
      <c r="BD69" s="80"/>
      <c r="BF69" s="1147" t="s">
        <v>48</v>
      </c>
      <c r="BG69" s="1148">
        <v>9878</v>
      </c>
      <c r="BH69" s="1148">
        <v>1991423</v>
      </c>
      <c r="BI69" s="1148">
        <v>56</v>
      </c>
      <c r="BJ69" s="1149">
        <v>13716437</v>
      </c>
      <c r="BK69" s="1147">
        <v>3262341</v>
      </c>
      <c r="BL69" s="1148">
        <v>9675611</v>
      </c>
      <c r="BM69" s="1148">
        <v>5049453</v>
      </c>
      <c r="BN69" s="1148">
        <v>24601800</v>
      </c>
      <c r="BO69" s="1148">
        <v>27044</v>
      </c>
      <c r="BP69" s="1148">
        <v>56332686</v>
      </c>
      <c r="BQ69" s="1148">
        <f>DwellingStocks!Q19</f>
        <v>37364.451209178158</v>
      </c>
      <c r="BR69" s="1150">
        <f>((BQ69/BG69)*$BI$18*(BJ69+BK69)*0.0000000036)/(BQ69/1000)</f>
        <v>4.4121765529699531E-3</v>
      </c>
      <c r="BS69" s="1150">
        <f>((BQ69/BG69)*(BN69+BO69)*0.0000000036)/(BQ69/1000)</f>
        <v>8.9758896942700953E-3</v>
      </c>
      <c r="BT69" s="1150">
        <f>((BQ69/BG69)*(BL69)*0.0000000036)/(BQ69/1000)</f>
        <v>3.5262400890868602E-3</v>
      </c>
      <c r="BU69" s="1150">
        <f>((BQ69/BG69)*(BM69)*0.0000000036)/(BQ69/1000)</f>
        <v>1.8402541810083012E-3</v>
      </c>
    </row>
    <row r="70" spans="2:73" ht="13.5" customHeight="1" thickBot="1">
      <c r="B70" s="1202"/>
      <c r="C70" s="909"/>
      <c r="D70" s="909"/>
      <c r="E70" s="909"/>
      <c r="F70" s="1023" t="s">
        <v>947</v>
      </c>
      <c r="G70" s="909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09"/>
      <c r="AK70" s="909"/>
      <c r="AL70" s="1022">
        <f>AT70</f>
        <v>3.4196449508065778E-4</v>
      </c>
      <c r="AM70" s="1216"/>
      <c r="AN70" s="1099"/>
      <c r="AO70" s="1079"/>
      <c r="AP70" s="1100"/>
      <c r="AQ70" s="1080"/>
      <c r="AR70" s="1079"/>
      <c r="AS70" s="1080"/>
      <c r="AT70" s="1101">
        <f>BU42*(1+AU103)</f>
        <v>3.4196449508065778E-4</v>
      </c>
      <c r="AU70" s="1080">
        <f>AT70*H66</f>
        <v>4.7804650059866003E-3</v>
      </c>
      <c r="AW70" s="1115"/>
      <c r="AX70" s="1115"/>
      <c r="AY70" s="1115"/>
      <c r="AZ70" s="1115"/>
      <c r="BA70" s="1115"/>
      <c r="BB70" s="80"/>
      <c r="BC70" s="80"/>
      <c r="BD70" s="80"/>
      <c r="BF70" s="1143" t="s">
        <v>50</v>
      </c>
      <c r="BG70" s="1144">
        <v>3037</v>
      </c>
      <c r="BH70" s="1144">
        <v>692326</v>
      </c>
      <c r="BI70" s="1144">
        <v>90</v>
      </c>
      <c r="BJ70" s="1145">
        <v>22749646</v>
      </c>
      <c r="BK70" s="1143">
        <v>5977566</v>
      </c>
      <c r="BL70" s="1144">
        <v>3970604</v>
      </c>
      <c r="BM70" s="1144">
        <v>1113600</v>
      </c>
      <c r="BN70" s="1144">
        <v>10038678</v>
      </c>
      <c r="BO70" s="1144">
        <v>61317</v>
      </c>
      <c r="BP70" s="1144">
        <v>43911412</v>
      </c>
      <c r="BQ70" s="1148">
        <f>DwellingStocks!Q20</f>
        <v>8186.7925913057998</v>
      </c>
      <c r="BR70" s="1146">
        <f t="shared" ref="BR70:BR77" si="25">((BQ70/BG70)*$BI$18*(BJ70+BK70)*0.0000000036)/(BQ70/1000)</f>
        <v>2.4280865417312329E-2</v>
      </c>
      <c r="BS70" s="1146">
        <f t="shared" ref="BS70:BS77" si="26">((BQ70/BG70)*(BN70+BO70)*0.0000000036)/(BQ70/1000)</f>
        <v>1.1972335199209747E-2</v>
      </c>
      <c r="BT70" s="1146">
        <f t="shared" ref="BT70:BT77" si="27">((BQ70/BG70)*(BL70)*0.0000000036)/(BQ70/1000)</f>
        <v>4.7066757984853477E-3</v>
      </c>
      <c r="BU70" s="1146">
        <f t="shared" ref="BU70:BU77" si="28">((BQ70/BG70)*(BM70)*0.0000000036)/(BQ70/1000)</f>
        <v>1.3200395126769838E-3</v>
      </c>
    </row>
    <row r="71" spans="2:73" ht="12.75" customHeight="1">
      <c r="B71" s="1202"/>
      <c r="C71" s="905" t="str">
        <f>AY18</f>
        <v>R-BLD_Apt_B3</v>
      </c>
      <c r="D71" s="906" t="str">
        <f>AZ18</f>
        <v>Residential Building Apartment _ B3</v>
      </c>
      <c r="E71" s="906">
        <v>2018</v>
      </c>
      <c r="F71" s="905" t="str">
        <f>COMM!O9</f>
        <v>RSDSH_Apt-AB</v>
      </c>
      <c r="G71" s="906" t="s">
        <v>943</v>
      </c>
      <c r="H71" s="908">
        <f>BG11/1000</f>
        <v>21.709861534875809</v>
      </c>
      <c r="I71" s="908">
        <f>DwellingStocks!I37/1000</f>
        <v>7.4651979185015122E-2</v>
      </c>
      <c r="J71" s="908">
        <f>DwellingStocks!L37/1000</f>
        <v>14.102515190964864</v>
      </c>
      <c r="K71" s="908">
        <f>DwellingStocks!O37/1000</f>
        <v>0.66194047238623732</v>
      </c>
      <c r="L71" s="908">
        <f>DwellingStocks!R37/1000</f>
        <v>0.15907066953867244</v>
      </c>
      <c r="M71" s="908">
        <f>DwellingStocks!U37/1000</f>
        <v>0.15373930122755522</v>
      </c>
      <c r="N71" s="908">
        <f>DwellingStocks!X37/1000</f>
        <v>1.4341316304656168E-2</v>
      </c>
      <c r="O71" s="908">
        <f>DwellingStocks!AA37/1000</f>
        <v>0.36612169034167408</v>
      </c>
      <c r="P71" s="908">
        <f>DwellingStocks!AD37/1000</f>
        <v>0.64712715505494922</v>
      </c>
      <c r="Q71" s="908">
        <f>DwellingStocks!AG37/1000</f>
        <v>6.4659485402562999E-2</v>
      </c>
      <c r="R71" s="908">
        <f>DwellingStocks!AJ37/1000</f>
        <v>0.23786306392469894</v>
      </c>
      <c r="S71" s="908">
        <f>DwellingStocks!AM37/1000</f>
        <v>0.1365351339893269</v>
      </c>
      <c r="T71" s="908">
        <f>DwellingStocks!AP37/1000</f>
        <v>0.5394171018000421</v>
      </c>
      <c r="U71" s="908">
        <f>DwellingStocks!AS37/1000</f>
        <v>0.18001626069989271</v>
      </c>
      <c r="V71" s="908">
        <f>DwellingStocks!AV37/1000</f>
        <v>2.3902290372147075</v>
      </c>
      <c r="W71" s="908">
        <f>DwellingStocks!AY37/1000</f>
        <v>0.16791637258064168</v>
      </c>
      <c r="X71" s="908">
        <f>DwellingStocks!BB37/1000</f>
        <v>0.48184478817642523</v>
      </c>
      <c r="Y71" s="908">
        <f>DwellingStocks!BE37/1000</f>
        <v>7.3035164047232357E-2</v>
      </c>
      <c r="Z71" s="908">
        <f>DwellingStocks!BH37/1000</f>
        <v>0.14029885528540695</v>
      </c>
      <c r="AA71" s="908">
        <f>DwellingStocks!BK37/1000</f>
        <v>0.57483194900368784</v>
      </c>
      <c r="AB71" s="908">
        <f>DwellingStocks!BN37/1000</f>
        <v>1.3269385719357823E-2</v>
      </c>
      <c r="AC71" s="908">
        <f>DwellingStocks!BQ37/1000</f>
        <v>9.2258244481219637E-2</v>
      </c>
      <c r="AD71" s="908">
        <f>DwellingStocks!BT37/1000</f>
        <v>2.30333949227794E-2</v>
      </c>
      <c r="AE71" s="908">
        <f>DwellingStocks!BW37/1000</f>
        <v>0.10183078911198506</v>
      </c>
      <c r="AF71" s="908">
        <f>DwellingStocks!BZ37/1000</f>
        <v>8.879282978520564E-2</v>
      </c>
      <c r="AG71" s="908">
        <f>DwellingStocks!CC37/1000</f>
        <v>0.15420124264620061</v>
      </c>
      <c r="AH71" s="908">
        <f>DwellingStocks!CF37/1000</f>
        <v>7.0320661080815999E-2</v>
      </c>
      <c r="AI71" s="908">
        <v>1</v>
      </c>
      <c r="AJ71" s="906">
        <v>100</v>
      </c>
      <c r="AK71" s="906">
        <v>1</v>
      </c>
      <c r="AL71" s="1014">
        <f>AN71</f>
        <v>1.6418108098423905E-2</v>
      </c>
      <c r="AM71" s="1216"/>
      <c r="AN71" s="1095">
        <f>ABS(BR43*DwellingStocks!W21*(1+$AO$103))</f>
        <v>1.6418108098423905E-2</v>
      </c>
      <c r="AO71" s="1096">
        <f>AN71*H71</f>
        <v>0.35643485348140613</v>
      </c>
      <c r="AP71" s="1081"/>
      <c r="AQ71" s="1078"/>
      <c r="AR71" s="1074"/>
      <c r="AS71" s="1078"/>
      <c r="AT71" s="1102"/>
      <c r="AU71" s="1078"/>
      <c r="AW71" s="1115"/>
      <c r="AX71" s="1115"/>
      <c r="AY71" s="1115"/>
      <c r="AZ71" s="1115"/>
      <c r="BA71" s="1115"/>
      <c r="BB71" s="80"/>
      <c r="BC71" s="80"/>
      <c r="BD71" s="80"/>
      <c r="BF71" s="1147" t="s">
        <v>52</v>
      </c>
      <c r="BG71" s="1148">
        <v>7052</v>
      </c>
      <c r="BH71" s="1148">
        <v>1571662</v>
      </c>
      <c r="BI71" s="1148">
        <v>116</v>
      </c>
      <c r="BJ71" s="1149">
        <v>86989542</v>
      </c>
      <c r="BK71" s="1147">
        <v>19534310</v>
      </c>
      <c r="BL71" s="1148">
        <v>10452701</v>
      </c>
      <c r="BM71" s="1148">
        <v>2036694</v>
      </c>
      <c r="BN71" s="1148">
        <v>30584513</v>
      </c>
      <c r="BO71" s="1148">
        <v>335555</v>
      </c>
      <c r="BP71" s="1148">
        <v>149933315</v>
      </c>
      <c r="BQ71" s="1148">
        <f>DwellingStocks!Q21</f>
        <v>18974.694526816245</v>
      </c>
      <c r="BR71" s="1150">
        <f t="shared" si="25"/>
        <v>3.8774841677784139E-2</v>
      </c>
      <c r="BS71" s="1150">
        <f t="shared" si="26"/>
        <v>1.5784493023255814E-2</v>
      </c>
      <c r="BT71" s="1150">
        <f t="shared" si="27"/>
        <v>5.3360356778218944E-3</v>
      </c>
      <c r="BU71" s="1150">
        <f t="shared" si="28"/>
        <v>1.0397190017016448E-3</v>
      </c>
    </row>
    <row r="72" spans="2:73" ht="15" customHeight="1">
      <c r="B72" s="1202"/>
      <c r="C72" s="490"/>
      <c r="D72" s="489"/>
      <c r="E72" s="489"/>
      <c r="F72" s="1018" t="s">
        <v>944</v>
      </c>
      <c r="G72" s="489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489"/>
      <c r="AK72" s="489"/>
      <c r="AL72" s="1017">
        <v>0</v>
      </c>
      <c r="AM72" s="1216"/>
      <c r="AN72" s="1077"/>
      <c r="AO72" s="1074"/>
      <c r="AP72" s="1081"/>
      <c r="AQ72" s="1078"/>
      <c r="AR72" s="1074"/>
      <c r="AS72" s="1078"/>
      <c r="AT72" s="1102"/>
      <c r="AU72" s="1078"/>
      <c r="AW72" s="1115"/>
      <c r="AX72" s="1115"/>
      <c r="AY72" s="1115"/>
      <c r="AZ72" s="1115"/>
      <c r="BA72" s="1115"/>
      <c r="BB72" s="80"/>
      <c r="BC72" s="80"/>
      <c r="BD72" s="80"/>
      <c r="BF72" s="1143" t="s">
        <v>54</v>
      </c>
      <c r="BG72" s="1144">
        <v>20170</v>
      </c>
      <c r="BH72" s="1144">
        <v>4035093</v>
      </c>
      <c r="BI72" s="1144">
        <v>140</v>
      </c>
      <c r="BJ72" s="1145">
        <v>290547340</v>
      </c>
      <c r="BK72" s="1143">
        <v>61564028</v>
      </c>
      <c r="BL72" s="1144">
        <v>29255723</v>
      </c>
      <c r="BM72" s="1144">
        <v>5060356</v>
      </c>
      <c r="BN72" s="1144">
        <v>97781386</v>
      </c>
      <c r="BO72" s="1144">
        <v>2214559</v>
      </c>
      <c r="BP72" s="1144">
        <v>486423392</v>
      </c>
      <c r="BQ72" s="1148">
        <f>DwellingStocks!Q22</f>
        <v>54549.088898874157</v>
      </c>
      <c r="BR72" s="1146">
        <f t="shared" si="25"/>
        <v>4.4811514564724694E-2</v>
      </c>
      <c r="BS72" s="1146">
        <f t="shared" si="26"/>
        <v>1.7847565790778383E-2</v>
      </c>
      <c r="BT72" s="1146">
        <f t="shared" si="27"/>
        <v>5.2216461477441753E-3</v>
      </c>
      <c r="BU72" s="1146">
        <f t="shared" si="28"/>
        <v>9.0318699058006941E-4</v>
      </c>
    </row>
    <row r="73" spans="2:73" ht="12.75" customHeight="1">
      <c r="B73" s="1202"/>
      <c r="C73" s="328"/>
      <c r="D73" s="328"/>
      <c r="E73" s="328"/>
      <c r="F73" s="417" t="s">
        <v>945</v>
      </c>
      <c r="G73" s="328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328"/>
      <c r="AK73" s="328"/>
      <c r="AL73" s="1021">
        <f>AP73</f>
        <v>1.3442403317371149E-2</v>
      </c>
      <c r="AN73" s="1077"/>
      <c r="AO73" s="1074"/>
      <c r="AP73" s="1081">
        <f>BS43*(1+AQ103)</f>
        <v>1.3442403317371149E-2</v>
      </c>
      <c r="AQ73" s="1078">
        <f>AP73*H71</f>
        <v>0.29183271471608291</v>
      </c>
      <c r="AR73" s="1074"/>
      <c r="AS73" s="1078"/>
      <c r="AT73" s="1102"/>
      <c r="AU73" s="1078"/>
      <c r="AW73" s="1115"/>
      <c r="AX73" s="1115"/>
      <c r="AY73" s="1115"/>
      <c r="AZ73" s="1115"/>
      <c r="BA73" s="1115"/>
      <c r="BB73" s="80"/>
      <c r="BC73" s="80"/>
      <c r="BD73" s="80"/>
      <c r="BF73" s="1147" t="s">
        <v>56</v>
      </c>
      <c r="BG73" s="1148">
        <v>97809</v>
      </c>
      <c r="BH73" s="1148">
        <v>15963699</v>
      </c>
      <c r="BI73" s="1148">
        <v>190</v>
      </c>
      <c r="BJ73" s="1149">
        <v>1583953290</v>
      </c>
      <c r="BK73" s="1147">
        <v>349776746</v>
      </c>
      <c r="BL73" s="1148">
        <v>123191330</v>
      </c>
      <c r="BM73" s="1148">
        <v>22728444</v>
      </c>
      <c r="BN73" s="1148">
        <v>482729805</v>
      </c>
      <c r="BO73" s="1148">
        <v>34494676</v>
      </c>
      <c r="BP73" s="1148">
        <v>2596874291</v>
      </c>
      <c r="BQ73" s="1148">
        <f>DwellingStocks!Q23</f>
        <v>264765.40185365622</v>
      </c>
      <c r="BR73" s="1150">
        <f t="shared" si="25"/>
        <v>5.0749585402518643E-2</v>
      </c>
      <c r="BS73" s="1150">
        <f t="shared" si="26"/>
        <v>1.9037186062632272E-2</v>
      </c>
      <c r="BT73" s="1150">
        <f t="shared" si="27"/>
        <v>4.5342329233506121E-3</v>
      </c>
      <c r="BU73" s="1150">
        <f t="shared" si="28"/>
        <v>8.3655285709904003E-4</v>
      </c>
    </row>
    <row r="74" spans="2:73" ht="12.75" customHeight="1">
      <c r="B74" s="1202"/>
      <c r="C74" s="490"/>
      <c r="D74" s="489"/>
      <c r="E74" s="489"/>
      <c r="F74" s="1018" t="s">
        <v>946</v>
      </c>
      <c r="G74" s="489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489"/>
      <c r="AK74" s="489"/>
      <c r="AL74" s="1017">
        <f>AR74</f>
        <v>7.4485742381695497E-4</v>
      </c>
      <c r="AN74" s="1077"/>
      <c r="AO74" s="1074"/>
      <c r="AP74" s="1081"/>
      <c r="AQ74" s="1078"/>
      <c r="AR74" s="1074">
        <f>BT43*(1+AS103)</f>
        <v>7.4485742381695497E-4</v>
      </c>
      <c r="AS74" s="1078">
        <f>AR74*H71</f>
        <v>1.6170751534290401E-2</v>
      </c>
      <c r="AT74" s="1102"/>
      <c r="AU74" s="1078"/>
      <c r="AW74" s="1115"/>
      <c r="AX74" s="1115"/>
      <c r="AY74" s="1115"/>
      <c r="AZ74" s="1115"/>
      <c r="BA74" s="1115"/>
      <c r="BB74" s="80"/>
      <c r="BC74" s="80"/>
      <c r="BD74" s="80"/>
      <c r="BF74" s="1143" t="s">
        <v>58</v>
      </c>
      <c r="BG74" s="1144">
        <v>61656</v>
      </c>
      <c r="BH74" s="1144">
        <v>8178706</v>
      </c>
      <c r="BI74" s="1144">
        <v>261</v>
      </c>
      <c r="BJ74" s="1145">
        <v>1135038941</v>
      </c>
      <c r="BK74" s="1143">
        <v>241598273</v>
      </c>
      <c r="BL74" s="1144">
        <v>63509736</v>
      </c>
      <c r="BM74" s="1144">
        <v>13917755</v>
      </c>
      <c r="BN74" s="1144">
        <v>295162090</v>
      </c>
      <c r="BO74" s="1144">
        <v>34670143</v>
      </c>
      <c r="BP74" s="1144">
        <v>1783896938</v>
      </c>
      <c r="BQ74" s="1148">
        <f>DwellingStocks!Q24</f>
        <v>166984.19754801539</v>
      </c>
      <c r="BR74" s="1146">
        <f t="shared" si="25"/>
        <v>5.7313856737701986E-2</v>
      </c>
      <c r="BS74" s="1146">
        <f t="shared" si="26"/>
        <v>1.9258402082522379E-2</v>
      </c>
      <c r="BT74" s="1146">
        <f t="shared" si="27"/>
        <v>3.708236823666796E-3</v>
      </c>
      <c r="BU74" s="1146">
        <f t="shared" si="28"/>
        <v>8.1263653172440641E-4</v>
      </c>
    </row>
    <row r="75" spans="2:73" ht="13.5" customHeight="1" thickBot="1">
      <c r="B75" s="1202"/>
      <c r="C75" s="909"/>
      <c r="D75" s="909"/>
      <c r="E75" s="909"/>
      <c r="F75" s="1023" t="s">
        <v>947</v>
      </c>
      <c r="G75" s="909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09"/>
      <c r="AK75" s="909"/>
      <c r="AL75" s="1022">
        <f>AT75</f>
        <v>3.1679340696157214E-4</v>
      </c>
      <c r="AN75" s="1077"/>
      <c r="AO75" s="1074"/>
      <c r="AP75" s="1081"/>
      <c r="AQ75" s="1078"/>
      <c r="AR75" s="1074"/>
      <c r="AS75" s="1078"/>
      <c r="AT75" s="1102">
        <f>BU43*(1+AU103)</f>
        <v>3.1679340696157214E-4</v>
      </c>
      <c r="AU75" s="1078">
        <f>AT75*H71</f>
        <v>6.8775410002972935E-3</v>
      </c>
      <c r="AW75" s="1115"/>
      <c r="AX75" s="1115"/>
      <c r="AY75" s="1115"/>
      <c r="AZ75" s="1115"/>
      <c r="BA75" s="1115"/>
      <c r="BB75" s="80"/>
      <c r="BC75" s="80"/>
      <c r="BD75" s="80"/>
      <c r="BF75" s="1147" t="s">
        <v>60</v>
      </c>
      <c r="BG75" s="1148">
        <v>27666</v>
      </c>
      <c r="BH75" s="1148">
        <v>3361294</v>
      </c>
      <c r="BI75" s="1148">
        <v>338</v>
      </c>
      <c r="BJ75" s="1149">
        <v>635462499</v>
      </c>
      <c r="BK75" s="1147">
        <v>126446130</v>
      </c>
      <c r="BL75" s="1148">
        <v>26318437</v>
      </c>
      <c r="BM75" s="1148">
        <v>5835533</v>
      </c>
      <c r="BN75" s="1148">
        <v>131872106</v>
      </c>
      <c r="BO75" s="1148">
        <v>16624373</v>
      </c>
      <c r="BP75" s="1148">
        <v>942559078</v>
      </c>
      <c r="BQ75" s="1148">
        <f>DwellingStocks!Q25</f>
        <v>74836.881491341002</v>
      </c>
      <c r="BR75" s="1150">
        <f t="shared" si="25"/>
        <v>7.0692280806327043E-2</v>
      </c>
      <c r="BS75" s="1150">
        <f t="shared" si="26"/>
        <v>1.9322899024072866E-2</v>
      </c>
      <c r="BT75" s="1150">
        <f t="shared" si="27"/>
        <v>3.4246502277163302E-3</v>
      </c>
      <c r="BU75" s="1150">
        <f t="shared" si="28"/>
        <v>7.5934066363044894E-4</v>
      </c>
    </row>
    <row r="76" spans="2:73" ht="12.75" customHeight="1">
      <c r="B76" s="1202"/>
      <c r="C76" s="905" t="str">
        <f>AY19</f>
        <v>R-BLD_Apt_C</v>
      </c>
      <c r="D76" s="906" t="str">
        <f>AZ19</f>
        <v>Residential Building Apartment _ C</v>
      </c>
      <c r="E76" s="906">
        <v>2018</v>
      </c>
      <c r="F76" s="905" t="str">
        <f>COMM!O12</f>
        <v>RSDSH_Apt-C</v>
      </c>
      <c r="G76" s="906" t="s">
        <v>943</v>
      </c>
      <c r="H76" s="908">
        <f>BG12/1000</f>
        <v>71.167091754613168</v>
      </c>
      <c r="I76" s="908">
        <f>DwellingStocks!I38/1000</f>
        <v>0.49057014893009931</v>
      </c>
      <c r="J76" s="908">
        <f>DwellingStocks!L38/1000</f>
        <v>41.002769011842538</v>
      </c>
      <c r="K76" s="908">
        <f>DwellingStocks!O38/1000</f>
        <v>2.9411814129246006</v>
      </c>
      <c r="L76" s="908">
        <f>DwellingStocks!R38/1000</f>
        <v>0.72244595748813734</v>
      </c>
      <c r="M76" s="908">
        <f>DwellingStocks!U38/1000</f>
        <v>0.46612447712609828</v>
      </c>
      <c r="N76" s="908">
        <f>DwellingStocks!X38/1000</f>
        <v>0.19002244103669425</v>
      </c>
      <c r="O76" s="908">
        <f>DwellingStocks!AA38/1000</f>
        <v>1.203556750712742</v>
      </c>
      <c r="P76" s="908">
        <f>DwellingStocks!AD38/1000</f>
        <v>2.2946779119786305</v>
      </c>
      <c r="Q76" s="908">
        <f>DwellingStocks!AG38/1000</f>
        <v>0.32172036639324025</v>
      </c>
      <c r="R76" s="908">
        <f>DwellingStocks!AJ38/1000</f>
        <v>0.87570815154400328</v>
      </c>
      <c r="S76" s="908">
        <f>DwellingStocks!AM38/1000</f>
        <v>0.73556765878934671</v>
      </c>
      <c r="T76" s="908">
        <f>DwellingStocks!AP38/1000</f>
        <v>1.5515192928063066</v>
      </c>
      <c r="U76" s="908">
        <f>DwellingStocks!AS38/1000</f>
        <v>0.76635493840811475</v>
      </c>
      <c r="V76" s="908">
        <f>DwellingStocks!AV38/1000</f>
        <v>5.8224358852287761</v>
      </c>
      <c r="W76" s="908">
        <f>DwellingStocks!AY38/1000</f>
        <v>0.97617055403223785</v>
      </c>
      <c r="X76" s="908">
        <f>DwellingStocks!BB38/1000</f>
        <v>3.2823317293793561</v>
      </c>
      <c r="Y76" s="908">
        <f>DwellingStocks!BE38/1000</f>
        <v>0.47191952153596295</v>
      </c>
      <c r="Z76" s="908">
        <f>DwellingStocks!BH38/1000</f>
        <v>0.97741535848833505</v>
      </c>
      <c r="AA76" s="908">
        <f>DwellingStocks!BK38/1000</f>
        <v>3.04910859906304</v>
      </c>
      <c r="AB76" s="908">
        <f>DwellingStocks!BN38/1000</f>
        <v>0.19904078579036732</v>
      </c>
      <c r="AC76" s="908">
        <f>DwellingStocks!BQ38/1000</f>
        <v>0.6361687903033354</v>
      </c>
      <c r="AD76" s="908">
        <f>DwellingStocks!BT38/1000</f>
        <v>0.21241908651007671</v>
      </c>
      <c r="AE76" s="908">
        <f>DwellingStocks!BW38/1000</f>
        <v>0.43453655698648802</v>
      </c>
      <c r="AF76" s="908">
        <f>DwellingStocks!BZ38/1000</f>
        <v>0.36785600911013766</v>
      </c>
      <c r="AG76" s="908">
        <f>DwellingStocks!CC38/1000</f>
        <v>0.8977939016289902</v>
      </c>
      <c r="AH76" s="908">
        <f>DwellingStocks!CF38/1000</f>
        <v>0.27767645657552981</v>
      </c>
      <c r="AI76" s="908">
        <v>1</v>
      </c>
      <c r="AJ76" s="906">
        <v>100</v>
      </c>
      <c r="AK76" s="906">
        <v>1</v>
      </c>
      <c r="AL76" s="1014">
        <f>AN76</f>
        <v>1.1946096966531164E-2</v>
      </c>
      <c r="AN76" s="1095">
        <f>ABS(BR44*DwellingStocks!W22*(1+$AO$103))</f>
        <v>1.1946096966531164E-2</v>
      </c>
      <c r="AO76" s="1096">
        <f>AN76*H76</f>
        <v>0.85016897892662935</v>
      </c>
      <c r="AP76" s="1097"/>
      <c r="AQ76" s="1098"/>
      <c r="AR76" s="1096"/>
      <c r="AS76" s="1098"/>
      <c r="AT76" s="1103"/>
      <c r="AU76" s="1098"/>
      <c r="AW76" s="1115"/>
      <c r="AX76" s="1115"/>
      <c r="AY76" s="1115"/>
      <c r="AZ76" s="1115"/>
      <c r="BA76" s="1115"/>
      <c r="BB76" s="80"/>
      <c r="BC76" s="80"/>
      <c r="BD76" s="80"/>
      <c r="BF76" s="1143" t="s">
        <v>62</v>
      </c>
      <c r="BG76" s="1144">
        <v>13787</v>
      </c>
      <c r="BH76" s="1144">
        <v>1578087</v>
      </c>
      <c r="BI76" s="1144">
        <v>415</v>
      </c>
      <c r="BJ76" s="1145">
        <v>382255989</v>
      </c>
      <c r="BK76" s="1143">
        <v>74341761</v>
      </c>
      <c r="BL76" s="1144">
        <v>12486922</v>
      </c>
      <c r="BM76" s="1144">
        <v>2769697</v>
      </c>
      <c r="BN76" s="1144">
        <v>65705835</v>
      </c>
      <c r="BO76" s="1144">
        <v>8706537</v>
      </c>
      <c r="BP76" s="1144">
        <v>546266742</v>
      </c>
      <c r="BQ76" s="1148">
        <f>DwellingStocks!Q26</f>
        <v>37368.747662299225</v>
      </c>
      <c r="BR76" s="1146">
        <f t="shared" si="25"/>
        <v>8.5011849711289236E-2</v>
      </c>
      <c r="BS76" s="1146">
        <f t="shared" si="26"/>
        <v>1.9430226967433087E-2</v>
      </c>
      <c r="BT76" s="1146">
        <f t="shared" si="27"/>
        <v>3.260529426271125E-3</v>
      </c>
      <c r="BU76" s="1146">
        <f t="shared" si="28"/>
        <v>7.232109378399942E-4</v>
      </c>
    </row>
    <row r="77" spans="2:73">
      <c r="B77" s="1202"/>
      <c r="C77" s="490"/>
      <c r="D77" s="489"/>
      <c r="E77" s="489"/>
      <c r="F77" s="1018" t="s">
        <v>944</v>
      </c>
      <c r="G77" s="489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489"/>
      <c r="AK77" s="489"/>
      <c r="AL77" s="1017">
        <v>0</v>
      </c>
      <c r="AN77" s="1077"/>
      <c r="AO77" s="1074"/>
      <c r="AP77" s="1081"/>
      <c r="AQ77" s="1078"/>
      <c r="AR77" s="1074"/>
      <c r="AS77" s="1078"/>
      <c r="AT77" s="1102"/>
      <c r="AU77" s="1078"/>
      <c r="AW77" s="1115"/>
      <c r="AX77" s="1115"/>
      <c r="AY77" s="1115"/>
      <c r="AZ77" s="1115"/>
      <c r="BA77" s="1115"/>
      <c r="BB77" s="80"/>
      <c r="BC77" s="80"/>
      <c r="BD77" s="80"/>
      <c r="BF77" s="1147" t="s">
        <v>64</v>
      </c>
      <c r="BG77" s="1148">
        <v>24436</v>
      </c>
      <c r="BH77" s="1148">
        <v>2381791</v>
      </c>
      <c r="BI77" s="1148">
        <v>673</v>
      </c>
      <c r="BJ77" s="1149">
        <v>889411987</v>
      </c>
      <c r="BK77" s="1147">
        <v>178556613</v>
      </c>
      <c r="BL77" s="1148">
        <v>19539039</v>
      </c>
      <c r="BM77" s="1148">
        <v>3598598</v>
      </c>
      <c r="BN77" s="1148">
        <v>107615125</v>
      </c>
      <c r="BO77" s="1148">
        <v>12476668</v>
      </c>
      <c r="BP77" s="1148">
        <v>1211198029</v>
      </c>
      <c r="BQ77" s="1148">
        <f>DwellingStocks!Q27</f>
        <v>66469.176419880765</v>
      </c>
      <c r="BR77" s="1150">
        <f t="shared" si="25"/>
        <v>0.11218733764722996</v>
      </c>
      <c r="BS77" s="1150">
        <f t="shared" si="26"/>
        <v>1.769235778359797E-2</v>
      </c>
      <c r="BT77" s="1150">
        <f t="shared" si="27"/>
        <v>2.8785619741365201E-3</v>
      </c>
      <c r="BU77" s="1150">
        <f t="shared" si="28"/>
        <v>5.3015848747749227E-4</v>
      </c>
    </row>
    <row r="78" spans="2:73">
      <c r="B78" s="1202"/>
      <c r="C78" s="328"/>
      <c r="D78" s="328"/>
      <c r="E78" s="328"/>
      <c r="F78" s="417" t="s">
        <v>945</v>
      </c>
      <c r="G78" s="328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328"/>
      <c r="AK78" s="328"/>
      <c r="AL78" s="1021">
        <f>AP78</f>
        <v>1.3352103390977733E-2</v>
      </c>
      <c r="AN78" s="1077"/>
      <c r="AO78" s="1074"/>
      <c r="AP78" s="1081">
        <f>BS44*(1+AQ103)</f>
        <v>1.3352103390977733E-2</v>
      </c>
      <c r="AQ78" s="1078">
        <f>AP78*H76</f>
        <v>0.95023036714279396</v>
      </c>
      <c r="AR78" s="1074"/>
      <c r="AS78" s="1078"/>
      <c r="AT78" s="1102"/>
      <c r="AU78" s="1078"/>
      <c r="AW78" s="1115"/>
      <c r="AX78" s="1115"/>
      <c r="AY78" s="1115"/>
      <c r="AZ78" s="1115"/>
      <c r="BA78" s="1115"/>
      <c r="BB78" s="80"/>
      <c r="BC78" s="80"/>
      <c r="BD78" s="80"/>
      <c r="BJ78" s="226"/>
      <c r="BK78" s="226"/>
      <c r="BL78" s="226"/>
      <c r="BM78" s="226"/>
      <c r="BN78" s="226"/>
      <c r="BO78" s="226"/>
      <c r="BP78" s="226"/>
      <c r="BQ78" s="506" t="s">
        <v>1078</v>
      </c>
      <c r="BR78" s="1155">
        <f>AVERAGE(BR69:BR77)</f>
        <v>5.424825650198422E-2</v>
      </c>
      <c r="BS78" s="1156">
        <f t="shared" ref="BS78:BU78" si="29">AVERAGE(BS69:BS77)</f>
        <v>1.6591261736419179E-2</v>
      </c>
      <c r="BT78" s="1156">
        <f t="shared" si="29"/>
        <v>4.0663121209199623E-3</v>
      </c>
      <c r="BU78" s="1156">
        <f t="shared" si="29"/>
        <v>9.7389990708204226E-4</v>
      </c>
    </row>
    <row r="79" spans="2:73">
      <c r="B79" s="1202"/>
      <c r="C79" s="490"/>
      <c r="D79" s="489"/>
      <c r="E79" s="489"/>
      <c r="F79" s="1018" t="s">
        <v>946</v>
      </c>
      <c r="G79" s="489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489"/>
      <c r="AK79" s="489"/>
      <c r="AL79" s="1017">
        <f>AR79</f>
        <v>6.9274548248087538E-4</v>
      </c>
      <c r="AN79" s="1077"/>
      <c r="AO79" s="1074"/>
      <c r="AP79" s="1081"/>
      <c r="AQ79" s="1078"/>
      <c r="AR79" s="1074">
        <f>BT44*(1+AS103)</f>
        <v>6.9274548248087538E-4</v>
      </c>
      <c r="AS79" s="1078">
        <f>AR79*H76</f>
        <v>4.930068131431023E-2</v>
      </c>
      <c r="AT79" s="1102"/>
      <c r="AU79" s="1078"/>
    </row>
    <row r="80" spans="2:73" ht="13.5" thickBot="1">
      <c r="B80" s="1202"/>
      <c r="C80" s="909"/>
      <c r="D80" s="909"/>
      <c r="E80" s="909"/>
      <c r="F80" s="1023" t="s">
        <v>947</v>
      </c>
      <c r="G80" s="909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09"/>
      <c r="AK80" s="909"/>
      <c r="AL80" s="1022">
        <f>AT80</f>
        <v>2.1221190975514691E-4</v>
      </c>
      <c r="AN80" s="1099"/>
      <c r="AO80" s="1079"/>
      <c r="AP80" s="1100"/>
      <c r="AQ80" s="1080"/>
      <c r="AR80" s="1079"/>
      <c r="AS80" s="1080"/>
      <c r="AT80" s="1101">
        <f>BU44*(1+AU103)</f>
        <v>2.1221190975514691E-4</v>
      </c>
      <c r="AU80" s="1080">
        <f>AT80*H76</f>
        <v>1.510250445296623E-2</v>
      </c>
    </row>
    <row r="81" spans="2:47">
      <c r="B81" s="1202"/>
      <c r="C81" s="905" t="str">
        <f>AY20</f>
        <v>R-BLD_Apt_D</v>
      </c>
      <c r="D81" s="906" t="str">
        <f>AZ20</f>
        <v>Residential Building Apartment _ D</v>
      </c>
      <c r="E81" s="906">
        <v>2018</v>
      </c>
      <c r="F81" s="905" t="str">
        <f>COMM!O15</f>
        <v>RSDSH_Apt-D</v>
      </c>
      <c r="G81" s="906" t="s">
        <v>943</v>
      </c>
      <c r="H81" s="908">
        <f>BG13/1000</f>
        <v>47.490854787158916</v>
      </c>
      <c r="I81" s="908">
        <f>DwellingStocks!I39/1000</f>
        <v>0.34793154584444547</v>
      </c>
      <c r="J81" s="908">
        <f>DwellingStocks!L39/1000</f>
        <v>25.054028103145395</v>
      </c>
      <c r="K81" s="908">
        <f>DwellingStocks!O39/1000</f>
        <v>1.6522313637925603</v>
      </c>
      <c r="L81" s="908">
        <f>DwellingStocks!R39/1000</f>
        <v>0.35956599260304084</v>
      </c>
      <c r="M81" s="908">
        <f>DwellingStocks!U39/1000</f>
        <v>0.39089035099346492</v>
      </c>
      <c r="N81" s="908">
        <f>DwellingStocks!X39/1000</f>
        <v>0.26650946132819375</v>
      </c>
      <c r="O81" s="908">
        <f>DwellingStocks!AA39/1000</f>
        <v>0.51776164417721815</v>
      </c>
      <c r="P81" s="908">
        <f>DwellingStocks!AD39/1000</f>
        <v>1.1315980251906814</v>
      </c>
      <c r="Q81" s="908">
        <f>DwellingStocks!AG39/1000</f>
        <v>0.36587806374133203</v>
      </c>
      <c r="R81" s="908">
        <f>DwellingStocks!AJ39/1000</f>
        <v>0.87703699547654357</v>
      </c>
      <c r="S81" s="908">
        <f>DwellingStocks!AM39/1000</f>
        <v>0.80445024891008821</v>
      </c>
      <c r="T81" s="908">
        <f>DwellingStocks!AP39/1000</f>
        <v>0.95463851349491979</v>
      </c>
      <c r="U81" s="908">
        <f>DwellingStocks!AS39/1000</f>
        <v>0.69434843412815772</v>
      </c>
      <c r="V81" s="908">
        <f>DwellingStocks!AV39/1000</f>
        <v>3.4062789398137729</v>
      </c>
      <c r="W81" s="908">
        <f>DwellingStocks!AY39/1000</f>
        <v>0.8583784717741757</v>
      </c>
      <c r="X81" s="908">
        <f>DwellingStocks!BB39/1000</f>
        <v>1.9487665192827224</v>
      </c>
      <c r="Y81" s="908">
        <f>DwellingStocks!BE39/1000</f>
        <v>0.80900489406165066</v>
      </c>
      <c r="Z81" s="908">
        <f>DwellingStocks!BH39/1000</f>
        <v>1.0054751295454163</v>
      </c>
      <c r="AA81" s="908">
        <f>DwellingStocks!BK39/1000</f>
        <v>3.1560217876458516</v>
      </c>
      <c r="AB81" s="908">
        <f>DwellingStocks!BN39/1000</f>
        <v>0.20414439568242804</v>
      </c>
      <c r="AC81" s="908">
        <f>DwellingStocks!BQ39/1000</f>
        <v>0.75458982053296064</v>
      </c>
      <c r="AD81" s="908">
        <f>DwellingStocks!BT39/1000</f>
        <v>0.19834312294615594</v>
      </c>
      <c r="AE81" s="908">
        <f>DwellingStocks!BW39/1000</f>
        <v>0.56797000478839943</v>
      </c>
      <c r="AF81" s="908">
        <f>DwellingStocks!BZ39/1000</f>
        <v>0.38335951907263388</v>
      </c>
      <c r="AG81" s="908">
        <f>DwellingStocks!CC39/1000</f>
        <v>0.55626670495333108</v>
      </c>
      <c r="AH81" s="908">
        <f>DwellingStocks!CF39/1000</f>
        <v>0.22538673423338459</v>
      </c>
      <c r="AI81" s="908">
        <v>1</v>
      </c>
      <c r="AJ81" s="906">
        <v>100</v>
      </c>
      <c r="AK81" s="906">
        <v>1</v>
      </c>
      <c r="AL81" s="1014">
        <f>AN81</f>
        <v>1.3067713536219987E-2</v>
      </c>
      <c r="AN81" s="1095">
        <f>ABS(BR45*DwellingStocks!W23*(1+$AO$103))</f>
        <v>1.3067713536219987E-2</v>
      </c>
      <c r="AO81" s="1096">
        <f>AN81*H81</f>
        <v>0.62059688594881435</v>
      </c>
      <c r="AP81" s="1081"/>
      <c r="AQ81" s="1078"/>
      <c r="AR81" s="1074"/>
      <c r="AS81" s="1078"/>
      <c r="AT81" s="1102"/>
      <c r="AU81" s="1078"/>
    </row>
    <row r="82" spans="2:47">
      <c r="B82" s="1202"/>
      <c r="C82" s="490"/>
      <c r="D82" s="489"/>
      <c r="E82" s="489"/>
      <c r="F82" s="1018" t="s">
        <v>944</v>
      </c>
      <c r="G82" s="489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489"/>
      <c r="AK82" s="489"/>
      <c r="AL82" s="1017">
        <v>0</v>
      </c>
      <c r="AN82" s="1077"/>
      <c r="AO82" s="1074"/>
      <c r="AP82" s="1081"/>
      <c r="AQ82" s="1078"/>
      <c r="AR82" s="1074"/>
      <c r="AS82" s="1078"/>
      <c r="AT82" s="1102"/>
      <c r="AU82" s="1078"/>
    </row>
    <row r="83" spans="2:47">
      <c r="B83" s="1202"/>
      <c r="C83" s="328"/>
      <c r="D83" s="328"/>
      <c r="E83" s="328"/>
      <c r="F83" s="417" t="s">
        <v>945</v>
      </c>
      <c r="G83" s="328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328"/>
      <c r="AK83" s="328"/>
      <c r="AL83" s="1021">
        <f>AP83</f>
        <v>1.1353990605432303E-2</v>
      </c>
      <c r="AN83" s="1077"/>
      <c r="AO83" s="1074"/>
      <c r="AP83" s="1081">
        <f>BS45*(1+AQ103)</f>
        <v>1.1353990605432303E-2</v>
      </c>
      <c r="AQ83" s="1078">
        <f>AP83*H81</f>
        <v>0.53921071909735208</v>
      </c>
      <c r="AR83" s="1074"/>
      <c r="AS83" s="1078"/>
      <c r="AT83" s="1102"/>
      <c r="AU83" s="1078"/>
    </row>
    <row r="84" spans="2:47">
      <c r="B84" s="1202"/>
      <c r="C84" s="490"/>
      <c r="D84" s="489"/>
      <c r="E84" s="489"/>
      <c r="F84" s="1018" t="s">
        <v>946</v>
      </c>
      <c r="G84" s="489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489"/>
      <c r="AK84" s="489"/>
      <c r="AL84" s="1017">
        <f>AR84</f>
        <v>6.2110797154388861E-4</v>
      </c>
      <c r="AN84" s="1077"/>
      <c r="AO84" s="1074"/>
      <c r="AP84" s="1081"/>
      <c r="AQ84" s="1078"/>
      <c r="AR84" s="1074">
        <f>BT45*(1+AS103)</f>
        <v>6.2110797154388861E-4</v>
      </c>
      <c r="AS84" s="1078">
        <f>AR84*H81</f>
        <v>2.9496948483737646E-2</v>
      </c>
      <c r="AT84" s="1102"/>
      <c r="AU84" s="1078"/>
    </row>
    <row r="85" spans="2:47" ht="13.5" thickBot="1">
      <c r="B85" s="1202"/>
      <c r="C85" s="909"/>
      <c r="D85" s="909"/>
      <c r="E85" s="909"/>
      <c r="F85" s="1023" t="s">
        <v>947</v>
      </c>
      <c r="G85" s="909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09"/>
      <c r="AK85" s="909"/>
      <c r="AL85" s="1022">
        <f>AT85</f>
        <v>9.2326777841571572E-5</v>
      </c>
      <c r="AN85" s="1077"/>
      <c r="AO85" s="1074"/>
      <c r="AP85" s="1081"/>
      <c r="AQ85" s="1078"/>
      <c r="AR85" s="1074"/>
      <c r="AS85" s="1078"/>
      <c r="AT85" s="1102">
        <f>BU45*(1+AU103)</f>
        <v>9.2326777841571572E-5</v>
      </c>
      <c r="AU85" s="1078">
        <f>AT85*H81</f>
        <v>4.3846775994403567E-3</v>
      </c>
    </row>
    <row r="86" spans="2:47">
      <c r="B86" s="1202"/>
      <c r="C86" s="905" t="str">
        <f>AY21</f>
        <v>R-BLD_Apt_E</v>
      </c>
      <c r="D86" s="906" t="str">
        <f>AZ21</f>
        <v>Residential Building Apartment _ E</v>
      </c>
      <c r="E86" s="906">
        <v>2018</v>
      </c>
      <c r="F86" s="905" t="str">
        <f>COMM!O18</f>
        <v>RSDSH_Apt-E</v>
      </c>
      <c r="G86" s="906" t="s">
        <v>943</v>
      </c>
      <c r="H86" s="908">
        <f>BG14/1000</f>
        <v>23.790684938210514</v>
      </c>
      <c r="I86" s="908">
        <f>DwellingStocks!I40/1000</f>
        <v>0.17996459267816145</v>
      </c>
      <c r="J86" s="908">
        <f>DwellingStocks!L40/1000</f>
        <v>12.052625111545526</v>
      </c>
      <c r="K86" s="908">
        <f>DwellingStocks!O40/1000</f>
        <v>0.91693601056141039</v>
      </c>
      <c r="L86" s="908">
        <f>DwellingStocks!R40/1000</f>
        <v>0.16735560024381163</v>
      </c>
      <c r="M86" s="908">
        <f>DwellingStocks!U40/1000</f>
        <v>0.15210377674641101</v>
      </c>
      <c r="N86" s="908">
        <f>DwellingStocks!X40/1000</f>
        <v>0.11473053043724935</v>
      </c>
      <c r="O86" s="908">
        <f>DwellingStocks!AA40/1000</f>
        <v>0.29781540483016772</v>
      </c>
      <c r="P86" s="908">
        <f>DwellingStocks!AD40/1000</f>
        <v>0.47222792395901703</v>
      </c>
      <c r="Q86" s="908">
        <f>DwellingStocks!AG40/1000</f>
        <v>0.2018637593055625</v>
      </c>
      <c r="R86" s="908">
        <f>DwellingStocks!AJ40/1000</f>
        <v>0.39998202369460545</v>
      </c>
      <c r="S86" s="908">
        <f>DwellingStocks!AM40/1000</f>
        <v>0.53507011968790263</v>
      </c>
      <c r="T86" s="908">
        <f>DwellingStocks!AP40/1000</f>
        <v>0.42263607976085776</v>
      </c>
      <c r="U86" s="908">
        <f>DwellingStocks!AS40/1000</f>
        <v>0.45646980391758513</v>
      </c>
      <c r="V86" s="908">
        <f>DwellingStocks!AV40/1000</f>
        <v>1.9445931150221349</v>
      </c>
      <c r="W86" s="908">
        <f>DwellingStocks!AY40/1000</f>
        <v>0.40851296612902382</v>
      </c>
      <c r="X86" s="908">
        <f>DwellingStocks!BB40/1000</f>
        <v>0.80013912605798032</v>
      </c>
      <c r="Y86" s="908">
        <f>DwellingStocks!BE40/1000</f>
        <v>0.45693794942371019</v>
      </c>
      <c r="Z86" s="908">
        <f>DwellingStocks!BH40/1000</f>
        <v>0.53547396433930317</v>
      </c>
      <c r="AA86" s="908">
        <f>DwellingStocks!BK40/1000</f>
        <v>1.7300497788854952</v>
      </c>
      <c r="AB86" s="908">
        <f>DwellingStocks!BN40/1000</f>
        <v>6.7367650575201249E-2</v>
      </c>
      <c r="AC86" s="908">
        <f>DwellingStocks!BQ40/1000</f>
        <v>0.31257644025726655</v>
      </c>
      <c r="AD86" s="908">
        <f>DwellingStocks!BT40/1000</f>
        <v>0.11004844240883492</v>
      </c>
      <c r="AE86" s="908">
        <f>DwellingStocks!BW40/1000</f>
        <v>0.37835405264884103</v>
      </c>
      <c r="AF86" s="908">
        <f>DwellingStocks!BZ40/1000</f>
        <v>0.19167975953631694</v>
      </c>
      <c r="AG86" s="908">
        <f>DwellingStocks!CC40/1000</f>
        <v>0.33010488240557018</v>
      </c>
      <c r="AH86" s="908">
        <f>DwellingStocks!CF40/1000</f>
        <v>0.1550660731525686</v>
      </c>
      <c r="AI86" s="908">
        <v>1</v>
      </c>
      <c r="AJ86" s="906">
        <v>100</v>
      </c>
      <c r="AK86" s="906">
        <v>1</v>
      </c>
      <c r="AL86" s="1014">
        <f>AN86</f>
        <v>1.7452041994132802E-2</v>
      </c>
      <c r="AN86" s="1095">
        <f>ABS(BR46*DwellingStocks!W24*(1+$AO$103))</f>
        <v>1.7452041994132802E-2</v>
      </c>
      <c r="AO86" s="1096">
        <f>AN86*H86</f>
        <v>0.41519603261083265</v>
      </c>
      <c r="AP86" s="1097"/>
      <c r="AQ86" s="1098"/>
      <c r="AR86" s="1096"/>
      <c r="AS86" s="1098"/>
      <c r="AT86" s="1103"/>
      <c r="AU86" s="1098"/>
    </row>
    <row r="87" spans="2:47">
      <c r="B87" s="1202"/>
      <c r="C87" s="490"/>
      <c r="D87" s="489"/>
      <c r="E87" s="489"/>
      <c r="F87" s="1018" t="s">
        <v>944</v>
      </c>
      <c r="G87" s="489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489"/>
      <c r="AK87" s="489"/>
      <c r="AL87" s="1017">
        <v>0</v>
      </c>
      <c r="AN87" s="1077"/>
      <c r="AO87" s="1074"/>
      <c r="AP87" s="1081"/>
      <c r="AQ87" s="1078"/>
      <c r="AR87" s="1074"/>
      <c r="AS87" s="1078"/>
      <c r="AT87" s="1102"/>
      <c r="AU87" s="1078"/>
    </row>
    <row r="88" spans="2:47">
      <c r="B88" s="1202"/>
      <c r="C88" s="328"/>
      <c r="D88" s="328"/>
      <c r="E88" s="328"/>
      <c r="F88" s="417" t="s">
        <v>945</v>
      </c>
      <c r="G88" s="328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328"/>
      <c r="AK88" s="328"/>
      <c r="AL88" s="1021">
        <f>AP88</f>
        <v>1.0689273091708328E-2</v>
      </c>
      <c r="AN88" s="1077"/>
      <c r="AO88" s="1074"/>
      <c r="AP88" s="1081">
        <f>BS46*(1+AQ103)</f>
        <v>1.0689273091708328E-2</v>
      </c>
      <c r="AQ88" s="1078">
        <f>AP88*H86</f>
        <v>0.25430512834332425</v>
      </c>
      <c r="AR88" s="1074"/>
      <c r="AS88" s="1078"/>
      <c r="AT88" s="1102"/>
      <c r="AU88" s="1078"/>
    </row>
    <row r="89" spans="2:47">
      <c r="B89" s="1202"/>
      <c r="C89" s="490"/>
      <c r="D89" s="489"/>
      <c r="E89" s="489"/>
      <c r="F89" s="1018" t="s">
        <v>946</v>
      </c>
      <c r="G89" s="489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489"/>
      <c r="AK89" s="489"/>
      <c r="AL89" s="1017">
        <f>AR89</f>
        <v>5.7818254403052159E-4</v>
      </c>
      <c r="AN89" s="1077"/>
      <c r="AO89" s="1074"/>
      <c r="AP89" s="1081"/>
      <c r="AQ89" s="1078"/>
      <c r="AR89" s="1074">
        <f>BT46*(1+AS103)</f>
        <v>5.7818254403052159E-4</v>
      </c>
      <c r="AS89" s="1078">
        <f>AR89*H86</f>
        <v>1.3755358741803168E-2</v>
      </c>
      <c r="AT89" s="1102"/>
      <c r="AU89" s="1078"/>
    </row>
    <row r="90" spans="2:47" ht="13.5" thickBot="1">
      <c r="B90" s="1202"/>
      <c r="C90" s="909"/>
      <c r="D90" s="909"/>
      <c r="E90" s="909"/>
      <c r="F90" s="1023" t="s">
        <v>947</v>
      </c>
      <c r="G90" s="909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09"/>
      <c r="AK90" s="909"/>
      <c r="AL90" s="1022">
        <f>AT90</f>
        <v>6.8772844959848073E-5</v>
      </c>
      <c r="AN90" s="1099"/>
      <c r="AO90" s="1079"/>
      <c r="AP90" s="1100"/>
      <c r="AQ90" s="1080"/>
      <c r="AR90" s="1079"/>
      <c r="AS90" s="1080"/>
      <c r="AT90" s="1101">
        <f>BU46*(1+AU103)</f>
        <v>6.8772844959848073E-5</v>
      </c>
      <c r="AU90" s="1080">
        <f>AT90*H86</f>
        <v>1.6361530867441444E-3</v>
      </c>
    </row>
    <row r="91" spans="2:47">
      <c r="B91" s="1202"/>
      <c r="C91" s="905" t="str">
        <f>AY22</f>
        <v>R-BLD_Apt_F</v>
      </c>
      <c r="D91" s="906" t="str">
        <f>AZ22</f>
        <v>Residential Building Apartment _ F</v>
      </c>
      <c r="E91" s="906">
        <v>2018</v>
      </c>
      <c r="F91" s="905" t="str">
        <f>COMM!O21</f>
        <v>RSDSH_Apt-F</v>
      </c>
      <c r="G91" s="906" t="s">
        <v>943</v>
      </c>
      <c r="H91" s="908">
        <f>BG15/1000</f>
        <v>8.010799397286851</v>
      </c>
      <c r="I91" s="908">
        <f>DwellingStocks!I41/1000</f>
        <v>6.9319694957514028E-2</v>
      </c>
      <c r="J91" s="908">
        <f>DwellingStocks!L41/1000</f>
        <v>4.1345521230291489</v>
      </c>
      <c r="K91" s="908">
        <f>DwellingStocks!O41/1000</f>
        <v>0.30040570250773829</v>
      </c>
      <c r="L91" s="908">
        <f>DwellingStocks!R41/1000</f>
        <v>7.1250404064197026E-2</v>
      </c>
      <c r="M91" s="908">
        <f>DwellingStocks!U41/1000</f>
        <v>5.2336783396614545E-2</v>
      </c>
      <c r="N91" s="908">
        <f>DwellingStocks!X41/1000</f>
        <v>2.9877742301367013E-2</v>
      </c>
      <c r="O91" s="908">
        <f>DwellingStocks!AA41/1000</f>
        <v>0.11338843394910056</v>
      </c>
      <c r="P91" s="908">
        <f>DwellingStocks!AD41/1000</f>
        <v>0.12242946176715254</v>
      </c>
      <c r="Q91" s="908">
        <f>DwellingStocks!AG41/1000</f>
        <v>9.3046576554907723E-2</v>
      </c>
      <c r="R91" s="908">
        <f>DwellingStocks!AJ41/1000</f>
        <v>0.15281705224212502</v>
      </c>
      <c r="S91" s="908">
        <f>DwellingStocks!AM41/1000</f>
        <v>0.16236610528460496</v>
      </c>
      <c r="T91" s="908">
        <f>DwellingStocks!AP41/1000</f>
        <v>0.1520006953525892</v>
      </c>
      <c r="U91" s="908">
        <f>DwellingStocks!AS41/1000</f>
        <v>0.12215389118921291</v>
      </c>
      <c r="V91" s="908">
        <f>DwellingStocks!AV41/1000</f>
        <v>0.74218637223344819</v>
      </c>
      <c r="W91" s="908">
        <f>DwellingStocks!AY41/1000</f>
        <v>0.12405761854838453</v>
      </c>
      <c r="X91" s="908">
        <f>DwellingStocks!BB41/1000</f>
        <v>0.26922920279309398</v>
      </c>
      <c r="Y91" s="908">
        <f>DwellingStocks!BE41/1000</f>
        <v>0.18914234791719151</v>
      </c>
      <c r="Z91" s="908">
        <f>DwellingStocks!BH41/1000</f>
        <v>0.1461446409222989</v>
      </c>
      <c r="AA91" s="908">
        <f>DwellingStocks!BK41/1000</f>
        <v>0.47208420932670014</v>
      </c>
      <c r="AB91" s="908">
        <f>DwellingStocks!BN41/1000</f>
        <v>2.5518049460303505E-2</v>
      </c>
      <c r="AC91" s="908">
        <f>DwellingStocks!BQ41/1000</f>
        <v>0.1197980189532255</v>
      </c>
      <c r="AD91" s="908">
        <f>DwellingStocks!BT41/1000</f>
        <v>3.3270459332903575E-2</v>
      </c>
      <c r="AE91" s="908">
        <f>DwellingStocks!BW41/1000</f>
        <v>6.4961020640404266E-2</v>
      </c>
      <c r="AF91" s="908">
        <f>DwellingStocks!BZ41/1000</f>
        <v>7.0470499829528299E-2</v>
      </c>
      <c r="AG91" s="908">
        <f>DwellingStocks!CC41/1000</f>
        <v>0.11308091127388045</v>
      </c>
      <c r="AH91" s="908">
        <f>DwellingStocks!CF41/1000</f>
        <v>6.4911379459214755E-2</v>
      </c>
      <c r="AI91" s="908">
        <v>1</v>
      </c>
      <c r="AJ91" s="906">
        <v>100</v>
      </c>
      <c r="AK91" s="906">
        <v>1</v>
      </c>
      <c r="AL91" s="1014">
        <f>AN91</f>
        <v>2.372102346470794E-2</v>
      </c>
      <c r="AN91" s="1095">
        <f>ABS(BR47*DwellingStocks!W25*(1+$AO$103))</f>
        <v>2.372102346470794E-2</v>
      </c>
      <c r="AO91" s="1096">
        <f>AN91*H91</f>
        <v>0.19002436047410962</v>
      </c>
      <c r="AP91" s="1081"/>
      <c r="AQ91" s="1078"/>
      <c r="AR91" s="1074"/>
      <c r="AS91" s="1078"/>
      <c r="AT91" s="1102"/>
      <c r="AU91" s="1078"/>
    </row>
    <row r="92" spans="2:47">
      <c r="B92" s="1202"/>
      <c r="C92" s="490"/>
      <c r="D92" s="489"/>
      <c r="E92" s="489"/>
      <c r="F92" s="1018" t="s">
        <v>944</v>
      </c>
      <c r="G92" s="489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489"/>
      <c r="AK92" s="489"/>
      <c r="AL92" s="1017">
        <v>0</v>
      </c>
      <c r="AN92" s="1077"/>
      <c r="AO92" s="1074"/>
      <c r="AP92" s="1081"/>
      <c r="AQ92" s="1078"/>
      <c r="AR92" s="1074"/>
      <c r="AS92" s="1078"/>
      <c r="AT92" s="1102"/>
      <c r="AU92" s="1078"/>
    </row>
    <row r="93" spans="2:47">
      <c r="B93" s="1202"/>
      <c r="C93" s="328"/>
      <c r="D93" s="328"/>
      <c r="E93" s="328"/>
      <c r="F93" s="417" t="s">
        <v>945</v>
      </c>
      <c r="G93" s="328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328"/>
      <c r="AK93" s="328"/>
      <c r="AL93" s="1021">
        <f>AP93</f>
        <v>1.0826604521705835E-2</v>
      </c>
      <c r="AN93" s="1077"/>
      <c r="AO93" s="1074"/>
      <c r="AP93" s="1081">
        <f>BS47*(1+AQ103)</f>
        <v>1.0826604521705835E-2</v>
      </c>
      <c r="AQ93" s="1078">
        <f>AP93*H91</f>
        <v>8.6729756977144204E-2</v>
      </c>
      <c r="AR93" s="1074"/>
      <c r="AS93" s="1078"/>
      <c r="AT93" s="1102"/>
      <c r="AU93" s="1078"/>
    </row>
    <row r="94" spans="2:47">
      <c r="B94" s="1202"/>
      <c r="C94" s="490"/>
      <c r="D94" s="489"/>
      <c r="E94" s="489"/>
      <c r="F94" s="1018" t="s">
        <v>946</v>
      </c>
      <c r="G94" s="489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489"/>
      <c r="AK94" s="489"/>
      <c r="AL94" s="1017">
        <f>AR94</f>
        <v>5.4383545961847826E-4</v>
      </c>
      <c r="AN94" s="1077"/>
      <c r="AO94" s="1074"/>
      <c r="AP94" s="1081"/>
      <c r="AQ94" s="1078"/>
      <c r="AR94" s="1074">
        <f>BT47*(1+AS103)</f>
        <v>5.4383545961847826E-4</v>
      </c>
      <c r="AS94" s="1078">
        <f>AR94*H91</f>
        <v>4.356556772134923E-3</v>
      </c>
      <c r="AT94" s="1102"/>
      <c r="AU94" s="1078"/>
    </row>
    <row r="95" spans="2:47" ht="13.5" thickBot="1">
      <c r="B95" s="1202"/>
      <c r="C95" s="909"/>
      <c r="D95" s="909"/>
      <c r="E95" s="909"/>
      <c r="F95" s="1023" t="s">
        <v>947</v>
      </c>
      <c r="G95" s="909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09"/>
      <c r="AK95" s="909"/>
      <c r="AL95" s="1022">
        <f>AT95</f>
        <v>8.4437648170822656E-5</v>
      </c>
      <c r="AN95" s="1077"/>
      <c r="AO95" s="1074"/>
      <c r="AP95" s="1081"/>
      <c r="AQ95" s="1078"/>
      <c r="AR95" s="1074"/>
      <c r="AS95" s="1078"/>
      <c r="AT95" s="1102">
        <f>BU47*(1+AU103)</f>
        <v>8.4437648170822656E-5</v>
      </c>
      <c r="AU95" s="1078">
        <f>AT95*H91</f>
        <v>6.7641306107514532E-4</v>
      </c>
    </row>
    <row r="96" spans="2:47">
      <c r="B96" s="1202"/>
      <c r="C96" s="905" t="str">
        <f>AY23</f>
        <v>R-BLD_Apt_G</v>
      </c>
      <c r="D96" s="906" t="str">
        <f>AZ23</f>
        <v>Residential Building Apartment _ G</v>
      </c>
      <c r="E96" s="906">
        <v>2018</v>
      </c>
      <c r="F96" s="905" t="str">
        <f>COMM!O24</f>
        <v>RSDSH_Apt-G</v>
      </c>
      <c r="G96" s="906" t="s">
        <v>943</v>
      </c>
      <c r="H96" s="908">
        <f>BG16/1000</f>
        <v>8.6581263084211155</v>
      </c>
      <c r="I96" s="908">
        <f>DwellingStocks!I42/1000</f>
        <v>7.8651192355640928E-2</v>
      </c>
      <c r="J96" s="908">
        <f>DwellingStocks!L42/1000</f>
        <v>3.9209529144305266</v>
      </c>
      <c r="K96" s="908">
        <f>DwellingStocks!O42/1000</f>
        <v>0.25499553817517318</v>
      </c>
      <c r="L96" s="908">
        <f>DwellingStocks!R42/1000</f>
        <v>0.11101807144886515</v>
      </c>
      <c r="M96" s="908">
        <f>DwellingStocks!U42/1000</f>
        <v>8.014069957606601E-2</v>
      </c>
      <c r="N96" s="908">
        <f>DwellingStocks!X42/1000</f>
        <v>4.0633729529859136E-2</v>
      </c>
      <c r="O96" s="908">
        <f>DwellingStocks!AA42/1000</f>
        <v>0.12978194247186209</v>
      </c>
      <c r="P96" s="908">
        <f>DwellingStocks!AD42/1000</f>
        <v>0.13292341563290846</v>
      </c>
      <c r="Q96" s="908">
        <f>DwellingStocks!AG42/1000</f>
        <v>9.4623637174482425E-2</v>
      </c>
      <c r="R96" s="908">
        <f>DwellingStocks!AJ42/1000</f>
        <v>0.11959595392861957</v>
      </c>
      <c r="S96" s="908">
        <f>DwellingStocks!AM42/1000</f>
        <v>0.19188721533635131</v>
      </c>
      <c r="T96" s="908">
        <f>DwellingStocks!AP42/1000</f>
        <v>0.26136704932579358</v>
      </c>
      <c r="U96" s="908">
        <f>DwellingStocks!AS42/1000</f>
        <v>0.18644541286774602</v>
      </c>
      <c r="V96" s="908">
        <f>DwellingStocks!AV42/1000</f>
        <v>1.0711467075246925</v>
      </c>
      <c r="W96" s="908">
        <f>DwellingStocks!AY42/1000</f>
        <v>0.1904723032258025</v>
      </c>
      <c r="X96" s="908">
        <f>DwellingStocks!BB42/1000</f>
        <v>0.31955241826843866</v>
      </c>
      <c r="Y96" s="908">
        <f>DwellingStocks!BE42/1000</f>
        <v>0.31086762132924545</v>
      </c>
      <c r="Z96" s="908">
        <f>DwellingStocks!BH42/1000</f>
        <v>0.17654272623413705</v>
      </c>
      <c r="AA96" s="908">
        <f>DwellingStocks!BK42/1000</f>
        <v>0.34573225918337741</v>
      </c>
      <c r="AB96" s="908">
        <f>DwellingStocks!BN42/1000</f>
        <v>2.4497327481891363E-2</v>
      </c>
      <c r="AC96" s="908">
        <f>DwellingStocks!BQ42/1000</f>
        <v>0.13219091746562814</v>
      </c>
      <c r="AD96" s="908">
        <f>DwellingStocks!BT42/1000</f>
        <v>5.6303854255682975E-2</v>
      </c>
      <c r="AE96" s="908">
        <f>DwellingStocks!BW42/1000</f>
        <v>4.3892581513786666E-2</v>
      </c>
      <c r="AF96" s="908">
        <f>DwellingStocks!BZ42/1000</f>
        <v>8.4564599795433945E-2</v>
      </c>
      <c r="AG96" s="908">
        <f>DwellingStocks!CC42/1000</f>
        <v>0.1370677712410672</v>
      </c>
      <c r="AH96" s="908">
        <f>DwellingStocks!CF42/1000</f>
        <v>0.16227844864803692</v>
      </c>
      <c r="AI96" s="908">
        <v>1</v>
      </c>
      <c r="AJ96" s="906">
        <v>100</v>
      </c>
      <c r="AK96" s="906">
        <v>1</v>
      </c>
      <c r="AL96" s="1014">
        <f>AN96</f>
        <v>2.8663848717845161E-2</v>
      </c>
      <c r="AN96" s="1095">
        <f>ABS(BR48*DwellingStocks!W26*(1+$AO$103))</f>
        <v>2.8663848717845161E-2</v>
      </c>
      <c r="AO96" s="1096">
        <f>AN96*H96</f>
        <v>0.24817522268457803</v>
      </c>
      <c r="AP96" s="1097"/>
      <c r="AQ96" s="1098"/>
      <c r="AR96" s="1096"/>
      <c r="AS96" s="1098"/>
      <c r="AT96" s="1103"/>
      <c r="AU96" s="1098"/>
    </row>
    <row r="97" spans="2:77">
      <c r="B97" s="1202"/>
      <c r="C97" s="490"/>
      <c r="D97" s="489"/>
      <c r="E97" s="489"/>
      <c r="F97" s="1018" t="s">
        <v>944</v>
      </c>
      <c r="G97" s="489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489"/>
      <c r="AK97" s="489"/>
      <c r="AL97" s="1017">
        <v>0</v>
      </c>
      <c r="AN97" s="355"/>
      <c r="AO97" s="226"/>
      <c r="AP97" s="355"/>
      <c r="AQ97" s="375"/>
      <c r="AR97" s="1074"/>
      <c r="AS97" s="1078"/>
      <c r="AT97" s="1102"/>
      <c r="AU97" s="375"/>
    </row>
    <row r="98" spans="2:77">
      <c r="B98" s="1202"/>
      <c r="C98" s="328"/>
      <c r="D98" s="328"/>
      <c r="E98" s="328"/>
      <c r="F98" s="417" t="s">
        <v>945</v>
      </c>
      <c r="G98" s="328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328"/>
      <c r="AK98" s="328"/>
      <c r="AL98" s="1021">
        <f>AP98</f>
        <v>1.0338964757543593E-2</v>
      </c>
      <c r="AN98" s="355"/>
      <c r="AO98" s="226"/>
      <c r="AP98" s="1081">
        <f>BS48*(1+AQ103)</f>
        <v>1.0338964757543593E-2</v>
      </c>
      <c r="AQ98" s="1078">
        <f>AP98*H96</f>
        <v>8.9516062769126922E-2</v>
      </c>
      <c r="AR98" s="1074"/>
      <c r="AS98" s="1078"/>
      <c r="AT98" s="1102"/>
      <c r="AU98" s="375"/>
    </row>
    <row r="99" spans="2:77">
      <c r="B99" s="1202"/>
      <c r="C99" s="490"/>
      <c r="D99" s="489"/>
      <c r="E99" s="489"/>
      <c r="F99" s="1018" t="s">
        <v>946</v>
      </c>
      <c r="G99" s="489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489"/>
      <c r="AK99" s="489"/>
      <c r="AL99" s="1017">
        <f>AR99</f>
        <v>5.2468348221493071E-4</v>
      </c>
      <c r="AN99" s="355"/>
      <c r="AO99" s="226"/>
      <c r="AP99" s="1082"/>
      <c r="AQ99" s="1083"/>
      <c r="AR99" s="1074">
        <f>BT48*(1+AS103)</f>
        <v>5.2468348221493071E-4</v>
      </c>
      <c r="AS99" s="1078">
        <f>AR99*H96</f>
        <v>4.5427758609590937E-3</v>
      </c>
      <c r="AT99" s="1102"/>
      <c r="AU99" s="375"/>
    </row>
    <row r="100" spans="2:77" ht="13.5" thickBot="1">
      <c r="B100" s="1202"/>
      <c r="C100" s="909"/>
      <c r="D100" s="909"/>
      <c r="E100" s="909"/>
      <c r="F100" s="1023" t="s">
        <v>947</v>
      </c>
      <c r="G100" s="909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09"/>
      <c r="AK100" s="909"/>
      <c r="AL100" s="1022">
        <f>AT100</f>
        <v>7.1060131583978265E-5</v>
      </c>
      <c r="AN100" s="367"/>
      <c r="AO100" s="1070"/>
      <c r="AP100" s="1084"/>
      <c r="AQ100" s="1085"/>
      <c r="AR100" s="1079"/>
      <c r="AS100" s="1080"/>
      <c r="AT100" s="1101">
        <f>BU48*(1+AU103)</f>
        <v>7.1060131583978265E-5</v>
      </c>
      <c r="AU100" s="1080">
        <f>AT100*H96</f>
        <v>6.1524759474710841E-4</v>
      </c>
    </row>
    <row r="101" spans="2:77">
      <c r="B101" s="1202"/>
      <c r="C101" s="1069" t="s">
        <v>252</v>
      </c>
      <c r="D101" s="1067"/>
      <c r="E101" s="1067"/>
      <c r="F101" s="1069"/>
      <c r="G101" s="1067"/>
      <c r="H101" s="1068"/>
      <c r="I101" s="1068"/>
      <c r="J101" s="1068"/>
      <c r="K101" s="1068"/>
      <c r="L101" s="1068"/>
      <c r="M101" s="1068"/>
      <c r="N101" s="1068"/>
      <c r="O101" s="1068"/>
      <c r="P101" s="1068"/>
      <c r="Q101" s="1068"/>
      <c r="R101" s="1068"/>
      <c r="S101" s="1068"/>
      <c r="T101" s="1068"/>
      <c r="U101" s="1068"/>
      <c r="V101" s="1068"/>
      <c r="W101" s="1068"/>
      <c r="X101" s="1068"/>
      <c r="Y101" s="1068"/>
      <c r="Z101" s="1068"/>
      <c r="AA101" s="1068"/>
      <c r="AB101" s="1068"/>
      <c r="AC101" s="1068"/>
      <c r="AD101" s="1068"/>
      <c r="AE101" s="1068"/>
      <c r="AF101" s="1068"/>
      <c r="AG101" s="1068"/>
      <c r="AH101" s="1068"/>
      <c r="AI101" s="1068"/>
      <c r="AJ101" s="1067"/>
      <c r="AK101" s="1067"/>
      <c r="AL101" s="1021"/>
      <c r="AN101" s="365" t="s">
        <v>936</v>
      </c>
      <c r="AO101" s="354">
        <f>'SHWLP-Apt'!AC27</f>
        <v>2.8914790787094513</v>
      </c>
      <c r="AP101" s="358"/>
      <c r="AQ101" s="359">
        <f>'SHWLP-Apt'!AC54</f>
        <v>2.4758841472240971</v>
      </c>
      <c r="AR101" s="358"/>
      <c r="AS101" s="359">
        <f>'SHWLP-Apt'!AC59</f>
        <v>0.13735509869033913</v>
      </c>
      <c r="AT101" s="358"/>
      <c r="AU101" s="359">
        <f>'SHWLP-Apt'!AC60</f>
        <v>4.2454837931852556E-2</v>
      </c>
      <c r="AV101" s="1211"/>
    </row>
    <row r="102" spans="2:77">
      <c r="B102" s="1202"/>
      <c r="C102" s="1069" t="s">
        <v>252</v>
      </c>
      <c r="D102" s="1067"/>
      <c r="E102" s="1067"/>
      <c r="F102" s="1069"/>
      <c r="G102" s="1067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1068"/>
      <c r="X102" s="1068"/>
      <c r="Y102" s="1068"/>
      <c r="Z102" s="1068"/>
      <c r="AA102" s="1068"/>
      <c r="AB102" s="1068"/>
      <c r="AC102" s="1068"/>
      <c r="AD102" s="1068"/>
      <c r="AE102" s="1068"/>
      <c r="AF102" s="1068"/>
      <c r="AG102" s="1068"/>
      <c r="AH102" s="1068"/>
      <c r="AI102" s="1068"/>
      <c r="AJ102" s="1067"/>
      <c r="AK102" s="1067"/>
      <c r="AL102" s="1021"/>
      <c r="AN102" s="1071" t="s">
        <v>928</v>
      </c>
      <c r="AO102" s="226">
        <v>1.8738045598567192</v>
      </c>
      <c r="AP102" s="355"/>
      <c r="AQ102" s="375">
        <v>2.0572027987278529</v>
      </c>
      <c r="AR102" s="355"/>
      <c r="AS102" s="226">
        <v>0.38864804177349976</v>
      </c>
      <c r="AT102" s="355"/>
      <c r="AU102" s="375">
        <v>8.196678303052797E-2</v>
      </c>
      <c r="AV102" s="1211"/>
    </row>
    <row r="103" spans="2:77">
      <c r="B103" s="1202"/>
      <c r="C103" s="1069" t="s">
        <v>252</v>
      </c>
      <c r="D103" s="1067"/>
      <c r="E103" s="1067"/>
      <c r="F103" s="1069"/>
      <c r="G103" s="1067"/>
      <c r="H103" s="1068"/>
      <c r="I103" s="1068"/>
      <c r="J103" s="1068"/>
      <c r="K103" s="1068"/>
      <c r="L103" s="1068"/>
      <c r="M103" s="1068"/>
      <c r="N103" s="1068"/>
      <c r="O103" s="1068"/>
      <c r="P103" s="1068"/>
      <c r="Q103" s="1068"/>
      <c r="R103" s="1068"/>
      <c r="S103" s="1068"/>
      <c r="T103" s="1068"/>
      <c r="U103" s="1068"/>
      <c r="V103" s="1068"/>
      <c r="W103" s="1068"/>
      <c r="X103" s="1068"/>
      <c r="Y103" s="1068"/>
      <c r="Z103" s="1068"/>
      <c r="AA103" s="1068"/>
      <c r="AB103" s="1068"/>
      <c r="AC103" s="1068"/>
      <c r="AD103" s="1068"/>
      <c r="AE103" s="1068"/>
      <c r="AF103" s="1068"/>
      <c r="AG103" s="1068"/>
      <c r="AH103" s="1068"/>
      <c r="AI103" s="1068"/>
      <c r="AJ103" s="1067"/>
      <c r="AK103" s="1067"/>
      <c r="AL103" s="1021"/>
      <c r="AN103" s="1072" t="s">
        <v>929</v>
      </c>
      <c r="AO103" s="1073">
        <f>((AO101-AO102)/AO102)</f>
        <v>0.54310601044249174</v>
      </c>
      <c r="AP103" s="355"/>
      <c r="AQ103" s="1073">
        <f>((AQ101-AQ102)/AQ102)</f>
        <v>0.20351972530620277</v>
      </c>
      <c r="AR103" s="355"/>
      <c r="AS103" s="1073">
        <f>((AS101-AS102)/AS102)</f>
        <v>-0.64658229573587223</v>
      </c>
      <c r="AT103" s="355"/>
      <c r="AU103" s="1073">
        <f>((AU101-AU102)/AU102)</f>
        <v>-0.48204825952434244</v>
      </c>
    </row>
    <row r="104" spans="2:77">
      <c r="B104" s="1202"/>
      <c r="C104" s="1069" t="s">
        <v>252</v>
      </c>
      <c r="D104" s="1067"/>
      <c r="E104" s="1067"/>
      <c r="F104" s="1069"/>
      <c r="G104" s="1067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1068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7"/>
      <c r="AK104" s="1067"/>
      <c r="AL104" s="1021"/>
      <c r="AN104" s="1071" t="s">
        <v>930</v>
      </c>
      <c r="AO104" s="1074">
        <f>SUM(AO56:AO96)</f>
        <v>2.8914790787094509</v>
      </c>
      <c r="AP104" s="355"/>
      <c r="AQ104" s="1078">
        <f>SUM(AQ56:AQ100)</f>
        <v>2.4758841472240971</v>
      </c>
      <c r="AR104" s="355"/>
      <c r="AS104" s="1078">
        <f t="shared" ref="AS104" si="30">SUM(AS56:AS100)</f>
        <v>0.1373550986903391</v>
      </c>
      <c r="AT104" s="355"/>
      <c r="AU104" s="1078">
        <f>SUM(AU56:AU100)</f>
        <v>4.2454837931852542E-2</v>
      </c>
    </row>
    <row r="105" spans="2:77" ht="13.5" thickBot="1">
      <c r="B105" s="1202"/>
      <c r="C105" s="1069" t="s">
        <v>252</v>
      </c>
      <c r="D105" s="1067"/>
      <c r="E105" s="1067"/>
      <c r="F105" s="1069"/>
      <c r="G105" s="1067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1068"/>
      <c r="X105" s="1068"/>
      <c r="Y105" s="1068"/>
      <c r="Z105" s="1068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7"/>
      <c r="AK105" s="1067"/>
      <c r="AL105" s="1021"/>
      <c r="AN105" s="1075" t="s">
        <v>931</v>
      </c>
      <c r="AO105" s="1076">
        <f>((AO101-AO104)/AO104)</f>
        <v>1.5358548264104066E-16</v>
      </c>
      <c r="AP105" s="367"/>
      <c r="AQ105" s="1087">
        <f t="shared" ref="AQ105" si="31">((AQ101-AQ104)/AQ104)</f>
        <v>0</v>
      </c>
      <c r="AR105" s="367"/>
      <c r="AS105" s="1087">
        <f t="shared" ref="AS105" si="32">((AS101-AS104)/AS104)</f>
        <v>2.0207168048564845E-16</v>
      </c>
      <c r="AT105" s="367"/>
      <c r="AU105" s="1087">
        <f>((AU101-AU104)/AU104)</f>
        <v>3.2688354222646519E-16</v>
      </c>
    </row>
    <row r="106" spans="2:77">
      <c r="B106" s="1202"/>
      <c r="C106" s="905" t="str">
        <f>AY24</f>
        <v>R-BLD_Det_A</v>
      </c>
      <c r="D106" s="906" t="str">
        <f>AZ24</f>
        <v>Residential Building Detached _ A</v>
      </c>
      <c r="E106" s="906">
        <v>2018</v>
      </c>
      <c r="F106" s="905" t="str">
        <f>COMM!O11</f>
        <v>RSDSH_Det-AB</v>
      </c>
      <c r="G106" s="906" t="s">
        <v>948</v>
      </c>
      <c r="H106" s="908">
        <f>BI8/1000</f>
        <v>37.364451209178156</v>
      </c>
      <c r="I106" s="908">
        <f>DwellingStocks!K34/1000</f>
        <v>0.47186271023077675</v>
      </c>
      <c r="J106" s="908">
        <f>DwellingStocks!N34/1000</f>
        <v>5.6840158084525259</v>
      </c>
      <c r="K106" s="908">
        <f>DwellingStocks!Q34/1000</f>
        <v>2.5019451434121076</v>
      </c>
      <c r="L106" s="908">
        <f>DwellingStocks!T34/1000</f>
        <v>1.0753594871171821</v>
      </c>
      <c r="M106" s="908">
        <f>DwellingStocks!W34/1000</f>
        <v>0.58013586730971045</v>
      </c>
      <c r="N106" s="908">
        <f>DwellingStocks!Z34/1000</f>
        <v>0.1927775924290504</v>
      </c>
      <c r="O106" s="908">
        <f>DwellingStocks!AC34/1000</f>
        <v>1.2535593006061714</v>
      </c>
      <c r="P106" s="908">
        <f>DwellingStocks!AF34/1000</f>
        <v>3.0851721089169395</v>
      </c>
      <c r="Q106" s="908">
        <f>DwellingStocks!AI34/1000</f>
        <v>0.52551358690336702</v>
      </c>
      <c r="R106" s="908">
        <f>DwellingStocks!AL34/1000</f>
        <v>0.5779383118570991</v>
      </c>
      <c r="S106" s="908">
        <f>DwellingStocks!AO34/1000</f>
        <v>1.5383444077400852</v>
      </c>
      <c r="T106" s="908">
        <f>DwellingStocks!AR34/1000</f>
        <v>1.6026222316292691</v>
      </c>
      <c r="U106" s="908">
        <f>DwellingStocks!AU34/1000</f>
        <v>0.81116295791941484</v>
      </c>
      <c r="V106" s="908">
        <f>DwellingStocks!AX34/1000</f>
        <v>5.3643308783452941</v>
      </c>
      <c r="W106" s="908">
        <f>DwellingStocks!BA34/1000</f>
        <v>1.355416331673154</v>
      </c>
      <c r="X106" s="908">
        <f>DwellingStocks!BD34/1000</f>
        <v>1.1729935073658804</v>
      </c>
      <c r="Y106" s="908">
        <f>DwellingStocks!BG34/1000</f>
        <v>1.0044898081821196</v>
      </c>
      <c r="Z106" s="908">
        <f>DwellingStocks!BJ34/1000</f>
        <v>1.0195610081359703</v>
      </c>
      <c r="AA106" s="908">
        <f>DwellingStocks!BM34/1000</f>
        <v>2.6172747273644483</v>
      </c>
      <c r="AB106" s="908">
        <f>DwellingStocks!BP34/1000</f>
        <v>3.2548855887212125E-2</v>
      </c>
      <c r="AC106" s="908">
        <f>DwellingStocks!BS34/1000</f>
        <v>1.3352338722249208</v>
      </c>
      <c r="AD106" s="908">
        <f>DwellingStocks!BV34/1000</f>
        <v>0.41411948867046905</v>
      </c>
      <c r="AE106" s="908">
        <f>DwellingStocks!BY34/1000</f>
        <v>0.57288829107204087</v>
      </c>
      <c r="AF106" s="908">
        <f>DwellingStocks!CB34/1000</f>
        <v>0.55280668901212782</v>
      </c>
      <c r="AG106" s="908">
        <f>DwellingStocks!CE34/1000</f>
        <v>1.4385044916382623</v>
      </c>
      <c r="AH106" s="908">
        <f>DwellingStocks!CH34/1000</f>
        <v>0.58387374508255463</v>
      </c>
      <c r="AI106" s="908">
        <v>1</v>
      </c>
      <c r="AJ106" s="906">
        <v>100</v>
      </c>
      <c r="AK106" s="906">
        <v>1</v>
      </c>
      <c r="AL106" s="1014">
        <f>AN106</f>
        <v>7.6828867282567343E-3</v>
      </c>
      <c r="AN106" s="1095">
        <f>ABS(BR69*DwellingStocks!Y18*(1+AO153))</f>
        <v>7.6828867282567343E-3</v>
      </c>
      <c r="AO106" s="1096">
        <f>AN106*H106</f>
        <v>0.28706684630359114</v>
      </c>
      <c r="AP106" s="1097"/>
      <c r="AQ106" s="1098"/>
      <c r="AR106" s="1097"/>
      <c r="AS106" s="1098"/>
      <c r="AT106" s="1096"/>
      <c r="AU106" s="1098"/>
    </row>
    <row r="107" spans="2:77">
      <c r="B107" s="1202"/>
      <c r="C107" s="490"/>
      <c r="D107" s="489"/>
      <c r="E107" s="489"/>
      <c r="F107" s="1018" t="s">
        <v>949</v>
      </c>
      <c r="G107" s="489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489"/>
      <c r="AK107" s="489"/>
      <c r="AL107" s="1017">
        <v>0</v>
      </c>
      <c r="AN107" s="1077"/>
      <c r="AO107" s="1074"/>
      <c r="AP107" s="1081"/>
      <c r="AQ107" s="1078"/>
      <c r="AR107" s="1081"/>
      <c r="AS107" s="1078"/>
      <c r="AT107" s="1074"/>
      <c r="AU107" s="1078"/>
    </row>
    <row r="108" spans="2:77">
      <c r="B108" s="1202"/>
      <c r="C108" s="328"/>
      <c r="D108" s="328"/>
      <c r="E108" s="328"/>
      <c r="F108" s="417" t="s">
        <v>950</v>
      </c>
      <c r="G108" s="328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328"/>
      <c r="AK108" s="328"/>
      <c r="AL108" s="1021">
        <f>AP108</f>
        <v>6.631249404228697E-3</v>
      </c>
      <c r="AN108" s="1077"/>
      <c r="AO108" s="1074"/>
      <c r="AP108" s="1081">
        <f>BS69*(1+AQ153)</f>
        <v>6.631249404228697E-3</v>
      </c>
      <c r="AQ108" s="1078">
        <f>AP108*H106</f>
        <v>0.24777299482019488</v>
      </c>
      <c r="AR108" s="1081"/>
      <c r="AS108" s="1078"/>
      <c r="AT108" s="1074"/>
      <c r="AU108" s="1078"/>
    </row>
    <row r="109" spans="2:77">
      <c r="B109" s="1202"/>
      <c r="C109" s="490"/>
      <c r="D109" s="489"/>
      <c r="E109" s="489"/>
      <c r="F109" s="1018" t="s">
        <v>951</v>
      </c>
      <c r="G109" s="489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489"/>
      <c r="AK109" s="489"/>
      <c r="AL109" s="1017">
        <f>AR109</f>
        <v>1.3167393056363601E-3</v>
      </c>
      <c r="AN109" s="1077"/>
      <c r="AO109" s="1074"/>
      <c r="AP109" s="1081"/>
      <c r="AQ109" s="1078"/>
      <c r="AR109" s="1081">
        <f>BT69*(1+AS153)</f>
        <v>1.3167393056363601E-3</v>
      </c>
      <c r="AS109" s="1078">
        <f>AR109*H106</f>
        <v>4.9199241540656899E-2</v>
      </c>
      <c r="AT109" s="1074"/>
      <c r="AU109" s="1078"/>
    </row>
    <row r="110" spans="2:77" ht="13.5" thickBot="1">
      <c r="B110" s="1202"/>
      <c r="C110" s="909"/>
      <c r="D110" s="909"/>
      <c r="E110" s="909"/>
      <c r="F110" s="1023" t="s">
        <v>952</v>
      </c>
      <c r="G110" s="909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09"/>
      <c r="AK110" s="909"/>
      <c r="AL110" s="1022">
        <f>AT110</f>
        <v>9.4028057450655728E-4</v>
      </c>
      <c r="AN110" s="1099"/>
      <c r="AO110" s="1079"/>
      <c r="AP110" s="1100"/>
      <c r="AQ110" s="1080"/>
      <c r="AR110" s="1100"/>
      <c r="AS110" s="1080"/>
      <c r="AT110" s="1101">
        <f>BU69*(1+AU153)</f>
        <v>9.4028057450655728E-4</v>
      </c>
      <c r="AU110" s="1080">
        <f>AT110*H106</f>
        <v>3.5133067649088266E-2</v>
      </c>
    </row>
    <row r="111" spans="2:77">
      <c r="B111" s="1202"/>
      <c r="C111" s="905" t="str">
        <f>AY25</f>
        <v>R-BLD_Det_B1</v>
      </c>
      <c r="D111" s="906" t="str">
        <f>AZ25</f>
        <v>Residential Building Detached _ B1</v>
      </c>
      <c r="E111" s="906">
        <v>2018</v>
      </c>
      <c r="F111" s="905" t="str">
        <f>COMM!O11</f>
        <v>RSDSH_Det-AB</v>
      </c>
      <c r="G111" s="906" t="s">
        <v>948</v>
      </c>
      <c r="H111" s="908">
        <f>BI9/1000</f>
        <v>8.1867925913057995</v>
      </c>
      <c r="I111" s="908">
        <f>DwellingStocks!K35/1000</f>
        <v>0.12375780764357298</v>
      </c>
      <c r="J111" s="908">
        <f>DwellingStocks!N35/1000</f>
        <v>0.8466673768432933</v>
      </c>
      <c r="K111" s="908">
        <f>DwellingStocks!Q35/1000</f>
        <v>0.3674832015911404</v>
      </c>
      <c r="L111" s="908">
        <f>DwellingStocks!T35/1000</f>
        <v>0.21285039161267719</v>
      </c>
      <c r="M111" s="908">
        <f>DwellingStocks!W35/1000</f>
        <v>0.12866823477069239</v>
      </c>
      <c r="N111" s="908">
        <f>DwellingStocks!Z35/1000</f>
        <v>0.10949576034253809</v>
      </c>
      <c r="O111" s="908">
        <f>DwellingStocks!AC35/1000</f>
        <v>0.28973384612615904</v>
      </c>
      <c r="P111" s="908">
        <f>DwellingStocks!AF35/1000</f>
        <v>0.35566139766064575</v>
      </c>
      <c r="Q111" s="908">
        <f>DwellingStocks!AI35/1000</f>
        <v>0.14859516248169818</v>
      </c>
      <c r="R111" s="908">
        <f>DwellingStocks!AL35/1000</f>
        <v>0.13925904889812826</v>
      </c>
      <c r="S111" s="908">
        <f>DwellingStocks!AO35/1000</f>
        <v>0.28710307092951454</v>
      </c>
      <c r="T111" s="908">
        <f>DwellingStocks!AR35/1000</f>
        <v>0.23319134962091179</v>
      </c>
      <c r="U111" s="908">
        <f>DwellingStocks!AU35/1000</f>
        <v>0.19272717299827924</v>
      </c>
      <c r="V111" s="908">
        <f>DwellingStocks!AX35/1000</f>
        <v>1.2448498339622822</v>
      </c>
      <c r="W111" s="908">
        <f>DwellingStocks!BA35/1000</f>
        <v>0.63390151287867169</v>
      </c>
      <c r="X111" s="908">
        <f>DwellingStocks!BD35/1000</f>
        <v>0.27055002609827489</v>
      </c>
      <c r="Y111" s="908">
        <f>DwellingStocks!BG35/1000</f>
        <v>0.38142936725340382</v>
      </c>
      <c r="Z111" s="908">
        <f>DwellingStocks!BJ35/1000</f>
        <v>0.26643764216236093</v>
      </c>
      <c r="AA111" s="908">
        <f>DwellingStocks!BM35/1000</f>
        <v>0.59940483730921779</v>
      </c>
      <c r="AB111" s="908">
        <f>DwellingStocks!BP35/1000</f>
        <v>7.5112744355104899E-2</v>
      </c>
      <c r="AC111" s="908">
        <f>DwellingStocks!BS35/1000</f>
        <v>0.2999443049200215</v>
      </c>
      <c r="AD111" s="908">
        <f>DwellingStocks!BV35/1000</f>
        <v>8.1804609103641762E-2</v>
      </c>
      <c r="AE111" s="908">
        <f>DwellingStocks!BY35/1000</f>
        <v>0.17978583084080257</v>
      </c>
      <c r="AF111" s="908">
        <f>DwellingStocks!CB35/1000</f>
        <v>0.15747913172361708</v>
      </c>
      <c r="AG111" s="908">
        <f>DwellingStocks!CE35/1000</f>
        <v>0.3534699153088367</v>
      </c>
      <c r="AH111" s="908">
        <f>DwellingStocks!CH35/1000</f>
        <v>0.20742901387031404</v>
      </c>
      <c r="AI111" s="908">
        <v>1</v>
      </c>
      <c r="AJ111" s="906">
        <v>100</v>
      </c>
      <c r="AK111" s="906">
        <v>1</v>
      </c>
      <c r="AL111" s="1014">
        <f>AN111</f>
        <v>3.1367612194817929E-2</v>
      </c>
      <c r="AN111" s="1095">
        <f>ABS(BR70*DwellingStocks!Y19*(1+AO153))</f>
        <v>3.1367612194817929E-2</v>
      </c>
      <c r="AO111" s="1096">
        <f>AN111*H111</f>
        <v>0.25680013512348887</v>
      </c>
      <c r="AP111" s="1097"/>
      <c r="AQ111" s="1098"/>
      <c r="AR111" s="1097"/>
      <c r="AS111" s="1098"/>
      <c r="AT111" s="1096"/>
      <c r="AU111" s="1098"/>
    </row>
    <row r="112" spans="2:77">
      <c r="B112" s="1202"/>
      <c r="C112" s="490"/>
      <c r="D112" s="489"/>
      <c r="E112" s="489"/>
      <c r="F112" s="1018" t="s">
        <v>949</v>
      </c>
      <c r="G112" s="489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489"/>
      <c r="AK112" s="489"/>
      <c r="AL112" s="1017">
        <v>0</v>
      </c>
      <c r="AN112" s="1077"/>
      <c r="AO112" s="1074"/>
      <c r="AP112" s="1081"/>
      <c r="AQ112" s="1078"/>
      <c r="AR112" s="1081"/>
      <c r="AS112" s="1078"/>
      <c r="AT112" s="1074"/>
      <c r="AU112" s="1078"/>
      <c r="BY112" s="1206"/>
    </row>
    <row r="113" spans="1:77">
      <c r="B113" s="1202"/>
      <c r="C113" s="328"/>
      <c r="D113" s="328"/>
      <c r="E113" s="328"/>
      <c r="F113" s="417" t="s">
        <v>950</v>
      </c>
      <c r="G113" s="328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328"/>
      <c r="AK113" s="328"/>
      <c r="AL113" s="1021">
        <f>AP113</f>
        <v>8.844977307114945E-3</v>
      </c>
      <c r="AN113" s="1077"/>
      <c r="AO113" s="1074"/>
      <c r="AP113" s="1081">
        <f>BS70*(1+AQ153)</f>
        <v>8.844977307114945E-3</v>
      </c>
      <c r="AQ113" s="1078">
        <f>AP113*H111</f>
        <v>7.2411994688156553E-2</v>
      </c>
      <c r="AR113" s="1081"/>
      <c r="AS113" s="1078"/>
      <c r="AT113" s="1074"/>
      <c r="AU113" s="1078"/>
      <c r="BY113" s="1206"/>
    </row>
    <row r="114" spans="1:77">
      <c r="B114" s="1202"/>
      <c r="C114" s="490"/>
      <c r="D114" s="489"/>
      <c r="E114" s="489"/>
      <c r="F114" s="1018" t="s">
        <v>951</v>
      </c>
      <c r="G114" s="489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489"/>
      <c r="AK114" s="489"/>
      <c r="AL114" s="1017">
        <f>AR114</f>
        <v>1.757527810410075E-3</v>
      </c>
      <c r="AN114" s="1077"/>
      <c r="AO114" s="1074"/>
      <c r="AP114" s="1081"/>
      <c r="AQ114" s="1078"/>
      <c r="AR114" s="1081">
        <f>BT70*(1+AS153)</f>
        <v>1.757527810410075E-3</v>
      </c>
      <c r="AS114" s="1078">
        <f>AR114*H111</f>
        <v>1.4388515657279105E-2</v>
      </c>
      <c r="AT114" s="1074"/>
      <c r="AU114" s="1078"/>
      <c r="AW114" s="1206"/>
      <c r="AX114" s="1206"/>
      <c r="AY114" s="1206"/>
      <c r="AZ114" s="1206"/>
      <c r="BA114" s="1206"/>
      <c r="BB114" s="1206"/>
      <c r="BC114" s="1206"/>
      <c r="BD114" s="1206"/>
      <c r="BE114" s="1206"/>
      <c r="BF114" s="1206"/>
      <c r="BG114" s="1206"/>
      <c r="BH114" s="1206"/>
      <c r="BI114" s="1206"/>
      <c r="BJ114" s="1206"/>
      <c r="BK114" s="1206"/>
      <c r="BL114" s="1206"/>
      <c r="BM114" s="1206"/>
      <c r="BN114" s="1206"/>
      <c r="BO114" s="1206"/>
      <c r="BP114" s="1206"/>
      <c r="BQ114" s="1206"/>
      <c r="BR114" s="1206"/>
      <c r="BS114" s="1206"/>
      <c r="BT114" s="1206"/>
      <c r="BU114" s="1206"/>
      <c r="BV114" s="1206"/>
      <c r="BW114" s="1206"/>
      <c r="BX114" s="1206"/>
      <c r="BY114" s="1206"/>
    </row>
    <row r="115" spans="1:77" ht="13.5" thickBot="1">
      <c r="B115" s="1202"/>
      <c r="C115" s="909"/>
      <c r="D115" s="909"/>
      <c r="E115" s="909"/>
      <c r="F115" s="1023" t="s">
        <v>952</v>
      </c>
      <c r="G115" s="909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09"/>
      <c r="AK115" s="909"/>
      <c r="AL115" s="1022">
        <f>AT115</f>
        <v>6.7447612626598966E-4</v>
      </c>
      <c r="AN115" s="1099"/>
      <c r="AO115" s="1079"/>
      <c r="AP115" s="1100"/>
      <c r="AQ115" s="1080"/>
      <c r="AR115" s="1100"/>
      <c r="AS115" s="1080"/>
      <c r="AT115" s="1101">
        <f>BU70*(1+AU153)</f>
        <v>6.7447612626598966E-4</v>
      </c>
      <c r="AU115" s="1080">
        <f>AT115*H111</f>
        <v>5.521796153527039E-3</v>
      </c>
      <c r="AW115" s="1206"/>
      <c r="AX115" s="1206"/>
      <c r="AY115" s="1206"/>
      <c r="AZ115" s="1206"/>
      <c r="BA115" s="1206"/>
      <c r="BB115" s="1206"/>
      <c r="BC115" s="1206"/>
      <c r="BD115" s="1206"/>
      <c r="BE115" s="1206"/>
      <c r="BF115" s="1206"/>
      <c r="BG115" s="1206"/>
      <c r="BH115" s="1206"/>
      <c r="BI115" s="1206"/>
      <c r="BJ115" s="1206"/>
      <c r="BK115" s="1206"/>
      <c r="BL115" s="1206"/>
      <c r="BM115" s="1206"/>
      <c r="BN115" s="1206"/>
      <c r="BO115" s="1206"/>
      <c r="BP115" s="1206"/>
      <c r="BQ115" s="1206"/>
      <c r="BR115" s="1206"/>
      <c r="BS115" s="1206"/>
      <c r="BT115" s="1206"/>
      <c r="BU115" s="1206"/>
      <c r="BV115" s="1206"/>
      <c r="BW115" s="1206"/>
      <c r="BX115" s="1206"/>
      <c r="BY115" s="1206"/>
    </row>
    <row r="116" spans="1:77">
      <c r="B116" s="1202"/>
      <c r="C116" s="905" t="str">
        <f>AY26</f>
        <v>R-BLD_Det_B2</v>
      </c>
      <c r="D116" s="906" t="str">
        <f>AZ26</f>
        <v>Residential Building Detached _ B2</v>
      </c>
      <c r="E116" s="906">
        <v>2018</v>
      </c>
      <c r="F116" s="905" t="str">
        <f>COMM!O11</f>
        <v>RSDSH_Det-AB</v>
      </c>
      <c r="G116" s="906" t="s">
        <v>948</v>
      </c>
      <c r="H116" s="908">
        <f>BI10/1000</f>
        <v>18.974694526816247</v>
      </c>
      <c r="I116" s="908">
        <f>DwellingStocks!K36/1000</f>
        <v>0.23488726756841405</v>
      </c>
      <c r="J116" s="908">
        <f>DwellingStocks!N36/1000</f>
        <v>1.8016294181665427</v>
      </c>
      <c r="K116" s="908">
        <f>DwellingStocks!Q36/1000</f>
        <v>0.94338971154740525</v>
      </c>
      <c r="L116" s="908">
        <f>DwellingStocks!T36/1000</f>
        <v>0.43965818595405454</v>
      </c>
      <c r="M116" s="908">
        <f>DwellingStocks!W36/1000</f>
        <v>0.38002013525297518</v>
      </c>
      <c r="N116" s="908">
        <f>DwellingStocks!Z36/1000</f>
        <v>0.22700340558818871</v>
      </c>
      <c r="O116" s="908">
        <f>DwellingStocks!AC36/1000</f>
        <v>0.66902179014585805</v>
      </c>
      <c r="P116" s="908">
        <f>DwellingStocks!AF36/1000</f>
        <v>0.91286425399565752</v>
      </c>
      <c r="Q116" s="908">
        <f>DwellingStocks!AI36/1000</f>
        <v>0.29388821024158085</v>
      </c>
      <c r="R116" s="908">
        <f>DwellingStocks!AL36/1000</f>
        <v>0.34388459013619427</v>
      </c>
      <c r="S116" s="908">
        <f>DwellingStocks!AO36/1000</f>
        <v>0.80995744400440284</v>
      </c>
      <c r="T116" s="908">
        <f>DwellingStocks!AR36/1000</f>
        <v>0.61310984057632978</v>
      </c>
      <c r="U116" s="908">
        <f>DwellingStocks!AU36/1000</f>
        <v>0.59547754734083713</v>
      </c>
      <c r="V116" s="908">
        <f>DwellingStocks!AX36/1000</f>
        <v>3.0535594395442418</v>
      </c>
      <c r="W116" s="908">
        <f>DwellingStocks!BA36/1000</f>
        <v>1.250124497509731</v>
      </c>
      <c r="X116" s="908">
        <f>DwellingStocks!BD36/1000</f>
        <v>0.62308490858996646</v>
      </c>
      <c r="Y116" s="908">
        <f>DwellingStocks!BG36/1000</f>
        <v>0.72818333748377084</v>
      </c>
      <c r="Z116" s="908">
        <f>DwellingStocks!BJ36/1000</f>
        <v>0.51134496980655131</v>
      </c>
      <c r="AA116" s="908">
        <f>DwellingStocks!BM36/1000</f>
        <v>1.4395962331956424</v>
      </c>
      <c r="AB116" s="908">
        <f>DwellingStocks!BP36/1000</f>
        <v>0.22283447492014455</v>
      </c>
      <c r="AC116" s="908">
        <f>DwellingStocks!BS36/1000</f>
        <v>0.6133996145661702</v>
      </c>
      <c r="AD116" s="908">
        <f>DwellingStocks!BV36/1000</f>
        <v>0.28339453868047326</v>
      </c>
      <c r="AE116" s="908">
        <f>DwellingStocks!BY36/1000</f>
        <v>0.30053750827119236</v>
      </c>
      <c r="AF116" s="908">
        <f>DwellingStocks!CB36/1000</f>
        <v>0.49415865471893639</v>
      </c>
      <c r="AG116" s="908">
        <f>DwellingStocks!CE36/1000</f>
        <v>0.82476313572061888</v>
      </c>
      <c r="AH116" s="908">
        <f>DwellingStocks!CH36/1000</f>
        <v>0.36492141329036731</v>
      </c>
      <c r="AI116" s="908">
        <v>1</v>
      </c>
      <c r="AJ116" s="906">
        <v>100</v>
      </c>
      <c r="AK116" s="906">
        <v>1</v>
      </c>
      <c r="AL116" s="1014">
        <f>AN116</f>
        <v>5.009187999522411E-2</v>
      </c>
      <c r="AN116" s="1095">
        <f>ABS(BR71*DwellingStocks!Y20*(1+AO153))</f>
        <v>5.009187999522411E-2</v>
      </c>
      <c r="AO116" s="1096">
        <f>AN116*H116</f>
        <v>0.95047812118331521</v>
      </c>
      <c r="AP116" s="1097"/>
      <c r="AQ116" s="1098"/>
      <c r="AR116" s="1097"/>
      <c r="AS116" s="1098"/>
      <c r="AT116" s="1096"/>
      <c r="AU116" s="1098"/>
      <c r="AW116" s="1206"/>
      <c r="AX116" s="1206"/>
      <c r="AY116" s="1206"/>
      <c r="AZ116" s="1206"/>
      <c r="BA116" s="1206"/>
      <c r="BB116" s="1206"/>
      <c r="BC116" s="1206"/>
      <c r="BD116" s="1206"/>
      <c r="BE116" s="1206"/>
      <c r="BF116" s="1206"/>
      <c r="BG116" s="1206"/>
      <c r="BH116" s="1206"/>
      <c r="BI116" s="1206"/>
      <c r="BJ116" s="1206"/>
      <c r="BK116" s="1206"/>
      <c r="BL116" s="1206"/>
      <c r="BM116" s="1206"/>
      <c r="BN116" s="1206"/>
      <c r="BO116" s="1206"/>
      <c r="BP116" s="1206"/>
      <c r="BQ116" s="1206"/>
      <c r="BR116" s="1206"/>
      <c r="BS116" s="1206"/>
      <c r="BT116" s="1206"/>
      <c r="BU116" s="1206"/>
      <c r="BV116" s="1206"/>
      <c r="BW116" s="1206"/>
      <c r="BX116" s="1206"/>
      <c r="BY116" s="1206"/>
    </row>
    <row r="117" spans="1:77">
      <c r="A117" s="1209"/>
      <c r="B117" s="1202"/>
      <c r="C117" s="490"/>
      <c r="D117" s="489"/>
      <c r="E117" s="489"/>
      <c r="F117" s="1018" t="s">
        <v>949</v>
      </c>
      <c r="G117" s="489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489"/>
      <c r="AK117" s="489"/>
      <c r="AL117" s="1017">
        <v>0</v>
      </c>
      <c r="AN117" s="1077"/>
      <c r="AO117" s="1074"/>
      <c r="AP117" s="1081"/>
      <c r="AQ117" s="1078"/>
      <c r="AR117" s="1081"/>
      <c r="AS117" s="1078"/>
      <c r="AT117" s="1074"/>
      <c r="AU117" s="1078"/>
      <c r="AW117" s="1206"/>
      <c r="AX117" s="1206"/>
      <c r="AY117" s="1206"/>
      <c r="AZ117" s="1206"/>
      <c r="BA117" s="1206"/>
      <c r="BB117" s="1206"/>
      <c r="BC117" s="1206"/>
      <c r="BD117" s="1206"/>
      <c r="BE117" s="1206"/>
      <c r="BF117" s="1206"/>
      <c r="BG117" s="1206"/>
      <c r="BH117" s="1206"/>
      <c r="BI117" s="1206"/>
      <c r="BJ117" s="1206"/>
      <c r="BK117" s="1206"/>
      <c r="BL117" s="1206"/>
      <c r="BM117" s="1206"/>
      <c r="BN117" s="1206"/>
      <c r="BO117" s="1206"/>
      <c r="BP117" s="1206"/>
      <c r="BQ117" s="1206"/>
      <c r="BR117" s="1206"/>
      <c r="BS117" s="1206"/>
      <c r="BT117" s="1206"/>
      <c r="BU117" s="1206"/>
      <c r="BV117" s="1206"/>
      <c r="BW117" s="1206"/>
      <c r="BX117" s="1206"/>
      <c r="BY117" s="1206"/>
    </row>
    <row r="118" spans="1:77">
      <c r="A118" s="1209"/>
      <c r="B118" s="1202"/>
      <c r="C118" s="328"/>
      <c r="D118" s="328"/>
      <c r="E118" s="328"/>
      <c r="F118" s="417" t="s">
        <v>950</v>
      </c>
      <c r="G118" s="328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328"/>
      <c r="AK118" s="328"/>
      <c r="AL118" s="1021">
        <f>AP118</f>
        <v>1.1661340939086575E-2</v>
      </c>
      <c r="AN118" s="1077"/>
      <c r="AO118" s="1074"/>
      <c r="AP118" s="1081">
        <f>BS71*(1+AQ153)</f>
        <v>1.1661340939086575E-2</v>
      </c>
      <c r="AQ118" s="1078">
        <f>AP118*H116</f>
        <v>0.22127038209222427</v>
      </c>
      <c r="AR118" s="1081"/>
      <c r="AS118" s="1078"/>
      <c r="AT118" s="1074"/>
      <c r="AU118" s="1078"/>
      <c r="AW118" s="1206"/>
      <c r="AX118" s="1206"/>
      <c r="AY118" s="1206"/>
      <c r="AZ118" s="1206"/>
      <c r="BA118" s="1206"/>
      <c r="BB118" s="1206"/>
      <c r="BC118" s="1206"/>
      <c r="BD118" s="1206"/>
      <c r="BE118" s="1206"/>
      <c r="BF118" s="1206"/>
      <c r="BG118" s="1206"/>
      <c r="BH118" s="1206"/>
      <c r="BI118" s="1206"/>
      <c r="BJ118" s="1206"/>
      <c r="BK118" s="1206"/>
      <c r="BL118" s="1206"/>
      <c r="BM118" s="1206"/>
      <c r="BN118" s="1206"/>
      <c r="BO118" s="1206"/>
      <c r="BP118" s="1206"/>
      <c r="BQ118" s="1206"/>
      <c r="BR118" s="1206"/>
      <c r="BS118" s="1206"/>
      <c r="BT118" s="1206"/>
      <c r="BU118" s="1206"/>
      <c r="BV118" s="1206"/>
      <c r="BW118" s="1206"/>
      <c r="BX118" s="1206"/>
      <c r="BY118" s="1206"/>
    </row>
    <row r="119" spans="1:77">
      <c r="A119" s="1209"/>
      <c r="B119" s="1202"/>
      <c r="C119" s="490"/>
      <c r="D119" s="489"/>
      <c r="E119" s="489"/>
      <c r="F119" s="1018" t="s">
        <v>951</v>
      </c>
      <c r="G119" s="489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489"/>
      <c r="AK119" s="489"/>
      <c r="AL119" s="1017">
        <f>AR119</f>
        <v>1.9925381527511111E-3</v>
      </c>
      <c r="AN119" s="1077"/>
      <c r="AO119" s="1074"/>
      <c r="AP119" s="1081"/>
      <c r="AQ119" s="1078"/>
      <c r="AR119" s="1081">
        <f>BT71*(1+AS153)</f>
        <v>1.9925381527511111E-3</v>
      </c>
      <c r="AS119" s="1078">
        <f>AR119*H116</f>
        <v>3.7807802781479063E-2</v>
      </c>
      <c r="AT119" s="1074"/>
      <c r="AU119" s="1078"/>
      <c r="AW119" s="1206"/>
      <c r="AX119" s="1206"/>
      <c r="AY119" s="1206"/>
      <c r="AZ119" s="1206"/>
      <c r="BA119" s="1206"/>
      <c r="BB119" s="1206"/>
      <c r="BC119" s="1206"/>
      <c r="BD119" s="1206"/>
      <c r="BE119" s="1206"/>
      <c r="BF119" s="1206"/>
      <c r="BG119" s="1206"/>
      <c r="BH119" s="1206"/>
      <c r="BI119" s="1206"/>
      <c r="BJ119" s="1206"/>
      <c r="BK119" s="1206"/>
      <c r="BL119" s="1206"/>
      <c r="BM119" s="1206"/>
      <c r="BN119" s="1206"/>
      <c r="BO119" s="1206"/>
      <c r="BP119" s="1206"/>
      <c r="BQ119" s="1206"/>
      <c r="BR119" s="1206"/>
      <c r="BS119" s="1206"/>
      <c r="BT119" s="1206"/>
      <c r="BU119" s="1206"/>
      <c r="BV119" s="1206"/>
      <c r="BW119" s="1206"/>
      <c r="BX119" s="1206"/>
      <c r="BY119" s="1206"/>
    </row>
    <row r="120" spans="1:77" ht="13.5" thickBot="1">
      <c r="A120" s="1209"/>
      <c r="B120" s="1202"/>
      <c r="C120" s="909"/>
      <c r="D120" s="909"/>
      <c r="E120" s="909"/>
      <c r="F120" s="1023" t="s">
        <v>952</v>
      </c>
      <c r="G120" s="909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09"/>
      <c r="AK120" s="909"/>
      <c r="AL120" s="1022">
        <f>AT120</f>
        <v>5.312459497903441E-4</v>
      </c>
      <c r="AN120" s="1099"/>
      <c r="AO120" s="1079"/>
      <c r="AP120" s="1100"/>
      <c r="AQ120" s="1080"/>
      <c r="AR120" s="1100"/>
      <c r="AS120" s="1080"/>
      <c r="AT120" s="1101">
        <f>BU71*(1+AU153)</f>
        <v>5.312459497903441E-4</v>
      </c>
      <c r="AU120" s="1080">
        <f>AT120*H116</f>
        <v>1.0080229615880142E-2</v>
      </c>
      <c r="AW120" s="1206"/>
      <c r="AX120" s="1206"/>
      <c r="AY120" s="1206"/>
      <c r="AZ120" s="1206"/>
      <c r="BA120" s="1206"/>
      <c r="BB120" s="1206"/>
      <c r="BC120" s="1206"/>
      <c r="BD120" s="1206"/>
      <c r="BE120" s="1206"/>
      <c r="BF120" s="1206"/>
      <c r="BG120" s="1206"/>
      <c r="BH120" s="1206"/>
      <c r="BI120" s="1206"/>
      <c r="BJ120" s="1206"/>
      <c r="BK120" s="1206"/>
      <c r="BL120" s="1206"/>
      <c r="BM120" s="1206"/>
      <c r="BN120" s="1206"/>
      <c r="BO120" s="1206"/>
      <c r="BP120" s="1206"/>
      <c r="BQ120" s="1206"/>
      <c r="BR120" s="1206"/>
      <c r="BS120" s="1206"/>
      <c r="BT120" s="1206"/>
      <c r="BU120" s="1206"/>
      <c r="BV120" s="1206"/>
      <c r="BW120" s="1206"/>
      <c r="BX120" s="1206"/>
      <c r="BY120" s="1206"/>
    </row>
    <row r="121" spans="1:77">
      <c r="A121" s="1209"/>
      <c r="B121" s="1202"/>
      <c r="C121" s="905" t="str">
        <f>AY27</f>
        <v>R-BLD_Det_B3</v>
      </c>
      <c r="D121" s="906" t="str">
        <f>AZ27</f>
        <v>Residential Building Detached _ B3</v>
      </c>
      <c r="E121" s="906">
        <v>2018</v>
      </c>
      <c r="F121" s="905" t="str">
        <f>COMM!O11</f>
        <v>RSDSH_Det-AB</v>
      </c>
      <c r="G121" s="906" t="s">
        <v>948</v>
      </c>
      <c r="H121" s="908">
        <f>BI11/1000</f>
        <v>54.54908889887416</v>
      </c>
      <c r="I121" s="908">
        <f>DwellingStocks!K37/1000</f>
        <v>0.73496983723019882</v>
      </c>
      <c r="J121" s="908">
        <f>DwellingStocks!N37/1000</f>
        <v>3.9010691636529646</v>
      </c>
      <c r="K121" s="908">
        <f>DwellingStocks!Q37/1000</f>
        <v>2.835653958546561</v>
      </c>
      <c r="L121" s="908">
        <f>DwellingStocks!T37/1000</f>
        <v>1.2771023496760632</v>
      </c>
      <c r="M121" s="908">
        <f>DwellingStocks!W37/1000</f>
        <v>1.1999060963499453</v>
      </c>
      <c r="N121" s="908">
        <f>DwellingStocks!Z37/1000</f>
        <v>0.69169272996871622</v>
      </c>
      <c r="O121" s="908">
        <f>DwellingStocks!AC37/1000</f>
        <v>1.6093398180280287</v>
      </c>
      <c r="P121" s="908">
        <f>DwellingStocks!AF37/1000</f>
        <v>2.7267373820649508</v>
      </c>
      <c r="Q121" s="908">
        <f>DwellingStocks!AI37/1000</f>
        <v>0.89487308961200462</v>
      </c>
      <c r="R121" s="908">
        <f>DwellingStocks!AL37/1000</f>
        <v>1.1282824982154473</v>
      </c>
      <c r="S121" s="908">
        <f>DwellingStocks!AO37/1000</f>
        <v>2.2081260577180553</v>
      </c>
      <c r="T121" s="908">
        <f>DwellingStocks!AR37/1000</f>
        <v>1.6297193198225519</v>
      </c>
      <c r="U121" s="908">
        <f>DwellingStocks!AU37/1000</f>
        <v>1.7493697241382269</v>
      </c>
      <c r="V121" s="908">
        <f>DwellingStocks!AX37/1000</f>
        <v>9.13343871613902</v>
      </c>
      <c r="W121" s="908">
        <f>DwellingStocks!BA37/1000</f>
        <v>2.8714980882193215</v>
      </c>
      <c r="X121" s="908">
        <f>DwellingStocks!BD37/1000</f>
        <v>2.1370719233217268</v>
      </c>
      <c r="Y121" s="908">
        <f>DwellingStocks!BG37/1000</f>
        <v>2.0698544684520375</v>
      </c>
      <c r="Z121" s="908">
        <f>DwellingStocks!BJ37/1000</f>
        <v>1.501739437642398</v>
      </c>
      <c r="AA121" s="908">
        <f>DwellingStocks!BM37/1000</f>
        <v>4.5032209572205328</v>
      </c>
      <c r="AB121" s="908">
        <f>DwellingStocks!BP37/1000</f>
        <v>0.58337564782464801</v>
      </c>
      <c r="AC121" s="908">
        <f>DwellingStocks!BS37/1000</f>
        <v>1.8888384607125681</v>
      </c>
      <c r="AD121" s="908">
        <f>DwellingStocks!BV37/1000</f>
        <v>1.1102054092637097</v>
      </c>
      <c r="AE121" s="908">
        <f>DwellingStocks!BY37/1000</f>
        <v>1.01163071980571</v>
      </c>
      <c r="AF121" s="908">
        <f>DwellingStocks!CB37/1000</f>
        <v>1.5313487981400005</v>
      </c>
      <c r="AG121" s="908">
        <f>DwellingStocks!CE37/1000</f>
        <v>2.5214187292030346</v>
      </c>
      <c r="AH121" s="908">
        <f>DwellingStocks!CH37/1000</f>
        <v>1.0986055179057372</v>
      </c>
      <c r="AI121" s="908">
        <v>1</v>
      </c>
      <c r="AJ121" s="906">
        <v>100</v>
      </c>
      <c r="AK121" s="906">
        <v>1</v>
      </c>
      <c r="AL121" s="1014">
        <f>AN121</f>
        <v>5.7890449395864664E-2</v>
      </c>
      <c r="AN121" s="1095">
        <f>ABS(BR72*DwellingStocks!Y21*(1+AO153))</f>
        <v>5.7890449395864664E-2</v>
      </c>
      <c r="AO121" s="1096">
        <f>AN121*H121</f>
        <v>3.1578712704907974</v>
      </c>
      <c r="AP121" s="1097"/>
      <c r="AQ121" s="1098"/>
      <c r="AR121" s="1097"/>
      <c r="AS121" s="1098"/>
      <c r="AT121" s="1096"/>
      <c r="AU121" s="1098"/>
      <c r="AW121" s="1206"/>
      <c r="AX121" s="1206"/>
      <c r="AY121" s="1206"/>
      <c r="AZ121" s="1206"/>
      <c r="BA121" s="1206"/>
      <c r="BB121" s="1206"/>
      <c r="BC121" s="1206"/>
      <c r="BD121" s="1206"/>
      <c r="BE121" s="1206"/>
      <c r="BF121" s="1206"/>
      <c r="BG121" s="1206"/>
      <c r="BH121" s="1206"/>
      <c r="BI121" s="1206"/>
      <c r="BJ121" s="1206"/>
      <c r="BK121" s="1206"/>
      <c r="BL121" s="1206"/>
      <c r="BM121" s="1206"/>
      <c r="BN121" s="1206"/>
      <c r="BO121" s="1206"/>
      <c r="BP121" s="1206"/>
      <c r="BQ121" s="1206"/>
      <c r="BR121" s="1206"/>
      <c r="BS121" s="1206"/>
      <c r="BT121" s="1206"/>
      <c r="BU121" s="1206"/>
      <c r="BV121" s="1206"/>
      <c r="BW121" s="1206"/>
      <c r="BX121" s="1206"/>
      <c r="BY121" s="1206"/>
    </row>
    <row r="122" spans="1:77">
      <c r="A122" s="1209"/>
      <c r="B122" s="1202"/>
      <c r="C122" s="490"/>
      <c r="D122" s="489"/>
      <c r="E122" s="489"/>
      <c r="F122" s="1018" t="s">
        <v>949</v>
      </c>
      <c r="G122" s="489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489"/>
      <c r="AK122" s="489"/>
      <c r="AL122" s="1017">
        <v>0</v>
      </c>
      <c r="AN122" s="1077"/>
      <c r="AO122" s="1074"/>
      <c r="AP122" s="1081"/>
      <c r="AQ122" s="1078"/>
      <c r="AR122" s="1081"/>
      <c r="AS122" s="1078"/>
      <c r="AT122" s="1074"/>
      <c r="AU122" s="1078"/>
      <c r="AW122" s="1206"/>
      <c r="AX122" s="1206"/>
      <c r="AY122" s="1206"/>
      <c r="AZ122" s="1206"/>
      <c r="BA122" s="1206"/>
      <c r="BB122" s="1206"/>
      <c r="BC122" s="1206"/>
      <c r="BD122" s="1206"/>
      <c r="BE122" s="1206"/>
      <c r="BF122" s="1206"/>
      <c r="BG122" s="1206"/>
      <c r="BH122" s="1206"/>
      <c r="BI122" s="1206"/>
      <c r="BJ122" s="1206"/>
      <c r="BK122" s="1206"/>
      <c r="BL122" s="1206"/>
      <c r="BM122" s="1206"/>
      <c r="BN122" s="1206"/>
      <c r="BO122" s="1206"/>
      <c r="BP122" s="1206"/>
      <c r="BQ122" s="1206"/>
      <c r="BR122" s="1206"/>
      <c r="BS122" s="1206"/>
      <c r="BT122" s="1206"/>
      <c r="BU122" s="1206"/>
      <c r="BV122" s="1206"/>
      <c r="BW122" s="1206"/>
      <c r="BX122" s="1206"/>
      <c r="BY122" s="1206"/>
    </row>
    <row r="123" spans="1:77">
      <c r="A123" s="1209"/>
      <c r="B123" s="1202"/>
      <c r="C123" s="328"/>
      <c r="D123" s="328"/>
      <c r="E123" s="328"/>
      <c r="F123" s="417" t="s">
        <v>950</v>
      </c>
      <c r="G123" s="328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328"/>
      <c r="AK123" s="328"/>
      <c r="AL123" s="1021">
        <f>AP123</f>
        <v>1.3185507403526062E-2</v>
      </c>
      <c r="AN123" s="1077"/>
      <c r="AO123" s="1074"/>
      <c r="AP123" s="1081">
        <f>BS72*(1+AQ153)</f>
        <v>1.3185507403526062E-2</v>
      </c>
      <c r="AQ123" s="1078">
        <f>AP123*H121</f>
        <v>0.71925741553170663</v>
      </c>
      <c r="AR123" s="1081"/>
      <c r="AS123" s="1078"/>
      <c r="AT123" s="1074"/>
      <c r="AU123" s="1078"/>
      <c r="AX123" s="1206"/>
      <c r="AY123" s="1206"/>
      <c r="AZ123" s="1206"/>
      <c r="BA123" s="1206"/>
      <c r="BB123" s="1206"/>
      <c r="BC123" s="1206"/>
      <c r="BD123" s="1206"/>
      <c r="BE123" s="1206"/>
      <c r="BF123" s="1206"/>
      <c r="BG123" s="1206"/>
      <c r="BH123" s="1206"/>
      <c r="BI123" s="1206"/>
      <c r="BJ123" s="1206"/>
      <c r="BK123" s="1206"/>
      <c r="BL123" s="1206"/>
      <c r="BM123" s="1206"/>
      <c r="BN123" s="1206"/>
      <c r="BO123" s="1206"/>
      <c r="BP123" s="1206"/>
      <c r="BQ123" s="1206"/>
      <c r="BR123" s="1206"/>
      <c r="BS123" s="1206"/>
      <c r="BT123" s="1206"/>
      <c r="BU123" s="1206"/>
      <c r="BV123" s="1206"/>
      <c r="BW123" s="1206"/>
      <c r="BX123" s="1206"/>
    </row>
    <row r="124" spans="1:77">
      <c r="A124" s="1209"/>
      <c r="B124" s="1202"/>
      <c r="C124" s="490"/>
      <c r="D124" s="489"/>
      <c r="E124" s="489"/>
      <c r="F124" s="1018" t="s">
        <v>951</v>
      </c>
      <c r="G124" s="489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489"/>
      <c r="AK124" s="489"/>
      <c r="AL124" s="1017">
        <f>AR124</f>
        <v>1.9498237638832759E-3</v>
      </c>
      <c r="AN124" s="1077"/>
      <c r="AO124" s="1074"/>
      <c r="AP124" s="1081"/>
      <c r="AQ124" s="1078"/>
      <c r="AR124" s="1081">
        <f>BT72*(1+AS153)</f>
        <v>1.9498237638832759E-3</v>
      </c>
      <c r="AS124" s="1078">
        <f>AR124*H121</f>
        <v>0.10636110983320624</v>
      </c>
      <c r="AT124" s="1074"/>
      <c r="AU124" s="1078"/>
    </row>
    <row r="125" spans="1:77" ht="13.5" thickBot="1">
      <c r="A125" s="1209"/>
      <c r="B125" s="1202"/>
      <c r="C125" s="909"/>
      <c r="D125" s="909"/>
      <c r="E125" s="909"/>
      <c r="F125" s="1023" t="s">
        <v>952</v>
      </c>
      <c r="G125" s="909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09"/>
      <c r="AK125" s="909"/>
      <c r="AL125" s="1022">
        <f>AT125</f>
        <v>5.312459497903441E-4</v>
      </c>
      <c r="AN125" s="1099"/>
      <c r="AO125" s="1079"/>
      <c r="AP125" s="1100"/>
      <c r="AQ125" s="1080"/>
      <c r="AR125" s="1100"/>
      <c r="AS125" s="1080"/>
      <c r="AT125" s="1101">
        <f>BU71*(1+AU153)</f>
        <v>5.312459497903441E-4</v>
      </c>
      <c r="AU125" s="1080">
        <f>AT125*H121</f>
        <v>2.8978982542280318E-2</v>
      </c>
    </row>
    <row r="126" spans="1:77">
      <c r="A126" s="1209"/>
      <c r="B126" s="1202"/>
      <c r="C126" s="905" t="str">
        <f>AY28</f>
        <v>R-BLD_Det_C</v>
      </c>
      <c r="D126" s="906" t="str">
        <f>AZ28</f>
        <v>Residential Building Detached _ C</v>
      </c>
      <c r="E126" s="906">
        <v>2018</v>
      </c>
      <c r="F126" s="905" t="str">
        <f>COMM!O14</f>
        <v>RSDSH_Det-C</v>
      </c>
      <c r="G126" s="906" t="s">
        <v>948</v>
      </c>
      <c r="H126" s="908">
        <f>BI12/1000</f>
        <v>264.76540185365621</v>
      </c>
      <c r="I126" s="908">
        <f>DwellingStocks!K38/1000</f>
        <v>3.8491203846694946</v>
      </c>
      <c r="J126" s="908">
        <f>DwellingStocks!N38/1000</f>
        <v>17.917844486683649</v>
      </c>
      <c r="K126" s="908">
        <f>DwellingStocks!Q38/1000</f>
        <v>12.209218011072815</v>
      </c>
      <c r="L126" s="908">
        <f>DwellingStocks!T38/1000</f>
        <v>7.3206577312032248</v>
      </c>
      <c r="M126" s="908">
        <f>DwellingStocks!W38/1000</f>
        <v>6.229936390525153</v>
      </c>
      <c r="N126" s="908">
        <f>DwellingStocks!Z38/1000</f>
        <v>3.3436266328989679</v>
      </c>
      <c r="O126" s="908">
        <f>DwellingStocks!AC38/1000</f>
        <v>7.2749534818222834</v>
      </c>
      <c r="P126" s="908">
        <f>DwellingStocks!AF38/1000</f>
        <v>13.29580858254714</v>
      </c>
      <c r="Q126" s="908">
        <f>DwellingStocks!AI38/1000</f>
        <v>5.6400119448609001</v>
      </c>
      <c r="R126" s="908">
        <f>DwellingStocks!AL38/1000</f>
        <v>5.9455087815282512</v>
      </c>
      <c r="S126" s="908">
        <f>DwellingStocks!AO38/1000</f>
        <v>13.500846847612294</v>
      </c>
      <c r="T126" s="908">
        <f>DwellingStocks!AR38/1000</f>
        <v>7.6009899466321915</v>
      </c>
      <c r="U126" s="908">
        <f>DwellingStocks!AU38/1000</f>
        <v>9.9971043839876632</v>
      </c>
      <c r="V126" s="908">
        <f>DwellingStocks!AX38/1000</f>
        <v>32.856408527906019</v>
      </c>
      <c r="W126" s="908">
        <f>DwellingStocks!BA38/1000</f>
        <v>12.839662515837317</v>
      </c>
      <c r="X126" s="908">
        <f>DwellingStocks!BD38/1000</f>
        <v>11.450551609613855</v>
      </c>
      <c r="Y126" s="908">
        <f>DwellingStocks!BG38/1000</f>
        <v>11.709614840856242</v>
      </c>
      <c r="Z126" s="908">
        <f>DwellingStocks!BJ38/1000</f>
        <v>7.4952407416381339</v>
      </c>
      <c r="AA126" s="908">
        <f>DwellingStocks!BM38/1000</f>
        <v>20.653851295830012</v>
      </c>
      <c r="AB126" s="908">
        <f>DwellingStocks!BP38/1000</f>
        <v>3.2924419608987652</v>
      </c>
      <c r="AC126" s="908">
        <f>DwellingStocks!BS38/1000</f>
        <v>11.89238635993707</v>
      </c>
      <c r="AD126" s="908">
        <f>DwellingStocks!BV38/1000</f>
        <v>6.4099754419067878</v>
      </c>
      <c r="AE126" s="908">
        <f>DwellingStocks!BY38/1000</f>
        <v>4.6932151961278157</v>
      </c>
      <c r="AF126" s="908">
        <f>DwellingStocks!CB38/1000</f>
        <v>7.0702699829017046</v>
      </c>
      <c r="AG126" s="908">
        <f>DwellingStocks!CE38/1000</f>
        <v>15.493764621037341</v>
      </c>
      <c r="AH126" s="908">
        <f>DwellingStocks!CH38/1000</f>
        <v>4.7823911531211287</v>
      </c>
      <c r="AI126" s="908">
        <v>1</v>
      </c>
      <c r="AJ126" s="906">
        <v>100</v>
      </c>
      <c r="AK126" s="906">
        <v>1</v>
      </c>
      <c r="AL126" s="1014">
        <f>AN126</f>
        <v>4.2687553135306679E-2</v>
      </c>
      <c r="AN126" s="1095">
        <f>ABS(BR73*DwellingStocks!Y22*(1+AO153))</f>
        <v>4.2687553135306679E-2</v>
      </c>
      <c r="AO126" s="1096">
        <f>AN126*H126</f>
        <v>11.302187160018775</v>
      </c>
      <c r="AP126" s="1097"/>
      <c r="AQ126" s="1098"/>
      <c r="AR126" s="1097"/>
      <c r="AS126" s="1098"/>
      <c r="AT126" s="1096"/>
      <c r="AU126" s="1098"/>
    </row>
    <row r="127" spans="1:77">
      <c r="A127" s="1209"/>
      <c r="B127" s="1202"/>
      <c r="C127" s="490"/>
      <c r="D127" s="489"/>
      <c r="E127" s="489"/>
      <c r="F127" s="1018" t="s">
        <v>949</v>
      </c>
      <c r="G127" s="489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489"/>
      <c r="AK127" s="489"/>
      <c r="AL127" s="1017">
        <v>0</v>
      </c>
      <c r="AN127" s="1077"/>
      <c r="AO127" s="1074"/>
      <c r="AP127" s="1081"/>
      <c r="AQ127" s="1078"/>
      <c r="AR127" s="1081"/>
      <c r="AS127" s="1078"/>
      <c r="AT127" s="1074"/>
      <c r="AU127" s="1078"/>
    </row>
    <row r="128" spans="1:77">
      <c r="A128" s="1209"/>
      <c r="B128" s="1202"/>
      <c r="C128" s="328"/>
      <c r="D128" s="328"/>
      <c r="E128" s="328"/>
      <c r="F128" s="417" t="s">
        <v>950</v>
      </c>
      <c r="G128" s="328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328"/>
      <c r="AK128" s="328"/>
      <c r="AL128" s="1021">
        <f>AP128</f>
        <v>1.4064380583532423E-2</v>
      </c>
      <c r="AN128" s="1077"/>
      <c r="AO128" s="1074"/>
      <c r="AP128" s="1081">
        <f>BS73*(1+AQ153)</f>
        <v>1.4064380583532423E-2</v>
      </c>
      <c r="AQ128" s="1078">
        <f>AP128*H126</f>
        <v>3.7237613770217219</v>
      </c>
      <c r="AR128" s="1081"/>
      <c r="AS128" s="1078"/>
      <c r="AT128" s="1074"/>
      <c r="AU128" s="1078"/>
    </row>
    <row r="129" spans="1:47">
      <c r="A129" s="1209"/>
      <c r="B129" s="1202"/>
      <c r="C129" s="490"/>
      <c r="D129" s="489"/>
      <c r="E129" s="489"/>
      <c r="F129" s="1018" t="s">
        <v>951</v>
      </c>
      <c r="G129" s="489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489"/>
      <c r="AK129" s="489"/>
      <c r="AL129" s="1017">
        <f>AR129</f>
        <v>1.6931356232843119E-3</v>
      </c>
      <c r="AN129" s="1077"/>
      <c r="AO129" s="1074"/>
      <c r="AP129" s="1081"/>
      <c r="AQ129" s="1078"/>
      <c r="AR129" s="1081">
        <f>BT73*(1+AS153)</f>
        <v>1.6931356232843119E-3</v>
      </c>
      <c r="AS129" s="1078">
        <f>AR129*H126</f>
        <v>0.44828373369161151</v>
      </c>
      <c r="AT129" s="1074"/>
      <c r="AU129" s="1078"/>
    </row>
    <row r="130" spans="1:47" ht="13.5" thickBot="1">
      <c r="A130" s="1209"/>
      <c r="B130" s="1202"/>
      <c r="C130" s="909"/>
      <c r="D130" s="909"/>
      <c r="E130" s="909"/>
      <c r="F130" s="1023" t="s">
        <v>952</v>
      </c>
      <c r="G130" s="909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09"/>
      <c r="AK130" s="909"/>
      <c r="AL130" s="1022">
        <f>AT130</f>
        <v>4.6148471833611625E-4</v>
      </c>
      <c r="AN130" s="1099"/>
      <c r="AO130" s="1079"/>
      <c r="AP130" s="1100"/>
      <c r="AQ130" s="1080"/>
      <c r="AR130" s="1100"/>
      <c r="AS130" s="1080"/>
      <c r="AT130" s="1101">
        <f>BU72*(1+AU153)</f>
        <v>4.6148471833611625E-4</v>
      </c>
      <c r="AU130" s="1080">
        <f>AT130*H126</f>
        <v>0.12218518689958317</v>
      </c>
    </row>
    <row r="131" spans="1:47">
      <c r="A131" s="1209"/>
      <c r="B131" s="1202"/>
      <c r="C131" s="905" t="str">
        <f>AY29</f>
        <v>R-BLD_Det_D</v>
      </c>
      <c r="D131" s="906" t="str">
        <f>AZ29</f>
        <v>Residential Building Detached _ D</v>
      </c>
      <c r="E131" s="906">
        <v>2018</v>
      </c>
      <c r="F131" s="905" t="str">
        <f>COMM!O17</f>
        <v>RSDSH_Det-D</v>
      </c>
      <c r="G131" s="906" t="s">
        <v>948</v>
      </c>
      <c r="H131" s="908">
        <f>BI13/1000</f>
        <v>166.9841975480154</v>
      </c>
      <c r="I131" s="908">
        <f>DwellingStocks!K39/1000</f>
        <v>2.6115423082337648</v>
      </c>
      <c r="J131" s="908">
        <f>DwellingStocks!N39/1000</f>
        <v>12.702471895023944</v>
      </c>
      <c r="K131" s="908">
        <f>DwellingStocks!Q39/1000</f>
        <v>6.3102899019493588</v>
      </c>
      <c r="L131" s="908">
        <f>DwellingStocks!T39/1000</f>
        <v>5.0979413466577279</v>
      </c>
      <c r="M131" s="908">
        <f>DwellingStocks!W39/1000</f>
        <v>3.686494540406815</v>
      </c>
      <c r="N131" s="908">
        <f>DwellingStocks!Z39/1000</f>
        <v>2.1418438974320866</v>
      </c>
      <c r="O131" s="908">
        <f>DwellingStocks!AC39/1000</f>
        <v>3.9114069227031467</v>
      </c>
      <c r="P131" s="908">
        <f>DwellingStocks!AF39/1000</f>
        <v>7.2228902174916136</v>
      </c>
      <c r="Q131" s="908">
        <f>DwellingStocks!AI39/1000</f>
        <v>3.922912289516832</v>
      </c>
      <c r="R131" s="908">
        <f>DwellingStocks!AL39/1000</f>
        <v>3.8623070908684958</v>
      </c>
      <c r="S131" s="908">
        <f>DwellingStocks!AO39/1000</f>
        <v>8.3983483675153927</v>
      </c>
      <c r="T131" s="908">
        <f>DwellingStocks!AR39/1000</f>
        <v>5.2612160678515822</v>
      </c>
      <c r="U131" s="908">
        <f>DwellingStocks!AU39/1000</f>
        <v>5.9696006405620849</v>
      </c>
      <c r="V131" s="908">
        <f>DwellingStocks!AX39/1000</f>
        <v>18.236913869534966</v>
      </c>
      <c r="W131" s="908">
        <f>DwellingStocks!BA39/1000</f>
        <v>8.574086200091994</v>
      </c>
      <c r="X131" s="908">
        <f>DwellingStocks!BD39/1000</f>
        <v>8.5072952650901996</v>
      </c>
      <c r="Y131" s="908">
        <f>DwellingStocks!BG39/1000</f>
        <v>8.554153711759902</v>
      </c>
      <c r="Z131" s="908">
        <f>DwellingStocks!BJ39/1000</f>
        <v>4.7770385337190975</v>
      </c>
      <c r="AA131" s="908">
        <f>DwellingStocks!BM39/1000</f>
        <v>12.382576852789567</v>
      </c>
      <c r="AB131" s="908">
        <f>DwellingStocks!BP39/1000</f>
        <v>1.8853298833131329</v>
      </c>
      <c r="AC131" s="908">
        <f>DwellingStocks!BS39/1000</f>
        <v>8.5794880010907058</v>
      </c>
      <c r="AD131" s="908">
        <f>DwellingStocks!BV39/1000</f>
        <v>3.9850531006202639</v>
      </c>
      <c r="AE131" s="908">
        <f>DwellingStocks!BY39/1000</f>
        <v>3.3703134856126571</v>
      </c>
      <c r="AF131" s="908">
        <f>DwellingStocks!CB39/1000</f>
        <v>3.7469172720446822</v>
      </c>
      <c r="AG131" s="908">
        <f>DwellingStocks!CE39/1000</f>
        <v>9.7056947578551398</v>
      </c>
      <c r="AH131" s="908">
        <f>DwellingStocks!CH39/1000</f>
        <v>3.5800711282802351</v>
      </c>
      <c r="AI131" s="908">
        <v>1</v>
      </c>
      <c r="AJ131" s="906">
        <v>100</v>
      </c>
      <c r="AK131" s="906">
        <v>1</v>
      </c>
      <c r="AL131" s="1014">
        <f>AN131</f>
        <v>5.0010028601167947E-2</v>
      </c>
      <c r="AN131" s="1095">
        <f>ABS(BR74*DwellingStocks!Y23*(1+AO153))</f>
        <v>5.0010028601167947E-2</v>
      </c>
      <c r="AO131" s="1096">
        <f>AN131*H131</f>
        <v>8.3508844953193293</v>
      </c>
      <c r="AP131" s="1097"/>
      <c r="AQ131" s="1098"/>
      <c r="AR131" s="1097"/>
      <c r="AS131" s="1098"/>
      <c r="AT131" s="1096"/>
      <c r="AU131" s="1098"/>
    </row>
    <row r="132" spans="1:47">
      <c r="A132" s="1209"/>
      <c r="B132" s="1202"/>
      <c r="C132" s="490"/>
      <c r="D132" s="489"/>
      <c r="E132" s="489"/>
      <c r="F132" s="1018" t="s">
        <v>949</v>
      </c>
      <c r="G132" s="489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489"/>
      <c r="AK132" s="489"/>
      <c r="AL132" s="1017">
        <v>0</v>
      </c>
      <c r="AN132" s="1077"/>
      <c r="AO132" s="1074"/>
      <c r="AP132" s="1081"/>
      <c r="AQ132" s="1078"/>
      <c r="AR132" s="1081"/>
      <c r="AS132" s="1078"/>
      <c r="AT132" s="1074"/>
      <c r="AU132" s="1078"/>
    </row>
    <row r="133" spans="1:47">
      <c r="A133" s="1209"/>
      <c r="B133" s="1202"/>
      <c r="C133" s="328"/>
      <c r="D133" s="328"/>
      <c r="E133" s="328"/>
      <c r="F133" s="417" t="s">
        <v>950</v>
      </c>
      <c r="G133" s="328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328"/>
      <c r="AK133" s="328"/>
      <c r="AL133" s="1021">
        <f>AP133</f>
        <v>1.4227811580354783E-2</v>
      </c>
      <c r="AN133" s="1077"/>
      <c r="AO133" s="1074"/>
      <c r="AP133" s="1081">
        <f>BS74*(1+AQ153)</f>
        <v>1.4227811580354783E-2</v>
      </c>
      <c r="AQ133" s="1078">
        <f>AP133*H131</f>
        <v>2.3758196996099041</v>
      </c>
      <c r="AR133" s="1081"/>
      <c r="AS133" s="1078"/>
      <c r="AT133" s="1074"/>
      <c r="AU133" s="1078"/>
    </row>
    <row r="134" spans="1:47">
      <c r="A134" s="1209"/>
      <c r="B134" s="1202"/>
      <c r="C134" s="490"/>
      <c r="D134" s="489"/>
      <c r="E134" s="489"/>
      <c r="F134" s="1018" t="s">
        <v>951</v>
      </c>
      <c r="G134" s="489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489"/>
      <c r="AK134" s="489"/>
      <c r="AL134" s="1017">
        <f>AR134</f>
        <v>1.3846990156573889E-3</v>
      </c>
      <c r="AN134" s="1077"/>
      <c r="AO134" s="1074"/>
      <c r="AP134" s="1081"/>
      <c r="AQ134" s="1078"/>
      <c r="AR134" s="1081">
        <f>BT74*(1+AS153)</f>
        <v>1.3846990156573889E-3</v>
      </c>
      <c r="AS134" s="1078">
        <f>AR134*H131</f>
        <v>0.23122285397507589</v>
      </c>
      <c r="AT134" s="1074"/>
      <c r="AU134" s="1078"/>
    </row>
    <row r="135" spans="1:47" ht="13.5" thickBot="1">
      <c r="A135" s="1209"/>
      <c r="B135" s="1202"/>
      <c r="C135" s="909"/>
      <c r="D135" s="909"/>
      <c r="E135" s="909"/>
      <c r="F135" s="1023" t="s">
        <v>952</v>
      </c>
      <c r="G135" s="909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09"/>
      <c r="AK135" s="909"/>
      <c r="AL135" s="1022">
        <f>AT135</f>
        <v>4.2743791004305781E-4</v>
      </c>
      <c r="AN135" s="1099"/>
      <c r="AO135" s="1079"/>
      <c r="AP135" s="1100"/>
      <c r="AQ135" s="1080"/>
      <c r="AR135" s="1100"/>
      <c r="AS135" s="1080"/>
      <c r="AT135" s="1101">
        <f>BU73*(1+AU153)</f>
        <v>4.2743791004305781E-4</v>
      </c>
      <c r="AU135" s="1080">
        <f>AT135*H131</f>
        <v>7.1375376410140801E-2</v>
      </c>
    </row>
    <row r="136" spans="1:47">
      <c r="A136" s="1209"/>
      <c r="B136" s="1202"/>
      <c r="C136" s="905" t="str">
        <f>AY30</f>
        <v>R-BLD_Det_E</v>
      </c>
      <c r="D136" s="906" t="str">
        <f>AZ30</f>
        <v>Residential Building Detached _ E</v>
      </c>
      <c r="E136" s="906">
        <v>2018</v>
      </c>
      <c r="F136" s="905" t="str">
        <f>COMM!O20</f>
        <v>RSDSH_Det-E</v>
      </c>
      <c r="G136" s="906" t="s">
        <v>948</v>
      </c>
      <c r="H136" s="908">
        <f>BI14/1000</f>
        <v>74.836881491341003</v>
      </c>
      <c r="I136" s="908">
        <f>DwellingStocks!K40/1000</f>
        <v>1.0961405819859322</v>
      </c>
      <c r="J136" s="908">
        <f>DwellingStocks!N40/1000</f>
        <v>6.5321372620409894</v>
      </c>
      <c r="K136" s="908">
        <f>DwellingStocks!Q40/1000</f>
        <v>2.3886408103424128</v>
      </c>
      <c r="L136" s="908">
        <f>DwellingStocks!T40/1000</f>
        <v>2.2436524886385483</v>
      </c>
      <c r="M136" s="908">
        <f>DwellingStocks!W40/1000</f>
        <v>1.5320496791301048</v>
      </c>
      <c r="N136" s="908">
        <f>DwellingStocks!Z40/1000</f>
        <v>1.0709219487160433</v>
      </c>
      <c r="O136" s="908">
        <f>DwellingStocks!AC40/1000</f>
        <v>1.7225994124228001</v>
      </c>
      <c r="P136" s="908">
        <f>DwellingStocks!AF40/1000</f>
        <v>2.8423273363046606</v>
      </c>
      <c r="Q136" s="908">
        <f>DwellingStocks!AI40/1000</f>
        <v>1.743516573118592</v>
      </c>
      <c r="R136" s="908">
        <f>DwellingStocks!AL40/1000</f>
        <v>1.7762633788026563</v>
      </c>
      <c r="S136" s="908">
        <f>DwellingStocks!AO40/1000</f>
        <v>3.3121890865770824</v>
      </c>
      <c r="T136" s="908">
        <f>DwellingStocks!AR40/1000</f>
        <v>2.3450141338282702</v>
      </c>
      <c r="U136" s="908">
        <f>DwellingStocks!AU40/1000</f>
        <v>2.9007910397433312</v>
      </c>
      <c r="V136" s="908">
        <f>DwellingStocks!AX40/1000</f>
        <v>7.8014221541968842</v>
      </c>
      <c r="W136" s="908">
        <f>DwellingStocks!BA40/1000</f>
        <v>3.9524138153590482</v>
      </c>
      <c r="X136" s="908">
        <f>DwellingStocks!BD40/1000</f>
        <v>3.4570281112557346</v>
      </c>
      <c r="Y136" s="908">
        <f>DwellingStocks!BG40/1000</f>
        <v>4.2037250544850657</v>
      </c>
      <c r="Z136" s="908">
        <f>DwellingStocks!BJ40/1000</f>
        <v>1.5824781170855375</v>
      </c>
      <c r="AA136" s="908">
        <f>DwellingStocks!BM40/1000</f>
        <v>5.5816373525503646</v>
      </c>
      <c r="AB136" s="908">
        <f>DwellingStocks!BP40/1000</f>
        <v>1.0891347931490212</v>
      </c>
      <c r="AC136" s="908">
        <f>DwellingStocks!BS40/1000</f>
        <v>4.0478970159476777</v>
      </c>
      <c r="AD136" s="908">
        <f>DwellingStocks!BV40/1000</f>
        <v>2.0188208889505881</v>
      </c>
      <c r="AE136" s="908">
        <f>DwellingStocks!BY40/1000</f>
        <v>1.6636897779298148</v>
      </c>
      <c r="AF136" s="908">
        <f>DwellingStocks!CB40/1000</f>
        <v>1.8137251722651071</v>
      </c>
      <c r="AG136" s="908">
        <f>DwellingStocks!CE40/1000</f>
        <v>4.4861223417946521</v>
      </c>
      <c r="AH136" s="908">
        <f>DwellingStocks!CH40/1000</f>
        <v>1.6325431647200641</v>
      </c>
      <c r="AI136" s="908">
        <v>1</v>
      </c>
      <c r="AJ136" s="906">
        <v>100</v>
      </c>
      <c r="AK136" s="906">
        <v>1</v>
      </c>
      <c r="AL136" s="1014">
        <f>AN136</f>
        <v>6.2820474075306221E-2</v>
      </c>
      <c r="AN136" s="1095">
        <f>ABS(BR75*DwellingStocks!Y24*(1+AO153))</f>
        <v>6.2820474075306221E-2</v>
      </c>
      <c r="AO136" s="1096">
        <f>AN136*H136</f>
        <v>4.7012883736035516</v>
      </c>
      <c r="AP136" s="1097"/>
      <c r="AQ136" s="1098"/>
      <c r="AR136" s="1097"/>
      <c r="AS136" s="1098"/>
      <c r="AT136" s="1096"/>
      <c r="AU136" s="1098"/>
    </row>
    <row r="137" spans="1:47">
      <c r="A137" s="1209"/>
      <c r="B137" s="1202"/>
      <c r="C137" s="490"/>
      <c r="D137" s="489"/>
      <c r="E137" s="489"/>
      <c r="F137" s="1018" t="s">
        <v>949</v>
      </c>
      <c r="G137" s="489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489"/>
      <c r="AK137" s="489"/>
      <c r="AL137" s="1017">
        <v>0</v>
      </c>
      <c r="AN137" s="1077"/>
      <c r="AO137" s="1074"/>
      <c r="AP137" s="1081"/>
      <c r="AQ137" s="1078"/>
      <c r="AR137" s="1081"/>
      <c r="AS137" s="1078"/>
      <c r="AT137" s="1074"/>
      <c r="AU137" s="1078"/>
    </row>
    <row r="138" spans="1:47">
      <c r="A138" s="1209"/>
      <c r="B138" s="1202"/>
      <c r="C138" s="328"/>
      <c r="D138" s="328"/>
      <c r="E138" s="328"/>
      <c r="F138" s="417" t="s">
        <v>950</v>
      </c>
      <c r="G138" s="328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328"/>
      <c r="AK138" s="328"/>
      <c r="AL138" s="1021">
        <f>AP138</f>
        <v>1.4275460929867654E-2</v>
      </c>
      <c r="AN138" s="1077"/>
      <c r="AO138" s="1074"/>
      <c r="AP138" s="1081">
        <f>BS75*(1+AQ153)</f>
        <v>1.4275460929867654E-2</v>
      </c>
      <c r="AQ138" s="1078">
        <f>AP138*H136</f>
        <v>1.0683309778427743</v>
      </c>
      <c r="AR138" s="1081"/>
      <c r="AS138" s="1078"/>
      <c r="AT138" s="1074"/>
      <c r="AU138" s="1078"/>
    </row>
    <row r="139" spans="1:47">
      <c r="A139" s="1209"/>
      <c r="B139" s="1202"/>
      <c r="C139" s="490"/>
      <c r="D139" s="489"/>
      <c r="E139" s="489"/>
      <c r="F139" s="1018" t="s">
        <v>951</v>
      </c>
      <c r="G139" s="489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489"/>
      <c r="AK139" s="489"/>
      <c r="AL139" s="1017">
        <f>AR139</f>
        <v>1.2788044628175986E-3</v>
      </c>
      <c r="AN139" s="1077"/>
      <c r="AO139" s="1074"/>
      <c r="AP139" s="1081"/>
      <c r="AQ139" s="1078"/>
      <c r="AR139" s="1081">
        <f>BT75*(1+AS153)</f>
        <v>1.2788044628175986E-3</v>
      </c>
      <c r="AS139" s="1078">
        <f>AR139*H136</f>
        <v>9.5701738034478623E-2</v>
      </c>
      <c r="AT139" s="1074"/>
      <c r="AU139" s="1078"/>
    </row>
    <row r="140" spans="1:47" ht="13.5" thickBot="1">
      <c r="A140" s="1209"/>
      <c r="B140" s="1202"/>
      <c r="C140" s="909"/>
      <c r="D140" s="909"/>
      <c r="E140" s="909"/>
      <c r="F140" s="1023" t="s">
        <v>952</v>
      </c>
      <c r="G140" s="909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09"/>
      <c r="AK140" s="909"/>
      <c r="AL140" s="1022">
        <f>AT140</f>
        <v>4.1521782849376622E-4</v>
      </c>
      <c r="AN140" s="1099"/>
      <c r="AO140" s="1079"/>
      <c r="AP140" s="1100"/>
      <c r="AQ140" s="1080"/>
      <c r="AR140" s="1100"/>
      <c r="AS140" s="1080"/>
      <c r="AT140" s="1101">
        <f>BU74*(1+AU153)</f>
        <v>4.1521782849376622E-4</v>
      </c>
      <c r="AU140" s="1080">
        <f>AT140*H136</f>
        <v>3.1073607424079937E-2</v>
      </c>
    </row>
    <row r="141" spans="1:47">
      <c r="A141" s="1209"/>
      <c r="B141" s="1202"/>
      <c r="C141" s="905" t="str">
        <f>AY31</f>
        <v>R-BLD_Det_F</v>
      </c>
      <c r="D141" s="906" t="str">
        <f>AZ31</f>
        <v>Residential Building Detached _ F</v>
      </c>
      <c r="E141" s="906">
        <v>2018</v>
      </c>
      <c r="F141" s="905" t="str">
        <f>COMM!O23</f>
        <v>RSDSH_Det-F</v>
      </c>
      <c r="G141" s="906" t="s">
        <v>948</v>
      </c>
      <c r="H141" s="1210">
        <f>BI15/1000</f>
        <v>37.368747662299228</v>
      </c>
      <c r="I141" s="908">
        <f>DwellingStocks!K41/1000</f>
        <v>0.58848100369290834</v>
      </c>
      <c r="J141" s="908">
        <f>DwellingStocks!N41/1000</f>
        <v>3.1823863902859828</v>
      </c>
      <c r="K141" s="908">
        <f>DwellingStocks!Q41/1000</f>
        <v>0.99549553863868645</v>
      </c>
      <c r="L141" s="908">
        <f>DwellingStocks!T41/1000</f>
        <v>1.0677413087455609</v>
      </c>
      <c r="M141" s="908">
        <f>DwellingStocks!W41/1000</f>
        <v>0.92162363510170375</v>
      </c>
      <c r="N141" s="908">
        <f>DwellingStocks!Z41/1000</f>
        <v>0.75044655259154147</v>
      </c>
      <c r="O141" s="908">
        <f>DwellingStocks!AC41/1000</f>
        <v>0.77174560831785999</v>
      </c>
      <c r="P141" s="908">
        <f>DwellingStocks!AF41/1000</f>
        <v>1.4018986757790453</v>
      </c>
      <c r="Q141" s="908">
        <f>DwellingStocks!AI41/1000</f>
        <v>1.0434682520937029</v>
      </c>
      <c r="R141" s="908">
        <f>DwellingStocks!AL41/1000</f>
        <v>1.0060755777538246</v>
      </c>
      <c r="S141" s="908">
        <f>DwellingStocks!AO41/1000</f>
        <v>1.4518545538061631</v>
      </c>
      <c r="T141" s="908">
        <f>DwellingStocks!AR41/1000</f>
        <v>1.2498008288671338</v>
      </c>
      <c r="U141" s="908">
        <f>DwellingStocks!AU41/1000</f>
        <v>1.3021438483345276</v>
      </c>
      <c r="V141" s="908">
        <f>DwellingStocks!AX41/1000</f>
        <v>3.6419348534082525</v>
      </c>
      <c r="W141" s="908">
        <f>DwellingStocks!BA41/1000</f>
        <v>1.7274447601952647</v>
      </c>
      <c r="X141" s="908">
        <f>DwellingStocks!BD41/1000</f>
        <v>1.8255294690267436</v>
      </c>
      <c r="Y141" s="908">
        <f>DwellingStocks!BG41/1000</f>
        <v>2.3179169240783768</v>
      </c>
      <c r="Z141" s="908">
        <f>DwellingStocks!BJ41/1000</f>
        <v>0.85583000209728066</v>
      </c>
      <c r="AA141" s="908">
        <f>DwellingStocks!BM41/1000</f>
        <v>2.6255981121450778</v>
      </c>
      <c r="AB141" s="908">
        <f>DwellingStocks!BP41/1000</f>
        <v>0.59339068040532872</v>
      </c>
      <c r="AC141" s="908">
        <f>DwellingStocks!BS41/1000</f>
        <v>2.0725881249878966</v>
      </c>
      <c r="AD141" s="908">
        <f>DwellingStocks!BV41/1000</f>
        <v>1.1657156797268953</v>
      </c>
      <c r="AE141" s="908">
        <f>DwellingStocks!BY41/1000</f>
        <v>1.0196808316344026</v>
      </c>
      <c r="AF141" s="908">
        <f>DwellingStocks!CB41/1000</f>
        <v>0.92315353079361739</v>
      </c>
      <c r="AG141" s="908">
        <f>DwellingStocks!CE41/1000</f>
        <v>2.1561664833839034</v>
      </c>
      <c r="AH141" s="908">
        <f>DwellingStocks!CH41/1000</f>
        <v>0.71063643640755736</v>
      </c>
      <c r="AI141" s="908">
        <v>1</v>
      </c>
      <c r="AJ141" s="906">
        <v>100</v>
      </c>
      <c r="AK141" s="906">
        <v>1</v>
      </c>
      <c r="AL141" s="1014">
        <f>AN141</f>
        <v>7.6761498394135347E-2</v>
      </c>
      <c r="AN141" s="1095">
        <f>ABS(BR76*DwellingStocks!Y25*(1+AO153))</f>
        <v>7.6761498394135347E-2</v>
      </c>
      <c r="AO141" s="1096">
        <f>AN141*H141</f>
        <v>2.8684810636704312</v>
      </c>
      <c r="AP141" s="1097"/>
      <c r="AQ141" s="1098"/>
      <c r="AR141" s="1097"/>
      <c r="AS141" s="1098"/>
      <c r="AT141" s="1096"/>
      <c r="AU141" s="1098"/>
    </row>
    <row r="142" spans="1:47">
      <c r="A142" s="1209"/>
      <c r="B142" s="1202"/>
      <c r="C142" s="490"/>
      <c r="D142" s="489"/>
      <c r="E142" s="489"/>
      <c r="F142" s="1018" t="s">
        <v>949</v>
      </c>
      <c r="G142" s="489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489"/>
      <c r="AK142" s="489"/>
      <c r="AL142" s="1017">
        <v>0</v>
      </c>
      <c r="AN142" s="1077"/>
      <c r="AO142" s="1074"/>
      <c r="AP142" s="1081"/>
      <c r="AQ142" s="1078"/>
      <c r="AR142" s="1081"/>
      <c r="AS142" s="1078"/>
      <c r="AT142" s="1074"/>
      <c r="AU142" s="1078"/>
    </row>
    <row r="143" spans="1:47">
      <c r="A143" s="1209"/>
      <c r="B143" s="1202"/>
      <c r="C143" s="328"/>
      <c r="D143" s="328"/>
      <c r="E143" s="328"/>
      <c r="F143" s="417" t="s">
        <v>950</v>
      </c>
      <c r="G143" s="328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328"/>
      <c r="AK143" s="328"/>
      <c r="AL143" s="1021">
        <f>AP143</f>
        <v>1.435475316547956E-2</v>
      </c>
      <c r="AN143" s="1077"/>
      <c r="AO143" s="1074"/>
      <c r="AP143" s="1081">
        <f>BS76*(1+AQ153)</f>
        <v>1.435475316547956E-2</v>
      </c>
      <c r="AQ143" s="1078">
        <f>AP143*H141</f>
        <v>0.53641914879539676</v>
      </c>
      <c r="AR143" s="1081"/>
      <c r="AS143" s="1078"/>
      <c r="AT143" s="1074"/>
      <c r="AU143" s="1078"/>
    </row>
    <row r="144" spans="1:47">
      <c r="A144" s="1209"/>
      <c r="B144" s="1202"/>
      <c r="C144" s="490"/>
      <c r="D144" s="489"/>
      <c r="E144" s="489"/>
      <c r="F144" s="1018" t="s">
        <v>951</v>
      </c>
      <c r="G144" s="489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489"/>
      <c r="AK144" s="489"/>
      <c r="AL144" s="1017">
        <f>AR144</f>
        <v>1.2175198353742631E-3</v>
      </c>
      <c r="AN144" s="1077"/>
      <c r="AO144" s="1074"/>
      <c r="AP144" s="1081"/>
      <c r="AQ144" s="1078"/>
      <c r="AR144" s="1081">
        <f>BT76*(1+AS153)</f>
        <v>1.2175198353742631E-3</v>
      </c>
      <c r="AS144" s="1078">
        <f>AR144*H141</f>
        <v>4.5497191501944936E-2</v>
      </c>
      <c r="AT144" s="1074"/>
      <c r="AU144" s="1078"/>
    </row>
    <row r="145" spans="1:47" ht="13.5" thickBot="1">
      <c r="A145" s="1209"/>
      <c r="B145" s="1202"/>
      <c r="C145" s="909"/>
      <c r="D145" s="909"/>
      <c r="E145" s="909"/>
      <c r="F145" s="1023" t="s">
        <v>952</v>
      </c>
      <c r="G145" s="909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09"/>
      <c r="AK145" s="909"/>
      <c r="AL145" s="1022">
        <f>AT145</f>
        <v>3.8798622647520463E-4</v>
      </c>
      <c r="AN145" s="1099"/>
      <c r="AO145" s="1079"/>
      <c r="AP145" s="1100"/>
      <c r="AQ145" s="1080"/>
      <c r="AR145" s="1100"/>
      <c r="AS145" s="1080"/>
      <c r="AT145" s="1101">
        <f>BU75*(1+AU153)</f>
        <v>3.8798622647520463E-4</v>
      </c>
      <c r="AU145" s="1080">
        <f>AT145*H141</f>
        <v>1.4498559393599602E-2</v>
      </c>
    </row>
    <row r="146" spans="1:47">
      <c r="B146" s="1202"/>
      <c r="C146" s="905" t="str">
        <f>AY32</f>
        <v>R-BLD_Det_G</v>
      </c>
      <c r="D146" s="906" t="str">
        <f>AZ32</f>
        <v>Residential Building Detached _ G</v>
      </c>
      <c r="E146" s="906">
        <v>2018</v>
      </c>
      <c r="F146" s="905" t="str">
        <f>COMM!O26</f>
        <v>RSDSH_Det-G</v>
      </c>
      <c r="G146" s="906" t="s">
        <v>948</v>
      </c>
      <c r="H146" s="908">
        <f>BI16/1000</f>
        <v>66.469176419880768</v>
      </c>
      <c r="I146" s="908">
        <f>DwellingStocks!K42/1000</f>
        <v>1.1062432601609178</v>
      </c>
      <c r="J146" s="908">
        <f>DwellingStocks!N42/1000</f>
        <v>3.5909526244603631</v>
      </c>
      <c r="K146" s="908">
        <f>DwellingStocks!Q42/1000</f>
        <v>1.7524012374383486</v>
      </c>
      <c r="L146" s="908">
        <f>DwellingStocks!T42/1000</f>
        <v>2.1564187215841719</v>
      </c>
      <c r="M146" s="908">
        <f>DwellingStocks!W42/1000</f>
        <v>1.6367796376643893</v>
      </c>
      <c r="N146" s="908">
        <f>DwellingStocks!Z42/1000</f>
        <v>1.1911002222627314</v>
      </c>
      <c r="O146" s="908">
        <f>DwellingStocks!AC42/1000</f>
        <v>1.3643830208486398</v>
      </c>
      <c r="P146" s="908">
        <f>DwellingStocks!AF42/1000</f>
        <v>2.4807382486830041</v>
      </c>
      <c r="Q146" s="908">
        <f>DwellingStocks!AI42/1000</f>
        <v>1.7534229172840388</v>
      </c>
      <c r="R146" s="908">
        <f>DwellingStocks!AL42/1000</f>
        <v>2.043413390974576</v>
      </c>
      <c r="S146" s="908">
        <f>DwellingStocks!AO42/1000</f>
        <v>2.3715180493039574</v>
      </c>
      <c r="T146" s="908">
        <f>DwellingStocks!AR42/1000</f>
        <v>1.9939170456349871</v>
      </c>
      <c r="U146" s="908">
        <f>DwellingStocks!AU42/1000</f>
        <v>2.7031221443604805</v>
      </c>
      <c r="V146" s="908">
        <f>DwellingStocks!AX42/1000</f>
        <v>7.3737603950457284</v>
      </c>
      <c r="W146" s="908">
        <f>DwellingStocks!BA42/1000</f>
        <v>3.1720330684287315</v>
      </c>
      <c r="X146" s="908">
        <f>DwellingStocks!BD42/1000</f>
        <v>3.306722541201137</v>
      </c>
      <c r="Y146" s="908">
        <f>DwellingStocks!BG42/1000</f>
        <v>3.9956726723468456</v>
      </c>
      <c r="Z146" s="908">
        <f>DwellingStocks!BJ42/1000</f>
        <v>1.1330328015187268</v>
      </c>
      <c r="AA146" s="908">
        <f>DwellingStocks!BM42/1000</f>
        <v>4.9694247195721477</v>
      </c>
      <c r="AB146" s="908">
        <f>DwellingStocks!BP42/1000</f>
        <v>1.3269918169401864</v>
      </c>
      <c r="AC146" s="908">
        <f>DwellingStocks!BS42/1000</f>
        <v>3.9695331885361407</v>
      </c>
      <c r="AD146" s="908">
        <f>DwellingStocks!BV42/1000</f>
        <v>2.6119043049519908</v>
      </c>
      <c r="AE146" s="908">
        <f>DwellingStocks!BY42/1000</f>
        <v>1.6824733721967644</v>
      </c>
      <c r="AF146" s="908">
        <f>DwellingStocks!CB42/1000</f>
        <v>1.8300161169261711</v>
      </c>
      <c r="AG146" s="908">
        <f>DwellingStocks!CE42/1000</f>
        <v>3.758563432783963</v>
      </c>
      <c r="AH146" s="908">
        <f>DwellingStocks!CH42/1000</f>
        <v>1.1946374687716235</v>
      </c>
      <c r="AI146" s="908">
        <v>1</v>
      </c>
      <c r="AJ146" s="906">
        <v>100</v>
      </c>
      <c r="AK146" s="906">
        <v>1</v>
      </c>
      <c r="AL146" s="1014">
        <f>AN146</f>
        <v>8.0682976420811417E-2</v>
      </c>
      <c r="AN146" s="1095">
        <f>ABS(BR77*DwellingStocks!Y26*(1+AO153))</f>
        <v>8.0682976420811417E-2</v>
      </c>
      <c r="AO146" s="1096">
        <f>AN146*H146</f>
        <v>5.3629309937959944</v>
      </c>
      <c r="AP146" s="1097"/>
      <c r="AQ146" s="1098"/>
      <c r="AR146" s="1097"/>
      <c r="AS146" s="1098"/>
      <c r="AT146" s="1096"/>
      <c r="AU146" s="1098"/>
    </row>
    <row r="147" spans="1:47">
      <c r="B147" s="1202"/>
      <c r="C147" s="490"/>
      <c r="D147" s="489"/>
      <c r="E147" s="489"/>
      <c r="F147" s="1018" t="s">
        <v>949</v>
      </c>
      <c r="G147" s="489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489"/>
      <c r="AK147" s="489"/>
      <c r="AL147" s="1017">
        <v>0</v>
      </c>
      <c r="AN147" s="1077"/>
      <c r="AO147" s="1074"/>
      <c r="AP147" s="1081"/>
      <c r="AQ147" s="1078"/>
      <c r="AR147" s="1081"/>
      <c r="AS147" s="1078"/>
      <c r="AT147" s="1074"/>
      <c r="AU147" s="1078"/>
    </row>
    <row r="148" spans="1:47">
      <c r="B148" s="1202"/>
      <c r="C148" s="328"/>
      <c r="D148" s="328"/>
      <c r="E148" s="328"/>
      <c r="F148" s="417" t="s">
        <v>950</v>
      </c>
      <c r="G148" s="328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328"/>
      <c r="AK148" s="328"/>
      <c r="AL148" s="1021">
        <f>AP148</f>
        <v>1.3070842112373514E-2</v>
      </c>
      <c r="AN148" s="1077"/>
      <c r="AO148" s="1074"/>
      <c r="AP148" s="1081">
        <f>BS77*(1+AQ153)</f>
        <v>1.3070842112373514E-2</v>
      </c>
      <c r="AQ148" s="1078">
        <f>AP148*H146</f>
        <v>0.86880811032376215</v>
      </c>
      <c r="AR148" s="1081"/>
      <c r="AS148" s="1078"/>
      <c r="AT148" s="1074"/>
      <c r="AU148" s="1078"/>
    </row>
    <row r="149" spans="1:47">
      <c r="B149" s="1202"/>
      <c r="C149" s="490"/>
      <c r="D149" s="489"/>
      <c r="E149" s="489"/>
      <c r="F149" s="1018" t="s">
        <v>951</v>
      </c>
      <c r="G149" s="489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489"/>
      <c r="AK149" s="489"/>
      <c r="AL149" s="1017">
        <f>AR149</f>
        <v>1.07488871979709E-3</v>
      </c>
      <c r="AN149" s="1077"/>
      <c r="AO149" s="1074"/>
      <c r="AP149" s="1081"/>
      <c r="AQ149" s="1078"/>
      <c r="AR149" s="1081">
        <f>BT77*(1+AS153)</f>
        <v>1.07488871979709E-3</v>
      </c>
      <c r="AS149" s="1078">
        <f>AR149*H146</f>
        <v>7.1446967947932552E-2</v>
      </c>
      <c r="AT149" s="1074"/>
      <c r="AU149" s="1078"/>
    </row>
    <row r="150" spans="1:47" ht="13.5" thickBot="1">
      <c r="B150" s="1202"/>
      <c r="C150" s="909"/>
      <c r="D150" s="909"/>
      <c r="E150" s="909"/>
      <c r="F150" s="1023" t="s">
        <v>952</v>
      </c>
      <c r="G150" s="909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09"/>
      <c r="AK150" s="909"/>
      <c r="AL150" s="1022">
        <f>AT150</f>
        <v>3.6952569005930619E-4</v>
      </c>
      <c r="AN150" s="1099"/>
      <c r="AO150" s="1079"/>
      <c r="AP150" s="1100"/>
      <c r="AQ150" s="1080"/>
      <c r="AR150" s="1100"/>
      <c r="AS150" s="1080"/>
      <c r="AT150" s="1101">
        <f>BU76*(1+AU153)</f>
        <v>3.6952569005930619E-4</v>
      </c>
      <c r="AU150" s="1080">
        <f>AT150*H146</f>
        <v>2.4562068284230205E-2</v>
      </c>
    </row>
    <row r="151" spans="1:47">
      <c r="C151" s="1207"/>
      <c r="D151" s="1207"/>
      <c r="E151" s="1212"/>
      <c r="F151" s="1207"/>
      <c r="G151" s="1207"/>
      <c r="H151" s="1207"/>
      <c r="I151" s="1207"/>
      <c r="J151" s="1207"/>
      <c r="K151" s="1207"/>
      <c r="L151" s="1207"/>
      <c r="M151" s="1207"/>
      <c r="N151" s="1207"/>
      <c r="O151" s="1207"/>
      <c r="P151" s="1207"/>
      <c r="Q151" s="1207"/>
      <c r="R151" s="1207"/>
      <c r="S151" s="1207"/>
      <c r="T151" s="1207"/>
      <c r="U151" s="1207"/>
      <c r="V151" s="1207"/>
      <c r="W151" s="1207"/>
      <c r="X151" s="1207"/>
      <c r="Y151" s="1207"/>
      <c r="Z151" s="1207"/>
      <c r="AA151" s="1207"/>
      <c r="AB151" s="1207"/>
      <c r="AC151" s="1207"/>
      <c r="AD151" s="1207"/>
      <c r="AE151" s="1207"/>
      <c r="AF151" s="1207"/>
      <c r="AG151" s="1207"/>
      <c r="AH151" s="1207"/>
      <c r="AI151" s="1207"/>
      <c r="AJ151" s="1207"/>
      <c r="AK151" s="1207"/>
      <c r="AL151" s="1207"/>
      <c r="AN151" s="365" t="s">
        <v>937</v>
      </c>
      <c r="AO151" s="354">
        <f>'SHWLP-Det'!AC27</f>
        <v>37.237988459509275</v>
      </c>
      <c r="AP151" s="358"/>
      <c r="AQ151" s="359">
        <f>'SHWLP-Det'!AC54</f>
        <v>9.8338521007258421</v>
      </c>
      <c r="AR151" s="358"/>
      <c r="AS151" s="359">
        <f>'SHWLP-Det'!AC59</f>
        <v>1.0999091549636648</v>
      </c>
      <c r="AT151" s="358"/>
      <c r="AU151" s="359">
        <f>'SHWLP-Det'!AC60</f>
        <v>0.34340887437240958</v>
      </c>
    </row>
    <row r="152" spans="1:47">
      <c r="C152" s="1207"/>
      <c r="D152" s="1207"/>
      <c r="E152" s="1212"/>
      <c r="F152" s="1207"/>
      <c r="G152" s="1207"/>
      <c r="H152" s="1207"/>
      <c r="I152" s="1207"/>
      <c r="J152" s="1207"/>
      <c r="K152" s="1207"/>
      <c r="L152" s="1207"/>
      <c r="M152" s="1207"/>
      <c r="N152" s="1207"/>
      <c r="O152" s="1207"/>
      <c r="P152" s="1207"/>
      <c r="Q152" s="1207"/>
      <c r="R152" s="1207"/>
      <c r="S152" s="1207"/>
      <c r="T152" s="1207"/>
      <c r="U152" s="1207"/>
      <c r="V152" s="1207"/>
      <c r="W152" s="1207"/>
      <c r="X152" s="1207"/>
      <c r="Y152" s="1207"/>
      <c r="Z152" s="1207"/>
      <c r="AA152" s="1207"/>
      <c r="AB152" s="1207"/>
      <c r="AC152" s="1207"/>
      <c r="AD152" s="1207"/>
      <c r="AE152" s="1207"/>
      <c r="AF152" s="1207"/>
      <c r="AG152" s="1207"/>
      <c r="AH152" s="1207"/>
      <c r="AI152" s="1207"/>
      <c r="AJ152" s="1207"/>
      <c r="AK152" s="1207"/>
      <c r="AL152" s="1207"/>
      <c r="AN152" s="1071" t="s">
        <v>928</v>
      </c>
      <c r="AO152" s="226">
        <v>28.824973370021048</v>
      </c>
      <c r="AP152" s="355"/>
      <c r="AQ152" s="375">
        <v>13.310850843521866</v>
      </c>
      <c r="AR152" s="355"/>
      <c r="AS152" s="226">
        <v>2.9455669318780497</v>
      </c>
      <c r="AT152" s="355"/>
      <c r="AU152" s="375">
        <v>0.67209685491037863</v>
      </c>
    </row>
    <row r="153" spans="1:47">
      <c r="C153" s="1207"/>
      <c r="D153" s="1207"/>
      <c r="E153" s="1212"/>
      <c r="F153" s="1207"/>
      <c r="G153" s="1207"/>
      <c r="H153" s="1207"/>
      <c r="I153" s="1207"/>
      <c r="J153" s="1207"/>
      <c r="K153" s="1207"/>
      <c r="L153" s="1207"/>
      <c r="M153" s="1207"/>
      <c r="N153" s="1207"/>
      <c r="O153" s="1207"/>
      <c r="P153" s="1207"/>
      <c r="Q153" s="1207"/>
      <c r="R153" s="1207"/>
      <c r="S153" s="1207"/>
      <c r="T153" s="1207"/>
      <c r="U153" s="1207"/>
      <c r="V153" s="1207"/>
      <c r="W153" s="1207"/>
      <c r="X153" s="1207"/>
      <c r="Y153" s="1207"/>
      <c r="Z153" s="1207"/>
      <c r="AA153" s="1207"/>
      <c r="AB153" s="1207"/>
      <c r="AC153" s="1207"/>
      <c r="AD153" s="1207"/>
      <c r="AE153" s="1207"/>
      <c r="AF153" s="1207"/>
      <c r="AG153" s="1207"/>
      <c r="AH153" s="1207"/>
      <c r="AI153" s="1207"/>
      <c r="AJ153" s="1207"/>
      <c r="AK153" s="1207"/>
      <c r="AL153" s="1207"/>
      <c r="AN153" s="1072" t="s">
        <v>929</v>
      </c>
      <c r="AO153" s="1073">
        <f>((AO151-AO152)/AO152)</f>
        <v>0.29186549390668465</v>
      </c>
      <c r="AP153" s="355"/>
      <c r="AQ153" s="1073">
        <f>((AQ151-AQ152)/AQ152)</f>
        <v>-0.26121536359099179</v>
      </c>
      <c r="AR153" s="355"/>
      <c r="AS153" s="1073">
        <f>((AS151-AS152)/AS152)</f>
        <v>-0.62658830018084866</v>
      </c>
      <c r="AT153" s="355"/>
      <c r="AU153" s="1073">
        <f>((AU151-AU152)/AU152)</f>
        <v>-0.48904853241992668</v>
      </c>
    </row>
    <row r="154" spans="1:47">
      <c r="C154" s="1207"/>
      <c r="D154" s="1207"/>
      <c r="E154" s="1212"/>
      <c r="F154" s="1207"/>
      <c r="G154" s="1207"/>
      <c r="H154" s="1207"/>
      <c r="I154" s="1207"/>
      <c r="J154" s="1207"/>
      <c r="K154" s="1207"/>
      <c r="L154" s="1207"/>
      <c r="M154" s="1207"/>
      <c r="N154" s="1207"/>
      <c r="O154" s="1207"/>
      <c r="P154" s="1207"/>
      <c r="Q154" s="1207"/>
      <c r="R154" s="1207"/>
      <c r="S154" s="1207"/>
      <c r="T154" s="1207"/>
      <c r="U154" s="1207"/>
      <c r="V154" s="1207"/>
      <c r="W154" s="1207"/>
      <c r="X154" s="1207"/>
      <c r="Y154" s="1207"/>
      <c r="Z154" s="1207"/>
      <c r="AA154" s="1207"/>
      <c r="AB154" s="1207"/>
      <c r="AC154" s="1207"/>
      <c r="AD154" s="1207"/>
      <c r="AE154" s="1207"/>
      <c r="AF154" s="1207"/>
      <c r="AG154" s="1207"/>
      <c r="AH154" s="1207"/>
      <c r="AI154" s="1207"/>
      <c r="AJ154" s="1207"/>
      <c r="AK154" s="1207"/>
      <c r="AL154" s="1207"/>
      <c r="AN154" s="1071" t="s">
        <v>930</v>
      </c>
      <c r="AO154" s="1074">
        <f>SUM(AO106:AO146)</f>
        <v>37.237988459509275</v>
      </c>
      <c r="AP154" s="355"/>
      <c r="AQ154" s="1078">
        <f>SUM(AQ106:AQ150)</f>
        <v>9.8338521007258421</v>
      </c>
      <c r="AR154" s="355"/>
      <c r="AS154" s="1078">
        <f>SUM(AS106:AS150)</f>
        <v>1.0999091549636648</v>
      </c>
      <c r="AT154" s="355"/>
      <c r="AU154" s="1078">
        <f>SUM(AU106:AU150)</f>
        <v>0.34340887437240947</v>
      </c>
    </row>
    <row r="155" spans="1:47" ht="13.5" thickBot="1">
      <c r="C155" s="1207"/>
      <c r="D155" s="1211"/>
      <c r="E155" s="1212"/>
      <c r="F155" s="1211"/>
      <c r="G155" s="1211"/>
      <c r="H155" s="1211"/>
      <c r="I155" s="1211"/>
      <c r="J155" s="1211"/>
      <c r="K155" s="1211"/>
      <c r="L155" s="1211"/>
      <c r="M155" s="1211"/>
      <c r="N155" s="1211"/>
      <c r="O155" s="1211"/>
      <c r="P155" s="1211"/>
      <c r="Q155" s="1211"/>
      <c r="R155" s="1211"/>
      <c r="S155" s="1211"/>
      <c r="T155" s="1211"/>
      <c r="U155" s="1211"/>
      <c r="V155" s="1211"/>
      <c r="W155" s="1211"/>
      <c r="X155" s="1211"/>
      <c r="Y155" s="1211"/>
      <c r="Z155" s="1211"/>
      <c r="AA155" s="1211"/>
      <c r="AB155" s="1211"/>
      <c r="AC155" s="1211"/>
      <c r="AD155" s="1211"/>
      <c r="AE155" s="1211"/>
      <c r="AF155" s="1211"/>
      <c r="AG155" s="1211"/>
      <c r="AH155" s="1207"/>
      <c r="AI155" s="1207"/>
      <c r="AJ155" s="1207"/>
      <c r="AK155" s="1207"/>
      <c r="AL155" s="1207"/>
      <c r="AN155" s="1075" t="s">
        <v>931</v>
      </c>
      <c r="AO155" s="1076">
        <f>((AO151-AO154)/AO154)</f>
        <v>0</v>
      </c>
      <c r="AP155" s="367"/>
      <c r="AQ155" s="1087">
        <f>((AQ151-AQ154)/AQ154)</f>
        <v>0</v>
      </c>
      <c r="AR155" s="367"/>
      <c r="AS155" s="1087">
        <f>((AS151-AS154)/AS154)</f>
        <v>0</v>
      </c>
      <c r="AT155" s="367"/>
      <c r="AU155" s="1087">
        <f>((AU151-AU154)/AU154)</f>
        <v>3.2329479739104707E-16</v>
      </c>
    </row>
    <row r="156" spans="1:47">
      <c r="C156" s="1207"/>
      <c r="D156" s="1211"/>
      <c r="E156" s="1212"/>
      <c r="F156" s="1211"/>
      <c r="G156" s="1211"/>
      <c r="H156" s="1211"/>
      <c r="I156" s="1211"/>
      <c r="J156" s="1211"/>
      <c r="K156" s="1211"/>
      <c r="L156" s="1211"/>
      <c r="M156" s="1211"/>
      <c r="N156" s="1211"/>
      <c r="O156" s="1211"/>
      <c r="P156" s="1211"/>
      <c r="Q156" s="1211"/>
      <c r="R156" s="1211"/>
      <c r="S156" s="1211"/>
      <c r="T156" s="1211"/>
      <c r="U156" s="1211"/>
      <c r="V156" s="1211"/>
      <c r="W156" s="1211"/>
      <c r="X156" s="1211"/>
      <c r="Y156" s="1211"/>
      <c r="Z156" s="1211"/>
      <c r="AA156" s="1211"/>
      <c r="AB156" s="1211"/>
      <c r="AC156" s="1211"/>
      <c r="AD156" s="1211"/>
      <c r="AE156" s="1211"/>
      <c r="AF156" s="1211"/>
      <c r="AG156" s="1211"/>
      <c r="AH156" s="1207"/>
      <c r="AI156" s="1207"/>
      <c r="AJ156" s="1207"/>
      <c r="AK156" s="1207"/>
      <c r="AL156" s="1207"/>
    </row>
    <row r="157" spans="1:47">
      <c r="C157" s="1207"/>
      <c r="D157" s="1211"/>
      <c r="E157" s="1212"/>
      <c r="F157" s="1211"/>
      <c r="G157" s="1211"/>
      <c r="H157" s="1211"/>
      <c r="I157" s="1211"/>
      <c r="J157" s="1211"/>
      <c r="K157" s="1211"/>
      <c r="L157" s="1211"/>
      <c r="M157" s="1211"/>
      <c r="N157" s="1211"/>
      <c r="O157" s="1211"/>
      <c r="P157" s="1211"/>
      <c r="Q157" s="1211"/>
      <c r="R157" s="1211"/>
      <c r="S157" s="1211"/>
      <c r="T157" s="1211"/>
      <c r="U157" s="1211"/>
      <c r="V157" s="1211"/>
      <c r="W157" s="1211"/>
      <c r="X157" s="1211"/>
      <c r="Y157" s="1211"/>
      <c r="Z157" s="1211"/>
      <c r="AA157" s="1211"/>
      <c r="AB157" s="1211"/>
      <c r="AC157" s="1211"/>
      <c r="AD157" s="1211"/>
      <c r="AE157" s="1211"/>
      <c r="AF157" s="1211"/>
      <c r="AG157" s="1211"/>
      <c r="AH157" s="1207"/>
      <c r="AI157" s="1207"/>
      <c r="AJ157" s="1207"/>
      <c r="AK157" s="1207"/>
      <c r="AL157" s="1207"/>
    </row>
    <row r="158" spans="1:47">
      <c r="C158" s="1207"/>
      <c r="D158" s="1211"/>
      <c r="E158" s="1212"/>
      <c r="F158" s="1211"/>
      <c r="G158" s="1211"/>
      <c r="H158" s="1211"/>
      <c r="I158" s="1211"/>
      <c r="J158" s="1211"/>
      <c r="K158" s="1211"/>
      <c r="L158" s="1211"/>
      <c r="M158" s="1211"/>
      <c r="N158" s="1211"/>
      <c r="O158" s="1211"/>
      <c r="P158" s="1211"/>
      <c r="Q158" s="1211"/>
      <c r="R158" s="1211"/>
      <c r="S158" s="1211"/>
      <c r="T158" s="1211"/>
      <c r="U158" s="1211"/>
      <c r="V158" s="1211"/>
      <c r="W158" s="1211"/>
      <c r="X158" s="1211"/>
      <c r="Y158" s="1211"/>
      <c r="Z158" s="1211"/>
      <c r="AA158" s="1211"/>
      <c r="AB158" s="1211"/>
      <c r="AC158" s="1211"/>
      <c r="AD158" s="1211"/>
      <c r="AE158" s="1211"/>
      <c r="AF158" s="1211"/>
      <c r="AG158" s="1211"/>
      <c r="AH158" s="1207"/>
      <c r="AI158" s="1207"/>
      <c r="AJ158" s="1207"/>
      <c r="AK158" s="1207"/>
      <c r="AL158" s="1207"/>
    </row>
    <row r="159" spans="1:47">
      <c r="C159" s="1207"/>
      <c r="D159" s="1211"/>
      <c r="E159" s="1211"/>
      <c r="F159" s="1211"/>
      <c r="G159" s="1211"/>
      <c r="H159" s="1211"/>
      <c r="I159" s="1211"/>
      <c r="J159" s="1211"/>
      <c r="K159" s="1211"/>
      <c r="L159" s="1211"/>
      <c r="M159" s="1211"/>
      <c r="N159" s="1211"/>
      <c r="O159" s="1211"/>
      <c r="P159" s="1211"/>
      <c r="Q159" s="1211"/>
      <c r="R159" s="1211"/>
      <c r="S159" s="1211"/>
      <c r="T159" s="1211"/>
      <c r="U159" s="1211"/>
      <c r="V159" s="1211"/>
      <c r="W159" s="1211"/>
      <c r="X159" s="1211"/>
      <c r="Y159" s="1211"/>
      <c r="Z159" s="1211"/>
      <c r="AA159" s="1211"/>
      <c r="AB159" s="1211"/>
      <c r="AC159" s="1211"/>
      <c r="AD159" s="1211"/>
      <c r="AE159" s="1211"/>
      <c r="AF159" s="1211"/>
      <c r="AG159" s="1207"/>
      <c r="AH159" s="1207"/>
      <c r="AI159" s="1207"/>
      <c r="AJ159" s="1207"/>
      <c r="AK159" s="1207"/>
    </row>
    <row r="160" spans="1:47">
      <c r="C160" s="1207"/>
      <c r="D160" s="1211"/>
      <c r="E160" s="1211"/>
      <c r="F160" s="1211"/>
      <c r="G160" s="1211"/>
      <c r="H160" s="1211"/>
      <c r="I160" s="1211"/>
      <c r="J160" s="1211"/>
      <c r="K160" s="1211"/>
      <c r="L160" s="1211"/>
      <c r="M160" s="1211"/>
      <c r="N160" s="1211"/>
      <c r="O160" s="1211"/>
      <c r="P160" s="1211"/>
      <c r="Q160" s="1211"/>
      <c r="R160" s="1211"/>
      <c r="S160" s="1211"/>
      <c r="T160" s="1211"/>
      <c r="U160" s="1211"/>
      <c r="V160" s="1211"/>
      <c r="W160" s="1211"/>
      <c r="X160" s="1211"/>
      <c r="Y160" s="1211"/>
      <c r="Z160" s="1211"/>
      <c r="AA160" s="1211"/>
      <c r="AB160" s="1211"/>
      <c r="AC160" s="1211"/>
      <c r="AD160" s="1211"/>
      <c r="AE160" s="1211"/>
      <c r="AF160" s="1211"/>
      <c r="AG160" s="1207"/>
      <c r="AH160" s="1207"/>
      <c r="AI160" s="1207"/>
      <c r="AJ160" s="1207"/>
      <c r="AK160" s="1207"/>
    </row>
    <row r="161" spans="3:52">
      <c r="C161" s="1207"/>
      <c r="D161" s="1211"/>
      <c r="E161" s="1211"/>
      <c r="F161" s="1211"/>
      <c r="G161" s="1211"/>
      <c r="H161" s="1211"/>
      <c r="I161" s="1211"/>
      <c r="J161" s="1211"/>
      <c r="K161" s="1211"/>
      <c r="L161" s="1211"/>
      <c r="M161" s="1211"/>
      <c r="N161" s="1211"/>
      <c r="O161" s="1211"/>
      <c r="P161" s="1211"/>
      <c r="Q161" s="1211"/>
      <c r="R161" s="1211"/>
      <c r="S161" s="1211"/>
      <c r="T161" s="1211"/>
      <c r="U161" s="1211"/>
      <c r="V161" s="1211"/>
      <c r="W161" s="1211"/>
      <c r="X161" s="1211"/>
      <c r="Y161" s="1211"/>
      <c r="Z161" s="1211"/>
      <c r="AA161" s="1211"/>
      <c r="AB161" s="1211"/>
      <c r="AC161" s="1211"/>
      <c r="AD161" s="1211"/>
      <c r="AE161" s="1211"/>
      <c r="AF161" s="1211"/>
      <c r="AG161" s="1207"/>
      <c r="AH161" s="1207"/>
      <c r="AI161" s="1207"/>
      <c r="AJ161" s="1207"/>
      <c r="AK161" s="1207"/>
    </row>
    <row r="162" spans="3:52">
      <c r="C162" s="1207"/>
      <c r="D162" s="1211"/>
      <c r="E162" s="1211"/>
      <c r="F162" s="1211"/>
      <c r="G162" s="1211"/>
      <c r="H162" s="1211"/>
      <c r="I162" s="1211"/>
      <c r="J162" s="1211"/>
      <c r="K162" s="1211"/>
      <c r="L162" s="1211"/>
      <c r="M162" s="1211"/>
      <c r="N162" s="1211"/>
      <c r="O162" s="1211"/>
      <c r="P162" s="1211"/>
      <c r="Q162" s="1211"/>
      <c r="R162" s="1211"/>
      <c r="S162" s="1211"/>
      <c r="T162" s="1211"/>
      <c r="U162" s="1211"/>
      <c r="V162" s="1211"/>
      <c r="W162" s="1211"/>
      <c r="X162" s="1211"/>
      <c r="Y162" s="1211"/>
      <c r="Z162" s="1211"/>
      <c r="AA162" s="1211"/>
      <c r="AB162" s="1211"/>
      <c r="AC162" s="1211"/>
      <c r="AD162" s="1211"/>
      <c r="AE162" s="1211"/>
      <c r="AF162" s="1211"/>
      <c r="AG162" s="1207"/>
      <c r="AH162" s="1207"/>
      <c r="AI162" s="1207"/>
      <c r="AJ162" s="1207"/>
      <c r="AK162" s="1207"/>
    </row>
    <row r="163" spans="3:52">
      <c r="C163" s="1207"/>
      <c r="D163" s="1211"/>
      <c r="E163" s="1211"/>
      <c r="F163" s="1211"/>
      <c r="G163" s="1211"/>
      <c r="H163" s="1211"/>
      <c r="I163" s="1211"/>
      <c r="J163" s="1211"/>
      <c r="K163" s="1211"/>
      <c r="L163" s="1211"/>
      <c r="M163" s="1211"/>
      <c r="N163" s="1211"/>
      <c r="O163" s="1211"/>
      <c r="P163" s="1211"/>
      <c r="Q163" s="1211"/>
      <c r="R163" s="1211"/>
      <c r="S163" s="1211"/>
      <c r="T163" s="1211"/>
      <c r="U163" s="1211"/>
      <c r="V163" s="1211"/>
      <c r="W163" s="1211"/>
      <c r="X163" s="1211"/>
      <c r="Y163" s="1211"/>
      <c r="Z163" s="1211"/>
      <c r="AA163" s="1211"/>
      <c r="AB163" s="1211"/>
      <c r="AC163" s="1211"/>
      <c r="AD163" s="1211"/>
      <c r="AE163" s="1211"/>
      <c r="AF163" s="1211"/>
      <c r="AG163" s="1207"/>
      <c r="AH163" s="1207"/>
      <c r="AI163" s="1207"/>
      <c r="AJ163" s="1207"/>
      <c r="AK163" s="1207"/>
    </row>
    <row r="164" spans="3:52">
      <c r="C164" s="1207"/>
      <c r="D164" s="1211"/>
      <c r="E164" s="1211"/>
      <c r="F164" s="1211"/>
      <c r="G164" s="1211"/>
      <c r="H164" s="1211"/>
      <c r="I164" s="1211"/>
      <c r="J164" s="1211"/>
      <c r="K164" s="1211"/>
      <c r="L164" s="1211"/>
      <c r="M164" s="1211"/>
      <c r="N164" s="1211"/>
      <c r="O164" s="1211"/>
      <c r="P164" s="1211"/>
      <c r="Q164" s="1211"/>
      <c r="R164" s="1211"/>
      <c r="S164" s="1211"/>
      <c r="T164" s="1211"/>
      <c r="U164" s="1211"/>
      <c r="V164" s="1211"/>
      <c r="W164" s="1211"/>
      <c r="X164" s="1211"/>
      <c r="Y164" s="1211"/>
      <c r="Z164" s="1211"/>
      <c r="AA164" s="1211"/>
      <c r="AB164" s="1211"/>
      <c r="AC164" s="1211"/>
      <c r="AD164" s="1211"/>
      <c r="AE164" s="1211"/>
      <c r="AF164" s="1211"/>
      <c r="AG164" s="1207"/>
      <c r="AH164" s="1207"/>
      <c r="AI164" s="1207"/>
      <c r="AJ164" s="1207"/>
      <c r="AK164" s="1207"/>
    </row>
    <row r="165" spans="3:52">
      <c r="C165" s="1207"/>
      <c r="D165" s="1211"/>
      <c r="E165" s="1211"/>
      <c r="F165" s="1211"/>
      <c r="G165" s="1211"/>
      <c r="H165" s="1211"/>
      <c r="I165" s="1211"/>
      <c r="J165" s="1211"/>
      <c r="K165" s="1211"/>
      <c r="L165" s="1211"/>
      <c r="M165" s="1211"/>
      <c r="N165" s="1211"/>
      <c r="O165" s="1211"/>
      <c r="P165" s="1211"/>
      <c r="Q165" s="1211"/>
      <c r="R165" s="1211"/>
      <c r="S165" s="1211"/>
      <c r="T165" s="1211"/>
      <c r="U165" s="1211"/>
      <c r="V165" s="1211"/>
      <c r="W165" s="1211"/>
      <c r="X165" s="1211"/>
      <c r="Y165" s="1211"/>
      <c r="Z165" s="1211"/>
      <c r="AA165" s="1211"/>
      <c r="AB165" s="1211"/>
      <c r="AC165" s="1211"/>
      <c r="AD165" s="1211"/>
      <c r="AE165" s="1211"/>
      <c r="AF165" s="1211"/>
      <c r="AG165" s="1207"/>
      <c r="AH165" s="1207"/>
      <c r="AI165" s="1207"/>
      <c r="AJ165" s="1207"/>
      <c r="AK165" s="1207"/>
    </row>
    <row r="166" spans="3:52">
      <c r="C166" s="1207"/>
      <c r="D166" s="1211"/>
      <c r="E166" s="1211"/>
      <c r="F166" s="1211"/>
      <c r="G166" s="1211"/>
      <c r="H166" s="1211"/>
      <c r="I166" s="1211"/>
      <c r="J166" s="1211"/>
      <c r="K166" s="1211"/>
      <c r="L166" s="1211"/>
      <c r="M166" s="1211"/>
      <c r="N166" s="1211"/>
      <c r="O166" s="1211"/>
      <c r="P166" s="1211"/>
      <c r="Q166" s="1211"/>
      <c r="R166" s="1211"/>
      <c r="S166" s="1211"/>
      <c r="T166" s="1211"/>
      <c r="U166" s="1211"/>
      <c r="V166" s="1211"/>
      <c r="W166" s="1211"/>
      <c r="X166" s="1211"/>
      <c r="Y166" s="1211"/>
      <c r="Z166" s="1211"/>
      <c r="AA166" s="1211"/>
      <c r="AB166" s="1211"/>
      <c r="AC166" s="1211"/>
      <c r="AD166" s="1211"/>
      <c r="AE166" s="1211"/>
      <c r="AF166" s="1211"/>
      <c r="AG166" s="1207"/>
      <c r="AH166" s="1207"/>
      <c r="AI166" s="1207"/>
      <c r="AJ166" s="1207"/>
      <c r="AK166" s="1207"/>
    </row>
    <row r="167" spans="3:52">
      <c r="C167" s="1207"/>
      <c r="D167" s="1211"/>
      <c r="E167" s="1211"/>
      <c r="F167" s="1211"/>
      <c r="G167" s="1211"/>
      <c r="H167" s="1211"/>
      <c r="I167" s="1211"/>
      <c r="J167" s="1211"/>
      <c r="K167" s="1211"/>
      <c r="L167" s="1211"/>
      <c r="M167" s="1211"/>
      <c r="N167" s="1211"/>
      <c r="O167" s="1211"/>
      <c r="P167" s="1211"/>
      <c r="Q167" s="1211"/>
      <c r="R167" s="1211"/>
      <c r="S167" s="1211"/>
      <c r="T167" s="1211"/>
      <c r="U167" s="1211"/>
      <c r="V167" s="1211"/>
      <c r="W167" s="1211"/>
      <c r="X167" s="1211"/>
      <c r="Y167" s="1211"/>
      <c r="Z167" s="1211"/>
      <c r="AA167" s="1211"/>
      <c r="AB167" s="1211"/>
      <c r="AC167" s="1211"/>
      <c r="AD167" s="1211"/>
      <c r="AE167" s="1211"/>
      <c r="AF167" s="1211"/>
      <c r="AG167" s="1207"/>
      <c r="AH167" s="1207"/>
      <c r="AI167" s="1207"/>
      <c r="AJ167" s="1207"/>
      <c r="AK167" s="1207"/>
    </row>
    <row r="168" spans="3:52">
      <c r="C168" s="1207"/>
      <c r="D168" s="1211"/>
      <c r="E168" s="1211"/>
      <c r="F168" s="1211"/>
      <c r="G168" s="1211"/>
      <c r="H168" s="1211"/>
      <c r="I168" s="1211"/>
      <c r="J168" s="1211"/>
      <c r="K168" s="1211"/>
      <c r="L168" s="1211"/>
      <c r="M168" s="1211"/>
      <c r="N168" s="1211"/>
      <c r="O168" s="1211"/>
      <c r="P168" s="1211"/>
      <c r="Q168" s="1211"/>
      <c r="R168" s="1211"/>
      <c r="S168" s="1211"/>
      <c r="T168" s="1211"/>
      <c r="U168" s="1211"/>
      <c r="V168" s="1211"/>
      <c r="W168" s="1211"/>
      <c r="X168" s="1211"/>
      <c r="Y168" s="1211"/>
      <c r="Z168" s="1211"/>
      <c r="AA168" s="1211"/>
      <c r="AB168" s="1211"/>
      <c r="AC168" s="1211"/>
      <c r="AD168" s="1211"/>
      <c r="AE168" s="1211"/>
      <c r="AF168" s="1211"/>
      <c r="AG168" s="1207"/>
      <c r="AH168" s="1207"/>
      <c r="AI168" s="1207"/>
      <c r="AJ168" s="1207"/>
      <c r="AK168" s="1207"/>
    </row>
    <row r="169" spans="3:52">
      <c r="C169" s="1207"/>
      <c r="D169" s="1211"/>
      <c r="E169" s="1211"/>
      <c r="F169" s="1211"/>
      <c r="G169" s="1211"/>
      <c r="H169" s="1211"/>
      <c r="I169" s="1211"/>
      <c r="J169" s="1211"/>
      <c r="K169" s="1211"/>
      <c r="L169" s="1211"/>
      <c r="M169" s="1211"/>
      <c r="N169" s="1211"/>
      <c r="O169" s="1211"/>
      <c r="P169" s="1211"/>
      <c r="Q169" s="1211"/>
      <c r="R169" s="1211"/>
      <c r="S169" s="1211"/>
      <c r="T169" s="1211"/>
      <c r="U169" s="1211"/>
      <c r="V169" s="1211"/>
      <c r="W169" s="1211"/>
      <c r="X169" s="1211"/>
      <c r="Y169" s="1211"/>
      <c r="Z169" s="1211"/>
      <c r="AA169" s="1211"/>
      <c r="AB169" s="1211"/>
      <c r="AC169" s="1211"/>
      <c r="AD169" s="1211"/>
      <c r="AE169" s="1211"/>
      <c r="AF169" s="1211"/>
      <c r="AG169" s="1207"/>
      <c r="AH169" s="1207"/>
      <c r="AI169" s="1207"/>
      <c r="AJ169" s="1207"/>
      <c r="AK169" s="1207"/>
    </row>
    <row r="170" spans="3:52">
      <c r="C170" s="1207"/>
      <c r="D170" s="1211"/>
      <c r="E170" s="1211"/>
      <c r="F170" s="1211"/>
      <c r="G170" s="1211"/>
      <c r="H170" s="1211"/>
      <c r="I170" s="1211"/>
      <c r="J170" s="1211"/>
      <c r="K170" s="1211"/>
      <c r="L170" s="1211"/>
      <c r="M170" s="1211"/>
      <c r="N170" s="1211"/>
      <c r="O170" s="1211"/>
      <c r="P170" s="1211"/>
      <c r="Q170" s="1211"/>
      <c r="R170" s="1211"/>
      <c r="S170" s="1211"/>
      <c r="T170" s="1211"/>
      <c r="U170" s="1211"/>
      <c r="V170" s="1211"/>
      <c r="W170" s="1211"/>
      <c r="X170" s="1211"/>
      <c r="Y170" s="1211"/>
      <c r="Z170" s="1211"/>
      <c r="AA170" s="1211"/>
      <c r="AB170" s="1211"/>
      <c r="AC170" s="1211"/>
      <c r="AD170" s="1211"/>
      <c r="AE170" s="1211"/>
      <c r="AF170" s="1211"/>
      <c r="AG170" s="1207"/>
      <c r="AH170" s="1207"/>
      <c r="AI170" s="1207"/>
      <c r="AJ170" s="1207"/>
      <c r="AK170" s="1207"/>
    </row>
    <row r="171" spans="3:52">
      <c r="C171" s="1207"/>
      <c r="D171" s="1211"/>
      <c r="E171" s="1211"/>
      <c r="F171" s="1211"/>
      <c r="G171" s="1211"/>
      <c r="H171" s="1211"/>
      <c r="I171" s="1211"/>
      <c r="J171" s="1211"/>
      <c r="K171" s="1211"/>
      <c r="L171" s="1211"/>
      <c r="M171" s="1211"/>
      <c r="N171" s="1211"/>
      <c r="O171" s="1211"/>
      <c r="P171" s="1211"/>
      <c r="Q171" s="1211"/>
      <c r="R171" s="1211"/>
      <c r="S171" s="1211"/>
      <c r="T171" s="1211"/>
      <c r="U171" s="1211"/>
      <c r="V171" s="1211"/>
      <c r="W171" s="1211"/>
      <c r="X171" s="1211"/>
      <c r="Y171" s="1211"/>
      <c r="Z171" s="1211"/>
      <c r="AA171" s="1211"/>
      <c r="AB171" s="1211"/>
      <c r="AC171" s="1211"/>
      <c r="AD171" s="1211"/>
      <c r="AE171" s="1211"/>
      <c r="AF171" s="1211"/>
      <c r="AG171" s="1207"/>
      <c r="AH171" s="1207"/>
      <c r="AI171" s="1207"/>
      <c r="AJ171" s="1207"/>
      <c r="AK171" s="1207"/>
    </row>
    <row r="172" spans="3:52">
      <c r="C172" s="1207"/>
      <c r="D172" s="1211"/>
      <c r="E172" s="1211"/>
      <c r="F172" s="1211"/>
      <c r="G172" s="1211"/>
      <c r="H172" s="1211"/>
      <c r="I172" s="1211"/>
      <c r="J172" s="1211"/>
      <c r="K172" s="1211"/>
      <c r="L172" s="1211"/>
      <c r="M172" s="1211"/>
      <c r="N172" s="1211"/>
      <c r="O172" s="1211"/>
      <c r="P172" s="1211"/>
      <c r="Q172" s="1211"/>
      <c r="R172" s="1211"/>
      <c r="S172" s="1211"/>
      <c r="T172" s="1211"/>
      <c r="U172" s="1211"/>
      <c r="V172" s="1211"/>
      <c r="W172" s="1211"/>
      <c r="X172" s="1211"/>
      <c r="Y172" s="1211"/>
      <c r="Z172" s="1211"/>
      <c r="AA172" s="1211"/>
      <c r="AB172" s="1211"/>
      <c r="AC172" s="1211"/>
      <c r="AD172" s="1211"/>
      <c r="AE172" s="1211"/>
      <c r="AF172" s="1211"/>
      <c r="AG172" s="1207"/>
      <c r="AH172" s="1207"/>
      <c r="AI172" s="1207"/>
      <c r="AJ172" s="1207"/>
      <c r="AK172" s="1207"/>
    </row>
    <row r="173" spans="3:52">
      <c r="C173" s="1207"/>
      <c r="D173" s="1211"/>
      <c r="E173" s="1211"/>
      <c r="F173" s="1211"/>
      <c r="G173" s="1211"/>
      <c r="H173" s="1211"/>
      <c r="I173" s="1211"/>
      <c r="J173" s="1211"/>
      <c r="K173" s="1211"/>
      <c r="L173" s="1211"/>
      <c r="M173" s="1211"/>
      <c r="N173" s="1211"/>
      <c r="O173" s="1211"/>
      <c r="P173" s="1211"/>
      <c r="Q173" s="1211"/>
      <c r="R173" s="1211"/>
      <c r="S173" s="1211"/>
      <c r="T173" s="1211"/>
      <c r="U173" s="1211"/>
      <c r="V173" s="1211"/>
      <c r="W173" s="1211"/>
      <c r="X173" s="1211"/>
      <c r="Y173" s="1211"/>
      <c r="Z173" s="1211"/>
      <c r="AA173" s="1211"/>
      <c r="AB173" s="1211"/>
      <c r="AC173" s="1211"/>
      <c r="AD173" s="1211"/>
      <c r="AE173" s="1211"/>
      <c r="AF173" s="1211"/>
      <c r="AG173" s="1207"/>
      <c r="AH173" s="1207"/>
      <c r="AI173" s="1207"/>
      <c r="AJ173" s="1207"/>
      <c r="AK173" s="1207"/>
    </row>
    <row r="174" spans="3:52" ht="15">
      <c r="C174" s="1207"/>
      <c r="D174" s="1211"/>
      <c r="E174" s="1211"/>
      <c r="F174" s="1211"/>
      <c r="G174" s="1211"/>
      <c r="H174" s="1211"/>
      <c r="I174" s="1211"/>
      <c r="J174" s="1211"/>
      <c r="K174" s="1211"/>
      <c r="L174" s="1211"/>
      <c r="M174" s="1211"/>
      <c r="N174" s="1211"/>
      <c r="O174" s="1211"/>
      <c r="P174" s="1211"/>
      <c r="Q174" s="1211"/>
      <c r="R174" s="1211"/>
      <c r="S174" s="1211"/>
      <c r="T174" s="1211"/>
      <c r="U174" s="1211"/>
      <c r="V174" s="1211"/>
      <c r="W174" s="1211"/>
      <c r="X174" s="1211"/>
      <c r="Y174" s="1211"/>
      <c r="Z174" s="1211"/>
      <c r="AA174" s="1211"/>
      <c r="AB174" s="1211"/>
      <c r="AC174" s="1211"/>
      <c r="AD174" s="1211"/>
      <c r="AE174" s="1211"/>
      <c r="AF174" s="1211"/>
      <c r="AG174" s="1207"/>
      <c r="AH174" s="1207"/>
      <c r="AI174" s="1207"/>
      <c r="AJ174" s="1207"/>
      <c r="AK174" s="1207"/>
      <c r="AZ174" s="401"/>
    </row>
    <row r="175" spans="3:52" ht="15">
      <c r="C175" s="1207"/>
      <c r="D175" s="1211"/>
      <c r="E175" s="1211"/>
      <c r="F175" s="1211"/>
      <c r="G175" s="1211"/>
      <c r="H175" s="1211"/>
      <c r="I175" s="1211"/>
      <c r="J175" s="1211"/>
      <c r="K175" s="1211"/>
      <c r="L175" s="1211"/>
      <c r="M175" s="1211"/>
      <c r="N175" s="1211"/>
      <c r="O175" s="1211"/>
      <c r="P175" s="1211"/>
      <c r="Q175" s="1211"/>
      <c r="R175" s="1211"/>
      <c r="S175" s="1211"/>
      <c r="T175" s="1211"/>
      <c r="U175" s="1211"/>
      <c r="V175" s="1211"/>
      <c r="W175" s="1211"/>
      <c r="X175" s="1211"/>
      <c r="Y175" s="1211"/>
      <c r="Z175" s="1211"/>
      <c r="AA175" s="1211"/>
      <c r="AB175" s="1211"/>
      <c r="AC175" s="1211"/>
      <c r="AD175" s="1211"/>
      <c r="AE175" s="1211"/>
      <c r="AF175" s="1211"/>
      <c r="AG175" s="1207"/>
      <c r="AH175" s="1207"/>
      <c r="AI175" s="1207"/>
      <c r="AJ175" s="1207"/>
      <c r="AK175" s="1207"/>
      <c r="AZ175" s="401"/>
    </row>
    <row r="176" spans="3:52" ht="15">
      <c r="C176" s="1207"/>
      <c r="D176" s="1211"/>
      <c r="E176" s="1211"/>
      <c r="F176" s="1211"/>
      <c r="G176" s="1211"/>
      <c r="H176" s="1211"/>
      <c r="I176" s="1211"/>
      <c r="J176" s="1211"/>
      <c r="K176" s="1211"/>
      <c r="L176" s="1211"/>
      <c r="M176" s="1211"/>
      <c r="N176" s="1211"/>
      <c r="O176" s="1211"/>
      <c r="P176" s="1211"/>
      <c r="Q176" s="1211"/>
      <c r="R176" s="1211"/>
      <c r="S176" s="1211"/>
      <c r="T176" s="1211"/>
      <c r="U176" s="1211"/>
      <c r="V176" s="1211"/>
      <c r="W176" s="1211"/>
      <c r="X176" s="1211"/>
      <c r="Y176" s="1211"/>
      <c r="Z176" s="1211"/>
      <c r="AA176" s="1211"/>
      <c r="AB176" s="1211"/>
      <c r="AC176" s="1211"/>
      <c r="AD176" s="1211"/>
      <c r="AE176" s="1211"/>
      <c r="AF176" s="1211"/>
      <c r="AG176" s="1207"/>
      <c r="AH176" s="1207"/>
      <c r="AI176" s="1207"/>
      <c r="AJ176" s="1207"/>
      <c r="AK176" s="1207"/>
      <c r="AZ176" s="401"/>
    </row>
    <row r="177" spans="3:52" ht="15">
      <c r="C177" s="1207"/>
      <c r="D177" s="1211"/>
      <c r="E177" s="1211"/>
      <c r="F177" s="1211"/>
      <c r="G177" s="1211"/>
      <c r="H177" s="1211"/>
      <c r="I177" s="1211"/>
      <c r="J177" s="1211"/>
      <c r="K177" s="1211"/>
      <c r="L177" s="1211"/>
      <c r="M177" s="1211"/>
      <c r="N177" s="1211"/>
      <c r="O177" s="1211"/>
      <c r="P177" s="1211"/>
      <c r="Q177" s="1211"/>
      <c r="R177" s="1211"/>
      <c r="S177" s="1211"/>
      <c r="T177" s="1211"/>
      <c r="U177" s="1211"/>
      <c r="V177" s="1211"/>
      <c r="W177" s="1211"/>
      <c r="X177" s="1211"/>
      <c r="Y177" s="1211"/>
      <c r="Z177" s="1211"/>
      <c r="AA177" s="1211"/>
      <c r="AB177" s="1211"/>
      <c r="AC177" s="1211"/>
      <c r="AD177" s="1211"/>
      <c r="AE177" s="1211"/>
      <c r="AF177" s="1211"/>
      <c r="AG177" s="1207"/>
      <c r="AH177" s="1207"/>
      <c r="AI177" s="1207"/>
      <c r="AJ177" s="1207"/>
      <c r="AK177" s="1207"/>
      <c r="AZ177" s="401"/>
    </row>
    <row r="178" spans="3:52">
      <c r="C178" s="1207"/>
      <c r="D178" s="1211"/>
      <c r="E178" s="1211"/>
      <c r="F178" s="1211"/>
      <c r="G178" s="1211"/>
      <c r="H178" s="1211"/>
      <c r="I178" s="1211"/>
      <c r="J178" s="1211"/>
      <c r="K178" s="1211"/>
      <c r="L178" s="1211"/>
      <c r="M178" s="1211"/>
      <c r="N178" s="1211"/>
      <c r="O178" s="1211"/>
      <c r="P178" s="1211"/>
      <c r="Q178" s="1211"/>
      <c r="R178" s="1211"/>
      <c r="S178" s="1211"/>
      <c r="T178" s="1211"/>
      <c r="U178" s="1211"/>
      <c r="V178" s="1211"/>
      <c r="W178" s="1211"/>
      <c r="X178" s="1211"/>
      <c r="Y178" s="1211"/>
      <c r="Z178" s="1211"/>
      <c r="AA178" s="1211"/>
      <c r="AB178" s="1211"/>
      <c r="AC178" s="1211"/>
      <c r="AD178" s="1211"/>
      <c r="AE178" s="1211"/>
      <c r="AF178" s="1211"/>
      <c r="AG178" s="1207"/>
      <c r="AH178" s="1207"/>
      <c r="AI178" s="1207"/>
      <c r="AJ178" s="1207"/>
      <c r="AK178" s="1207"/>
    </row>
    <row r="179" spans="3:52">
      <c r="C179" s="1207"/>
      <c r="D179" s="1211"/>
      <c r="E179" s="1211"/>
      <c r="F179" s="1211"/>
      <c r="G179" s="1211"/>
      <c r="H179" s="1211"/>
      <c r="I179" s="1211"/>
      <c r="J179" s="1211"/>
      <c r="K179" s="1211"/>
      <c r="L179" s="1211"/>
      <c r="M179" s="1211"/>
      <c r="N179" s="1211"/>
      <c r="O179" s="1211"/>
      <c r="P179" s="1211"/>
      <c r="Q179" s="1211"/>
      <c r="R179" s="1211"/>
      <c r="S179" s="1211"/>
      <c r="T179" s="1211"/>
      <c r="U179" s="1211"/>
      <c r="V179" s="1211"/>
      <c r="W179" s="1211"/>
      <c r="X179" s="1211"/>
      <c r="Y179" s="1211"/>
      <c r="Z179" s="1211"/>
      <c r="AA179" s="1211"/>
      <c r="AB179" s="1211"/>
      <c r="AC179" s="1211"/>
      <c r="AD179" s="1211"/>
      <c r="AE179" s="1211"/>
      <c r="AF179" s="1211"/>
      <c r="AG179" s="1207"/>
      <c r="AH179" s="1207"/>
      <c r="AI179" s="1207"/>
      <c r="AJ179" s="1207"/>
      <c r="AK179" s="1207"/>
    </row>
    <row r="180" spans="3:52">
      <c r="C180" s="1207"/>
      <c r="D180" s="1211"/>
      <c r="E180" s="1211"/>
      <c r="F180" s="1211"/>
      <c r="G180" s="1211"/>
      <c r="H180" s="1211"/>
      <c r="I180" s="1211"/>
      <c r="J180" s="1211"/>
      <c r="K180" s="1211"/>
      <c r="L180" s="1211"/>
      <c r="M180" s="1211"/>
      <c r="N180" s="1211"/>
      <c r="O180" s="1211"/>
      <c r="P180" s="1211"/>
      <c r="Q180" s="1211"/>
      <c r="R180" s="1211"/>
      <c r="S180" s="1211"/>
      <c r="T180" s="1211"/>
      <c r="U180" s="1211"/>
      <c r="V180" s="1211"/>
      <c r="W180" s="1211"/>
      <c r="X180" s="1211"/>
      <c r="Y180" s="1211"/>
      <c r="Z180" s="1211"/>
      <c r="AA180" s="1211"/>
      <c r="AB180" s="1211"/>
      <c r="AC180" s="1211"/>
      <c r="AD180" s="1211"/>
      <c r="AE180" s="1211"/>
      <c r="AF180" s="1211"/>
      <c r="AG180" s="1207"/>
      <c r="AH180" s="1207"/>
      <c r="AI180" s="1207"/>
      <c r="AJ180" s="1207"/>
      <c r="AK180" s="1207"/>
    </row>
    <row r="181" spans="3:52">
      <c r="C181" s="1207"/>
      <c r="D181" s="1211"/>
      <c r="E181" s="1211"/>
      <c r="F181" s="1211"/>
      <c r="G181" s="1211"/>
      <c r="H181" s="1211"/>
      <c r="I181" s="1211"/>
      <c r="J181" s="1211"/>
      <c r="K181" s="1211"/>
      <c r="L181" s="1211"/>
      <c r="M181" s="1211"/>
      <c r="N181" s="1211"/>
      <c r="O181" s="1211"/>
      <c r="P181" s="1211"/>
      <c r="Q181" s="1211"/>
      <c r="R181" s="1211"/>
      <c r="S181" s="1211"/>
      <c r="T181" s="1211"/>
      <c r="U181" s="1211"/>
      <c r="V181" s="1211"/>
      <c r="W181" s="1211"/>
      <c r="X181" s="1211"/>
      <c r="Y181" s="1211"/>
      <c r="Z181" s="1211"/>
      <c r="AA181" s="1211"/>
      <c r="AB181" s="1211"/>
      <c r="AC181" s="1211"/>
      <c r="AD181" s="1211"/>
      <c r="AE181" s="1211"/>
      <c r="AF181" s="1211"/>
      <c r="AG181" s="1207"/>
      <c r="AH181" s="1207"/>
      <c r="AI181" s="1207"/>
      <c r="AJ181" s="1207"/>
      <c r="AK181" s="1207"/>
    </row>
    <row r="182" spans="3:52">
      <c r="C182" s="1207"/>
      <c r="D182" s="1211"/>
      <c r="E182" s="1211"/>
      <c r="F182" s="1211"/>
      <c r="G182" s="1211"/>
      <c r="H182" s="1211"/>
      <c r="I182" s="1211"/>
      <c r="J182" s="1211"/>
      <c r="K182" s="1211"/>
      <c r="L182" s="1211"/>
      <c r="M182" s="1211"/>
      <c r="N182" s="1211"/>
      <c r="O182" s="1211"/>
      <c r="P182" s="1211"/>
      <c r="Q182" s="1211"/>
      <c r="R182" s="1211"/>
      <c r="S182" s="1211"/>
      <c r="T182" s="1211"/>
      <c r="U182" s="1211"/>
      <c r="V182" s="1211"/>
      <c r="W182" s="1211"/>
      <c r="X182" s="1211"/>
      <c r="Y182" s="1211"/>
      <c r="Z182" s="1211"/>
      <c r="AA182" s="1211"/>
      <c r="AB182" s="1211"/>
      <c r="AC182" s="1211"/>
      <c r="AD182" s="1211"/>
      <c r="AE182" s="1211"/>
      <c r="AF182" s="1211"/>
      <c r="AG182" s="1207"/>
      <c r="AH182" s="1207"/>
      <c r="AI182" s="1207"/>
      <c r="AJ182" s="1207"/>
      <c r="AK182" s="1207"/>
    </row>
    <row r="183" spans="3:52">
      <c r="C183" s="1207"/>
      <c r="D183" s="1211"/>
      <c r="E183" s="1211"/>
      <c r="F183" s="1211"/>
      <c r="G183" s="1211"/>
      <c r="H183" s="1211"/>
      <c r="I183" s="1211"/>
      <c r="J183" s="1211"/>
      <c r="K183" s="1211"/>
      <c r="L183" s="1211"/>
      <c r="M183" s="1211"/>
      <c r="N183" s="1211"/>
      <c r="O183" s="1211"/>
      <c r="P183" s="1211"/>
      <c r="Q183" s="1211"/>
      <c r="R183" s="1211"/>
      <c r="S183" s="1211"/>
      <c r="T183" s="1211"/>
      <c r="U183" s="1211"/>
      <c r="V183" s="1211"/>
      <c r="W183" s="1211"/>
      <c r="X183" s="1211"/>
      <c r="Y183" s="1211"/>
      <c r="Z183" s="1211"/>
      <c r="AA183" s="1211"/>
      <c r="AB183" s="1211"/>
      <c r="AC183" s="1211"/>
      <c r="AD183" s="1211"/>
      <c r="AE183" s="1211"/>
      <c r="AF183" s="1211"/>
      <c r="AG183" s="1207"/>
      <c r="AH183" s="1207"/>
      <c r="AI183" s="1207"/>
      <c r="AJ183" s="1207"/>
      <c r="AK183" s="1207"/>
    </row>
    <row r="184" spans="3:52">
      <c r="AK184" s="1207"/>
    </row>
    <row r="185" spans="3:52">
      <c r="AK185" s="1207"/>
    </row>
    <row r="186" spans="3:52" ht="15">
      <c r="D186" s="1208" t="s">
        <v>1098</v>
      </c>
      <c r="E186" s="1206"/>
      <c r="F186" s="1206"/>
      <c r="G186" s="1206"/>
      <c r="H186" s="1206"/>
      <c r="I186" s="1206"/>
      <c r="J186" s="1206"/>
      <c r="K186" s="1206"/>
      <c r="L186" s="1206"/>
      <c r="M186" s="1206"/>
      <c r="N186" s="1206"/>
      <c r="O186" s="1206"/>
      <c r="P186" s="1206"/>
      <c r="Q186" s="1206"/>
      <c r="R186" s="1206"/>
      <c r="S186" s="1206"/>
      <c r="T186" s="1206"/>
      <c r="U186" s="1206"/>
      <c r="V186" s="1206"/>
      <c r="W186" s="1206"/>
      <c r="X186" s="1206"/>
      <c r="Y186" s="1206"/>
      <c r="Z186" s="1206"/>
      <c r="AA186" s="1206"/>
      <c r="AB186" s="1206"/>
      <c r="AC186" s="1206"/>
      <c r="AD186" s="1206"/>
      <c r="AE186" s="1206"/>
      <c r="AK186" s="1207"/>
    </row>
    <row r="187" spans="3:52" ht="15.75" thickBot="1">
      <c r="D187" s="35" t="s">
        <v>253</v>
      </c>
      <c r="E187" s="35" t="s">
        <v>192</v>
      </c>
      <c r="F187" s="35" t="s">
        <v>657</v>
      </c>
      <c r="G187" s="35" t="s">
        <v>662</v>
      </c>
      <c r="H187" s="35" t="s">
        <v>665</v>
      </c>
      <c r="I187" s="35" t="s">
        <v>666</v>
      </c>
      <c r="J187" s="35" t="s">
        <v>667</v>
      </c>
      <c r="K187" s="35" t="s">
        <v>670</v>
      </c>
      <c r="L187" s="35" t="s">
        <v>671</v>
      </c>
      <c r="M187" s="35" t="s">
        <v>673</v>
      </c>
      <c r="N187" s="35" t="s">
        <v>675</v>
      </c>
      <c r="O187" s="35" t="s">
        <v>680</v>
      </c>
      <c r="P187" s="35" t="s">
        <v>681</v>
      </c>
      <c r="Q187" s="35" t="s">
        <v>682</v>
      </c>
      <c r="R187" s="35" t="s">
        <v>659</v>
      </c>
      <c r="S187" s="35" t="s">
        <v>660</v>
      </c>
      <c r="T187" s="35" t="s">
        <v>664</v>
      </c>
      <c r="U187" s="35" t="s">
        <v>669</v>
      </c>
      <c r="V187" s="35" t="s">
        <v>678</v>
      </c>
      <c r="W187" s="35" t="s">
        <v>679</v>
      </c>
      <c r="X187" s="35" t="s">
        <v>663</v>
      </c>
      <c r="Y187" s="35" t="s">
        <v>668</v>
      </c>
      <c r="Z187" s="35" t="s">
        <v>672</v>
      </c>
      <c r="AA187" s="35" t="s">
        <v>676</v>
      </c>
      <c r="AB187" s="35" t="s">
        <v>677</v>
      </c>
      <c r="AC187" s="35" t="s">
        <v>658</v>
      </c>
      <c r="AD187" s="35" t="s">
        <v>661</v>
      </c>
      <c r="AE187" s="35" t="s">
        <v>674</v>
      </c>
      <c r="AK187" s="1207"/>
    </row>
    <row r="188" spans="3:52">
      <c r="D188" s="354" t="str">
        <f>C6</f>
        <v>R-BLD_Att_A</v>
      </c>
      <c r="E188" s="1096">
        <f t="shared" ref="E188:AE188" si="33">H6*$BH$26</f>
        <v>72.528642938868245</v>
      </c>
      <c r="F188" s="1096">
        <f t="shared" si="33"/>
        <v>0.64012538597490587</v>
      </c>
      <c r="G188" s="1096">
        <f t="shared" si="33"/>
        <v>32.295149545010126</v>
      </c>
      <c r="H188" s="1096">
        <f t="shared" si="33"/>
        <v>8.491625054733154</v>
      </c>
      <c r="I188" s="1096">
        <f t="shared" si="33"/>
        <v>0.40917285393349762</v>
      </c>
      <c r="J188" s="1096">
        <f t="shared" si="33"/>
        <v>0.28219639747548908</v>
      </c>
      <c r="K188" s="1096">
        <f t="shared" si="33"/>
        <v>6.355919396405417E-2</v>
      </c>
      <c r="L188" s="1096">
        <f t="shared" si="33"/>
        <v>2.4763318075408587</v>
      </c>
      <c r="M188" s="1096">
        <f t="shared" si="33"/>
        <v>7.2436468767042816</v>
      </c>
      <c r="N188" s="1096">
        <f t="shared" si="33"/>
        <v>0.21930557896366809</v>
      </c>
      <c r="O188" s="1096">
        <f t="shared" si="33"/>
        <v>0.19096389842424327</v>
      </c>
      <c r="P188" s="1096">
        <f t="shared" si="33"/>
        <v>1.3094827930403272</v>
      </c>
      <c r="Q188" s="1096">
        <f t="shared" si="33"/>
        <v>3.8599472270267614</v>
      </c>
      <c r="R188" s="1096">
        <f t="shared" si="33"/>
        <v>0.59369114083414021</v>
      </c>
      <c r="S188" s="1096">
        <f t="shared" si="33"/>
        <v>6.6182713025334419</v>
      </c>
      <c r="T188" s="1096">
        <f t="shared" si="33"/>
        <v>0.62857871848192959</v>
      </c>
      <c r="U188" s="1096">
        <f t="shared" si="33"/>
        <v>1.8634350472929546</v>
      </c>
      <c r="V188" s="1096">
        <f t="shared" si="33"/>
        <v>0.25351081690194532</v>
      </c>
      <c r="W188" s="1096">
        <f t="shared" si="33"/>
        <v>1.6892604692613722</v>
      </c>
      <c r="X188" s="1096">
        <f t="shared" si="33"/>
        <v>1.4826764323355131</v>
      </c>
      <c r="Y188" s="1096">
        <f t="shared" si="33"/>
        <v>1.8251862083734874E-2</v>
      </c>
      <c r="Z188" s="1096">
        <f t="shared" si="33"/>
        <v>0.47782606916581521</v>
      </c>
      <c r="AA188" s="1096">
        <f t="shared" si="33"/>
        <v>0.14411965010180888</v>
      </c>
      <c r="AB188" s="1096">
        <f t="shared" si="33"/>
        <v>0.23427944702287357</v>
      </c>
      <c r="AC188" s="1096">
        <f t="shared" si="33"/>
        <v>0.20157549947154663</v>
      </c>
      <c r="AD188" s="1096">
        <f t="shared" si="33"/>
        <v>0.47721507281766717</v>
      </c>
      <c r="AE188" s="1096">
        <f t="shared" si="33"/>
        <v>0.36444479777211397</v>
      </c>
      <c r="AK188" s="1207"/>
    </row>
    <row r="189" spans="3:52">
      <c r="D189" s="226" t="str">
        <f>C11</f>
        <v>R-BLD_Att_B1</v>
      </c>
      <c r="E189" s="1074">
        <f t="shared" ref="E189:AE189" si="34">H11*$BH$27</f>
        <v>6.7274572369101442</v>
      </c>
      <c r="F189" s="1074">
        <f t="shared" si="34"/>
        <v>5.7764138869705051E-2</v>
      </c>
      <c r="G189" s="1074">
        <f t="shared" si="34"/>
        <v>2.0423059453862442</v>
      </c>
      <c r="H189" s="1074">
        <f t="shared" si="34"/>
        <v>0.38922779303523941</v>
      </c>
      <c r="I189" s="1074">
        <f t="shared" si="34"/>
        <v>0.12647997242746836</v>
      </c>
      <c r="J189" s="1074">
        <f t="shared" si="34"/>
        <v>0.14856626238081996</v>
      </c>
      <c r="K189" s="1074">
        <f t="shared" si="34"/>
        <v>0.15769521416157165</v>
      </c>
      <c r="L189" s="1074">
        <f t="shared" si="34"/>
        <v>0.47515203337345047</v>
      </c>
      <c r="M189" s="1074">
        <f t="shared" si="34"/>
        <v>0.27925560206332622</v>
      </c>
      <c r="N189" s="1074">
        <f t="shared" si="34"/>
        <v>3.5940929581826681E-2</v>
      </c>
      <c r="O189" s="1074">
        <f t="shared" si="34"/>
        <v>2.9544404203263624E-2</v>
      </c>
      <c r="P189" s="1074">
        <f t="shared" si="34"/>
        <v>0.14310442140608448</v>
      </c>
      <c r="Q189" s="1074">
        <f t="shared" si="34"/>
        <v>0.1881879388180264</v>
      </c>
      <c r="R189" s="1074">
        <f t="shared" si="34"/>
        <v>8.4771663699014427E-2</v>
      </c>
      <c r="S189" s="1074">
        <f t="shared" si="34"/>
        <v>1.0196405613550452</v>
      </c>
      <c r="T189" s="1074">
        <f t="shared" si="34"/>
        <v>0.17674208196569424</v>
      </c>
      <c r="U189" s="1074">
        <f t="shared" si="34"/>
        <v>0.23505700105517635</v>
      </c>
      <c r="V189" s="1074">
        <f t="shared" si="34"/>
        <v>0.20588599718364439</v>
      </c>
      <c r="W189" s="1074">
        <f t="shared" si="34"/>
        <v>0.26346556892252571</v>
      </c>
      <c r="X189" s="1074">
        <f t="shared" si="34"/>
        <v>0.16081239443278592</v>
      </c>
      <c r="Y189" s="1074">
        <f t="shared" si="34"/>
        <v>0</v>
      </c>
      <c r="Z189" s="1074">
        <f t="shared" si="34"/>
        <v>0.13983273659454598</v>
      </c>
      <c r="AA189" s="1074">
        <f t="shared" si="34"/>
        <v>1.7317051217140424E-2</v>
      </c>
      <c r="AB189" s="1074">
        <f t="shared" si="34"/>
        <v>0.11574451614501438</v>
      </c>
      <c r="AC189" s="1074">
        <f t="shared" si="34"/>
        <v>6.367007114718716E-2</v>
      </c>
      <c r="AD189" s="1074">
        <f t="shared" si="34"/>
        <v>7.1811338227973545E-2</v>
      </c>
      <c r="AE189" s="1074">
        <f t="shared" si="34"/>
        <v>9.9481599257371323E-2</v>
      </c>
      <c r="AK189" s="1207"/>
    </row>
    <row r="190" spans="3:52">
      <c r="D190" s="226" t="str">
        <f>C16</f>
        <v>R-BLD_Att_B2</v>
      </c>
      <c r="E190" s="1074">
        <f t="shared" ref="E190:AE190" si="35">H16*$BH$28</f>
        <v>14.58448055403824</v>
      </c>
      <c r="F190" s="1074">
        <f t="shared" si="35"/>
        <v>0.21083910687442345</v>
      </c>
      <c r="G190" s="1074">
        <f t="shared" si="35"/>
        <v>5.8919997429588635</v>
      </c>
      <c r="H190" s="1074">
        <f t="shared" si="35"/>
        <v>0.55186288026592623</v>
      </c>
      <c r="I190" s="1074">
        <f t="shared" si="35"/>
        <v>0.26658086496251027</v>
      </c>
      <c r="J190" s="1074">
        <f t="shared" si="35"/>
        <v>0.21479459621323369</v>
      </c>
      <c r="K190" s="1074">
        <f t="shared" si="35"/>
        <v>0.10125692698795652</v>
      </c>
      <c r="L190" s="1074">
        <f t="shared" si="35"/>
        <v>0.54001920516504787</v>
      </c>
      <c r="M190" s="1074">
        <f t="shared" si="35"/>
        <v>0.54454842402348613</v>
      </c>
      <c r="N190" s="1074">
        <f t="shared" si="35"/>
        <v>0.13998046258185126</v>
      </c>
      <c r="O190" s="1074">
        <f t="shared" si="35"/>
        <v>0.21723826620046782</v>
      </c>
      <c r="P190" s="1074">
        <f t="shared" si="35"/>
        <v>0.15475245570657969</v>
      </c>
      <c r="Q190" s="1074">
        <f t="shared" si="35"/>
        <v>0.30731608357439172</v>
      </c>
      <c r="R190" s="1074">
        <f t="shared" si="35"/>
        <v>0.18258512181326186</v>
      </c>
      <c r="S190" s="1074">
        <f t="shared" si="35"/>
        <v>2.5236103893537374</v>
      </c>
      <c r="T190" s="1074">
        <f t="shared" si="35"/>
        <v>0.25901856839800019</v>
      </c>
      <c r="U190" s="1074">
        <f t="shared" si="35"/>
        <v>0.48326404412742552</v>
      </c>
      <c r="V190" s="1074">
        <f t="shared" si="35"/>
        <v>0.29026550422612168</v>
      </c>
      <c r="W190" s="1074">
        <f t="shared" si="35"/>
        <v>0.38724133955726936</v>
      </c>
      <c r="X190" s="1074">
        <f t="shared" si="35"/>
        <v>0.44302238074130235</v>
      </c>
      <c r="Y190" s="1074">
        <f t="shared" si="35"/>
        <v>3.6503724167469748E-2</v>
      </c>
      <c r="Z190" s="1074">
        <f t="shared" si="35"/>
        <v>0.23413853569319326</v>
      </c>
      <c r="AA190" s="1074">
        <f t="shared" si="35"/>
        <v>1.8891328600516826E-2</v>
      </c>
      <c r="AB190" s="1074">
        <f t="shared" si="35"/>
        <v>0.12175721828241773</v>
      </c>
      <c r="AC190" s="1074">
        <f t="shared" si="35"/>
        <v>0.17703385636047164</v>
      </c>
      <c r="AD190" s="1074">
        <f t="shared" si="35"/>
        <v>0.15030280094227022</v>
      </c>
      <c r="AE190" s="1074">
        <f t="shared" si="35"/>
        <v>0.13565672626005182</v>
      </c>
      <c r="AK190" s="1207"/>
    </row>
    <row r="191" spans="3:52">
      <c r="D191" s="226" t="str">
        <f>C21</f>
        <v>R-BLD_Att_B3</v>
      </c>
      <c r="E191" s="1074">
        <f t="shared" ref="E191:AE191" si="36">H21*$BH$29</f>
        <v>48.206735717890069</v>
      </c>
      <c r="F191" s="1074">
        <f t="shared" si="36"/>
        <v>0.57331005417713454</v>
      </c>
      <c r="G191" s="1074">
        <f t="shared" si="36"/>
        <v>16.341657748807961</v>
      </c>
      <c r="H191" s="1074">
        <f t="shared" si="36"/>
        <v>2.0070558959101983</v>
      </c>
      <c r="I191" s="1074">
        <f t="shared" si="36"/>
        <v>0.95850993898169823</v>
      </c>
      <c r="J191" s="1074">
        <f t="shared" si="36"/>
        <v>1.0371113495319813</v>
      </c>
      <c r="K191" s="1074">
        <f t="shared" si="36"/>
        <v>0.34488265106747384</v>
      </c>
      <c r="L191" s="1074">
        <f t="shared" si="36"/>
        <v>2.0484792870467881</v>
      </c>
      <c r="M191" s="1074">
        <f t="shared" si="36"/>
        <v>2.0051280115064447</v>
      </c>
      <c r="N191" s="1074">
        <f t="shared" si="36"/>
        <v>0.38379196341415539</v>
      </c>
      <c r="O191" s="1074">
        <f t="shared" si="36"/>
        <v>0.93914557487259853</v>
      </c>
      <c r="P191" s="1074">
        <f t="shared" si="36"/>
        <v>0.57133930363523888</v>
      </c>
      <c r="Q191" s="1074">
        <f t="shared" si="36"/>
        <v>1.2192722528282338</v>
      </c>
      <c r="R191" s="1074">
        <f t="shared" si="36"/>
        <v>0.74102031862404028</v>
      </c>
      <c r="S191" s="1074">
        <f t="shared" si="36"/>
        <v>9.2656683213164062</v>
      </c>
      <c r="T191" s="1074">
        <f t="shared" si="36"/>
        <v>1.0522333727262925</v>
      </c>
      <c r="U191" s="1074">
        <f t="shared" si="36"/>
        <v>1.5985607618559259</v>
      </c>
      <c r="V191" s="1074">
        <f t="shared" si="36"/>
        <v>1.0502301818551085</v>
      </c>
      <c r="W191" s="1074">
        <f t="shared" si="36"/>
        <v>1.1814762808763064</v>
      </c>
      <c r="X191" s="1074">
        <f t="shared" si="36"/>
        <v>1.3210198616697235</v>
      </c>
      <c r="Y191" s="1074">
        <f t="shared" si="36"/>
        <v>0.21109797517106663</v>
      </c>
      <c r="Z191" s="1074">
        <f t="shared" si="36"/>
        <v>0.51386880348014496</v>
      </c>
      <c r="AA191" s="1074">
        <f t="shared" si="36"/>
        <v>0.16430919607349057</v>
      </c>
      <c r="AB191" s="1074">
        <f t="shared" si="36"/>
        <v>0.6011604378634704</v>
      </c>
      <c r="AC191" s="1074">
        <f t="shared" si="36"/>
        <v>0.7619321519742015</v>
      </c>
      <c r="AD191" s="1074">
        <f t="shared" si="36"/>
        <v>0.78517857299985094</v>
      </c>
      <c r="AE191" s="1074">
        <f t="shared" si="36"/>
        <v>0.52929544962413244</v>
      </c>
    </row>
    <row r="192" spans="3:52">
      <c r="D192" s="226" t="str">
        <f>C26</f>
        <v>R-BLD_Att_C</v>
      </c>
      <c r="E192" s="1074">
        <f t="shared" ref="E192:AE192" si="37">H26*$BH$30</f>
        <v>287.89783537353549</v>
      </c>
      <c r="F192" s="1074">
        <f t="shared" si="37"/>
        <v>3.896020043111891</v>
      </c>
      <c r="G192" s="1074">
        <f t="shared" si="37"/>
        <v>97.569752585372257</v>
      </c>
      <c r="H192" s="1074">
        <f t="shared" si="37"/>
        <v>14.003570852201795</v>
      </c>
      <c r="I192" s="1074">
        <f t="shared" si="37"/>
        <v>4.982599946528194</v>
      </c>
      <c r="J192" s="1074">
        <f t="shared" si="37"/>
        <v>4.9571835303694867</v>
      </c>
      <c r="K192" s="1074">
        <f t="shared" si="37"/>
        <v>1.899066640194103</v>
      </c>
      <c r="L192" s="1074">
        <f t="shared" si="37"/>
        <v>10.570505232717421</v>
      </c>
      <c r="M192" s="1074">
        <f t="shared" si="37"/>
        <v>11.072232816627489</v>
      </c>
      <c r="N192" s="1074">
        <f t="shared" si="37"/>
        <v>3.6254081537786473</v>
      </c>
      <c r="O192" s="1074">
        <f t="shared" si="37"/>
        <v>4.9919287285200173</v>
      </c>
      <c r="P192" s="1074">
        <f t="shared" si="37"/>
        <v>6.8367028236529688</v>
      </c>
      <c r="Q192" s="1074">
        <f t="shared" si="37"/>
        <v>7.7789279402032205</v>
      </c>
      <c r="R192" s="1074">
        <f t="shared" si="37"/>
        <v>5.6047670863320418</v>
      </c>
      <c r="S192" s="1074">
        <f t="shared" si="37"/>
        <v>37.036563905983762</v>
      </c>
      <c r="T192" s="1074">
        <f t="shared" si="37"/>
        <v>5.6923994352978431</v>
      </c>
      <c r="U192" s="1074">
        <f t="shared" si="37"/>
        <v>12.817318636993734</v>
      </c>
      <c r="V192" s="1074">
        <f t="shared" si="37"/>
        <v>8.114848796118098</v>
      </c>
      <c r="W192" s="1074">
        <f t="shared" si="37"/>
        <v>8.4193806170913721</v>
      </c>
      <c r="X192" s="1074">
        <f t="shared" si="37"/>
        <v>11.800565746766512</v>
      </c>
      <c r="Y192" s="1074">
        <f t="shared" si="37"/>
        <v>1.2512274840737632</v>
      </c>
      <c r="Z192" s="1074">
        <f t="shared" si="37"/>
        <v>5.1310449981954411</v>
      </c>
      <c r="AA192" s="1074">
        <f t="shared" si="37"/>
        <v>2.7069814898790159</v>
      </c>
      <c r="AB192" s="1074">
        <f t="shared" si="37"/>
        <v>3.4143667869109819</v>
      </c>
      <c r="AC192" s="1074">
        <f t="shared" si="37"/>
        <v>3.7039748416840408</v>
      </c>
      <c r="AD192" s="1074">
        <f t="shared" si="37"/>
        <v>7.5539933025540211</v>
      </c>
      <c r="AE192" s="1074">
        <f t="shared" si="37"/>
        <v>2.4665029523774118</v>
      </c>
    </row>
    <row r="193" spans="4:31">
      <c r="D193" s="226" t="str">
        <f>C31</f>
        <v>R-BLD_Att_D</v>
      </c>
      <c r="E193" s="1074">
        <f t="shared" ref="E193:AE193" si="38">H31*$BH$31</f>
        <v>170.37413843742618</v>
      </c>
      <c r="F193" s="1074">
        <f t="shared" si="38"/>
        <v>2.0195430292010301</v>
      </c>
      <c r="G193" s="1074">
        <f t="shared" si="38"/>
        <v>70.629114909617968</v>
      </c>
      <c r="H193" s="1074">
        <f t="shared" si="38"/>
        <v>7.7745104050442073</v>
      </c>
      <c r="I193" s="1074">
        <f t="shared" si="38"/>
        <v>2.8682081373254964</v>
      </c>
      <c r="J193" s="1074">
        <f t="shared" si="38"/>
        <v>1.8149990096658113</v>
      </c>
      <c r="K193" s="1074">
        <f t="shared" si="38"/>
        <v>1.1590916527792026</v>
      </c>
      <c r="L193" s="1074">
        <f t="shared" si="38"/>
        <v>4.1446891820306391</v>
      </c>
      <c r="M193" s="1074">
        <f t="shared" si="38"/>
        <v>3.2694589251501043</v>
      </c>
      <c r="N193" s="1074">
        <f t="shared" si="38"/>
        <v>1.6890956024299544</v>
      </c>
      <c r="O193" s="1074">
        <f t="shared" si="38"/>
        <v>2.755260080229462</v>
      </c>
      <c r="P193" s="1074">
        <f t="shared" si="38"/>
        <v>4.8845903008841214</v>
      </c>
      <c r="Q193" s="1074">
        <f t="shared" si="38"/>
        <v>4.6834512280707248</v>
      </c>
      <c r="R193" s="1074">
        <f t="shared" si="38"/>
        <v>4.3086230863725783</v>
      </c>
      <c r="S193" s="1074">
        <f t="shared" si="38"/>
        <v>16.697474869407401</v>
      </c>
      <c r="T193" s="1074">
        <f t="shared" si="38"/>
        <v>3.8926411923031679</v>
      </c>
      <c r="U193" s="1074">
        <f t="shared" si="38"/>
        <v>7.8466372782884655</v>
      </c>
      <c r="V193" s="1074">
        <f t="shared" si="38"/>
        <v>5.282334962676642</v>
      </c>
      <c r="W193" s="1074">
        <f t="shared" si="38"/>
        <v>5.3891707927847188</v>
      </c>
      <c r="X193" s="1074">
        <f t="shared" si="38"/>
        <v>6.5198083118539083</v>
      </c>
      <c r="Y193" s="1074">
        <f t="shared" si="38"/>
        <v>0.45453700824826809</v>
      </c>
      <c r="Z193" s="1074">
        <f t="shared" si="38"/>
        <v>3.0517698923616976</v>
      </c>
      <c r="AA193" s="1074">
        <f t="shared" si="38"/>
        <v>0.90259010595867606</v>
      </c>
      <c r="AB193" s="1074">
        <f t="shared" si="38"/>
        <v>2.0497455816918948</v>
      </c>
      <c r="AC193" s="1074">
        <f t="shared" si="38"/>
        <v>1.2543107218475709</v>
      </c>
      <c r="AD193" s="1074">
        <f t="shared" si="38"/>
        <v>3.3981161744841302</v>
      </c>
      <c r="AE193" s="1074">
        <f t="shared" si="38"/>
        <v>1.6343659967184192</v>
      </c>
    </row>
    <row r="194" spans="4:31">
      <c r="D194" s="226" t="str">
        <f>C36</f>
        <v>R-BLD_Att_E</v>
      </c>
      <c r="E194" s="1074">
        <f t="shared" ref="E194:AE194" si="39">H36*$BH$32</f>
        <v>69.943154239863205</v>
      </c>
      <c r="F194" s="1074">
        <f t="shared" si="39"/>
        <v>0.60304791156993331</v>
      </c>
      <c r="G194" s="1074">
        <f t="shared" si="39"/>
        <v>30.901430600652439</v>
      </c>
      <c r="H194" s="1074">
        <f t="shared" si="39"/>
        <v>2.0418712405690105</v>
      </c>
      <c r="I194" s="1074">
        <f t="shared" si="39"/>
        <v>1.1283960340398425</v>
      </c>
      <c r="J194" s="1074">
        <f t="shared" si="39"/>
        <v>1.1985849136843678</v>
      </c>
      <c r="K194" s="1074">
        <f t="shared" si="39"/>
        <v>0.40074689285288456</v>
      </c>
      <c r="L194" s="1074">
        <f t="shared" si="39"/>
        <v>1.4033432188801003</v>
      </c>
      <c r="M194" s="1074">
        <f t="shared" si="39"/>
        <v>0.96420172718587938</v>
      </c>
      <c r="N194" s="1074">
        <f t="shared" si="39"/>
        <v>1.6770607447470747</v>
      </c>
      <c r="O194" s="1074">
        <f t="shared" si="39"/>
        <v>1.1453051682391817</v>
      </c>
      <c r="P194" s="1074">
        <f t="shared" si="39"/>
        <v>1.7996235579327224</v>
      </c>
      <c r="Q194" s="1074">
        <f t="shared" si="39"/>
        <v>2.1206734743950753</v>
      </c>
      <c r="R194" s="1074">
        <f t="shared" si="39"/>
        <v>1.5623156178884927</v>
      </c>
      <c r="S194" s="1074">
        <f t="shared" si="39"/>
        <v>6.9500587250068548</v>
      </c>
      <c r="T194" s="1074">
        <f t="shared" si="39"/>
        <v>1.6726712101682348</v>
      </c>
      <c r="U194" s="1074">
        <f t="shared" si="39"/>
        <v>2.7724979433422896</v>
      </c>
      <c r="V194" s="1074">
        <f t="shared" si="39"/>
        <v>2.5037053843536157</v>
      </c>
      <c r="W194" s="1074">
        <f t="shared" si="39"/>
        <v>1.7075477063512299</v>
      </c>
      <c r="X194" s="1074">
        <f t="shared" si="39"/>
        <v>2.3235982675385611</v>
      </c>
      <c r="Y194" s="1074">
        <f t="shared" si="39"/>
        <v>0.24030960338727281</v>
      </c>
      <c r="Z194" s="1074">
        <f t="shared" si="39"/>
        <v>0.98533240163240154</v>
      </c>
      <c r="AA194" s="1074">
        <f t="shared" si="39"/>
        <v>0.53157572738543224</v>
      </c>
      <c r="AB194" s="1074">
        <f t="shared" si="39"/>
        <v>0.9329919575037332</v>
      </c>
      <c r="AC194" s="1074">
        <f t="shared" si="39"/>
        <v>0.5585648631165091</v>
      </c>
      <c r="AD194" s="1074">
        <f t="shared" si="39"/>
        <v>1.2762851028812299</v>
      </c>
      <c r="AE194" s="1074">
        <f t="shared" si="39"/>
        <v>0.54141424455885134</v>
      </c>
    </row>
    <row r="195" spans="4:31">
      <c r="D195" s="226" t="str">
        <f>C41</f>
        <v>R-BLD_Att_F</v>
      </c>
      <c r="E195" s="1074">
        <f t="shared" ref="E195:AE195" si="40">H41*$BH$33</f>
        <v>15.671617420013364</v>
      </c>
      <c r="F195" s="1074">
        <f t="shared" si="40"/>
        <v>0.15131024899243309</v>
      </c>
      <c r="G195" s="1074">
        <f t="shared" si="40"/>
        <v>7.1226426356411148</v>
      </c>
      <c r="H195" s="1074">
        <f t="shared" si="40"/>
        <v>0.35918643754707735</v>
      </c>
      <c r="I195" s="1074">
        <f t="shared" si="40"/>
        <v>0.25603759769259804</v>
      </c>
      <c r="J195" s="1074">
        <f t="shared" si="40"/>
        <v>0.26896400137562565</v>
      </c>
      <c r="K195" s="1074">
        <f t="shared" si="40"/>
        <v>9.437854366779784E-2</v>
      </c>
      <c r="L195" s="1074">
        <f t="shared" si="40"/>
        <v>0.31480614146096453</v>
      </c>
      <c r="M195" s="1074">
        <f t="shared" si="40"/>
        <v>0.23564125068779132</v>
      </c>
      <c r="N195" s="1074">
        <f t="shared" si="40"/>
        <v>0.40331589286425346</v>
      </c>
      <c r="O195" s="1074">
        <f t="shared" si="40"/>
        <v>0.25761402748396894</v>
      </c>
      <c r="P195" s="1074">
        <f t="shared" si="40"/>
        <v>0.36559663843276952</v>
      </c>
      <c r="Q195" s="1074">
        <f t="shared" si="40"/>
        <v>0.42490147595867672</v>
      </c>
      <c r="R195" s="1074">
        <f t="shared" si="40"/>
        <v>0.28998250777435441</v>
      </c>
      <c r="S195" s="1074">
        <f t="shared" si="40"/>
        <v>1.524008523975511</v>
      </c>
      <c r="T195" s="1074">
        <f t="shared" si="40"/>
        <v>0.31928756650226536</v>
      </c>
      <c r="U195" s="1074">
        <f t="shared" si="40"/>
        <v>0.56942497653002488</v>
      </c>
      <c r="V195" s="1074">
        <f t="shared" si="40"/>
        <v>0.60174407579641942</v>
      </c>
      <c r="W195" s="1074">
        <f t="shared" si="40"/>
        <v>0.37556889442924524</v>
      </c>
      <c r="X195" s="1074">
        <f t="shared" si="40"/>
        <v>0.5231084448183837</v>
      </c>
      <c r="Y195" s="1074">
        <f t="shared" si="40"/>
        <v>8.8948525342996368E-2</v>
      </c>
      <c r="Z195" s="1074">
        <f t="shared" si="40"/>
        <v>0.25950951386565951</v>
      </c>
      <c r="AA195" s="1074">
        <f t="shared" si="40"/>
        <v>0.14001536568640424</v>
      </c>
      <c r="AB195" s="1074">
        <f t="shared" si="40"/>
        <v>0.19412753790366469</v>
      </c>
      <c r="AC195" s="1074">
        <f t="shared" si="40"/>
        <v>0.12487255464304452</v>
      </c>
      <c r="AD195" s="1074">
        <f t="shared" si="40"/>
        <v>0.28688990040117079</v>
      </c>
      <c r="AE195" s="1074">
        <f t="shared" si="40"/>
        <v>0.11973414053914437</v>
      </c>
    </row>
    <row r="196" spans="4:31" ht="13.5" thickBot="1">
      <c r="D196" s="1070" t="str">
        <f>C46</f>
        <v>R-BLD_Att_G</v>
      </c>
      <c r="E196" s="1079">
        <f t="shared" ref="E196:AE196" si="41">H46*$BH$34</f>
        <v>8.4260020737144359</v>
      </c>
      <c r="F196" s="1079">
        <f t="shared" si="41"/>
        <v>7.5688277462729991E-2</v>
      </c>
      <c r="G196" s="1079">
        <f t="shared" si="41"/>
        <v>3.2218252074405931</v>
      </c>
      <c r="H196" s="1079">
        <f t="shared" si="41"/>
        <v>0.20659018607298579</v>
      </c>
      <c r="I196" s="1079">
        <f t="shared" si="41"/>
        <v>0.14412836339189983</v>
      </c>
      <c r="J196" s="1079">
        <f t="shared" si="41"/>
        <v>0.16010581302899624</v>
      </c>
      <c r="K196" s="1079">
        <f t="shared" si="41"/>
        <v>4.6017160946265484E-2</v>
      </c>
      <c r="L196" s="1079">
        <f t="shared" si="41"/>
        <v>0.24690804472661856</v>
      </c>
      <c r="M196" s="1079">
        <f t="shared" si="41"/>
        <v>0.11860938058849592</v>
      </c>
      <c r="N196" s="1079">
        <f t="shared" si="41"/>
        <v>0.20771057474718332</v>
      </c>
      <c r="O196" s="1079">
        <f t="shared" si="41"/>
        <v>0.19233669920422958</v>
      </c>
      <c r="P196" s="1079">
        <f t="shared" si="41"/>
        <v>0.23136868188833701</v>
      </c>
      <c r="Q196" s="1079">
        <f t="shared" si="41"/>
        <v>0.24790983682904524</v>
      </c>
      <c r="R196" s="1079">
        <f t="shared" si="41"/>
        <v>0.15217369167862602</v>
      </c>
      <c r="S196" s="1079">
        <f t="shared" si="41"/>
        <v>0.972843920783517</v>
      </c>
      <c r="T196" s="1079">
        <f t="shared" si="41"/>
        <v>0.19073252545329158</v>
      </c>
      <c r="U196" s="1079">
        <f t="shared" si="41"/>
        <v>0.32431756747562429</v>
      </c>
      <c r="V196" s="1079">
        <f t="shared" si="41"/>
        <v>0.39948647914590379</v>
      </c>
      <c r="W196" s="1079">
        <f t="shared" si="41"/>
        <v>0.22671186477320657</v>
      </c>
      <c r="X196" s="1079">
        <f t="shared" si="41"/>
        <v>0.26906704407630039</v>
      </c>
      <c r="Y196" s="1079">
        <f t="shared" si="41"/>
        <v>4.4894300645498049E-2</v>
      </c>
      <c r="Z196" s="1079">
        <f t="shared" si="41"/>
        <v>0.19685078781894472</v>
      </c>
      <c r="AA196" s="1079">
        <f t="shared" si="41"/>
        <v>7.2282316221946863E-2</v>
      </c>
      <c r="AB196" s="1079">
        <f t="shared" si="41"/>
        <v>0.12566430878463086</v>
      </c>
      <c r="AC196" s="1079">
        <f t="shared" si="41"/>
        <v>9.0472939707870181E-2</v>
      </c>
      <c r="AD196" s="1079">
        <f t="shared" si="41"/>
        <v>0.19314379702142453</v>
      </c>
      <c r="AE196" s="1079">
        <f t="shared" si="41"/>
        <v>6.8162303800270177E-2</v>
      </c>
    </row>
    <row r="197" spans="4:31">
      <c r="D197" s="1206" t="str">
        <f>C56</f>
        <v>R-BLD_Apt_A</v>
      </c>
      <c r="E197" s="1096">
        <f t="shared" ref="E197:AE197" si="42">H56*$BH$26</f>
        <v>11.735038424732089</v>
      </c>
      <c r="F197" s="1096">
        <f t="shared" si="42"/>
        <v>1.0999213170625809E-2</v>
      </c>
      <c r="G197" s="1096">
        <f t="shared" si="42"/>
        <v>9.3752305952282828</v>
      </c>
      <c r="H197" s="1096">
        <f t="shared" si="42"/>
        <v>0.38111078467402082</v>
      </c>
      <c r="I197" s="1096">
        <f t="shared" si="42"/>
        <v>7.6168764397473235E-2</v>
      </c>
      <c r="J197" s="1096">
        <f t="shared" si="42"/>
        <v>1.8635524481144205E-2</v>
      </c>
      <c r="K197" s="1096">
        <f t="shared" si="42"/>
        <v>2.4560877536437445E-2</v>
      </c>
      <c r="L197" s="1096">
        <f t="shared" si="42"/>
        <v>0.13853042258541853</v>
      </c>
      <c r="M197" s="1096">
        <f t="shared" si="42"/>
        <v>0.16269659248084406</v>
      </c>
      <c r="N197" s="1096">
        <f t="shared" si="42"/>
        <v>1.2999999999999999E-2</v>
      </c>
      <c r="O197" s="1096">
        <f t="shared" si="42"/>
        <v>1.9986531797620652E-2</v>
      </c>
      <c r="P197" s="1096">
        <f t="shared" si="42"/>
        <v>2.6840370017248788E-2</v>
      </c>
      <c r="Q197" s="1096">
        <f t="shared" si="42"/>
        <v>0.23678136971547895</v>
      </c>
      <c r="R197" s="1096">
        <f t="shared" si="42"/>
        <v>4.0430778237842586E-2</v>
      </c>
      <c r="S197" s="1096">
        <f t="shared" si="42"/>
        <v>0.46229041477688143</v>
      </c>
      <c r="T197" s="1096">
        <f t="shared" si="42"/>
        <v>7.7809037903225312E-2</v>
      </c>
      <c r="U197" s="1096">
        <f t="shared" si="42"/>
        <v>7.9968170445857648E-2</v>
      </c>
      <c r="V197" s="1096">
        <f t="shared" si="42"/>
        <v>3.5745393028063198E-2</v>
      </c>
      <c r="W197" s="1096">
        <f t="shared" si="42"/>
        <v>0.15468678455337934</v>
      </c>
      <c r="X197" s="1096">
        <f t="shared" si="42"/>
        <v>0.20802835889673207</v>
      </c>
      <c r="Y197" s="1096">
        <f t="shared" si="42"/>
        <v>0</v>
      </c>
      <c r="Z197" s="1096">
        <f t="shared" si="42"/>
        <v>3.3146875959603223E-2</v>
      </c>
      <c r="AA197" s="1096">
        <f t="shared" si="42"/>
        <v>0.02</v>
      </c>
      <c r="AB197" s="1096">
        <f t="shared" si="42"/>
        <v>3.89006646724816E-2</v>
      </c>
      <c r="AC197" s="1096">
        <f t="shared" si="42"/>
        <v>3.9228229989771699E-2</v>
      </c>
      <c r="AD197" s="1096">
        <f t="shared" si="42"/>
        <v>3.8853388562053358E-2</v>
      </c>
      <c r="AE197" s="1096">
        <f t="shared" si="42"/>
        <v>2.1409281621601231E-2</v>
      </c>
    </row>
    <row r="198" spans="4:31">
      <c r="D198" s="1206" t="str">
        <f>C61</f>
        <v>R-BLD_Apt_B1</v>
      </c>
      <c r="E198" s="1074">
        <f t="shared" ref="E198:AE198" si="43">H61*$BH$27</f>
        <v>5.1976132443555905</v>
      </c>
      <c r="F198" s="1074">
        <f t="shared" si="43"/>
        <v>9.3314973981268902E-3</v>
      </c>
      <c r="G198" s="1074">
        <f t="shared" si="43"/>
        <v>3.8795577189656774</v>
      </c>
      <c r="H198" s="1074">
        <f t="shared" si="43"/>
        <v>1.9211992602239075E-2</v>
      </c>
      <c r="I198" s="1074">
        <f t="shared" si="43"/>
        <v>1.4912875269250541E-2</v>
      </c>
      <c r="J198" s="1074">
        <f t="shared" si="43"/>
        <v>8.1776224057210217E-3</v>
      </c>
      <c r="K198" s="1074">
        <f t="shared" si="43"/>
        <v>3.585329076164042E-3</v>
      </c>
      <c r="L198" s="1074">
        <f t="shared" si="43"/>
        <v>5.3278902698974957E-2</v>
      </c>
      <c r="M198" s="1074">
        <f t="shared" si="43"/>
        <v>7.8704653993169504E-2</v>
      </c>
      <c r="N198" s="1074">
        <f t="shared" si="43"/>
        <v>0</v>
      </c>
      <c r="O198" s="1074">
        <f t="shared" si="43"/>
        <v>3.8536474043666308E-2</v>
      </c>
      <c r="P198" s="1074">
        <f t="shared" si="43"/>
        <v>2.583097129527806E-2</v>
      </c>
      <c r="Q198" s="1074">
        <f t="shared" si="43"/>
        <v>0.10936635397320441</v>
      </c>
      <c r="R198" s="1074">
        <f t="shared" si="43"/>
        <v>1.2858304335706622E-3</v>
      </c>
      <c r="S198" s="1074">
        <f t="shared" si="43"/>
        <v>0.66116165910752589</v>
      </c>
      <c r="T198" s="1074">
        <f t="shared" si="43"/>
        <v>4.2605646774192665E-2</v>
      </c>
      <c r="U198" s="1074">
        <f t="shared" si="43"/>
        <v>6.9194421278598928E-2</v>
      </c>
      <c r="V198" s="1074">
        <f t="shared" si="43"/>
        <v>1.6854268626284391E-2</v>
      </c>
      <c r="W198" s="1074">
        <f t="shared" si="43"/>
        <v>1.8706514038054258E-2</v>
      </c>
      <c r="X198" s="1074">
        <f t="shared" si="43"/>
        <v>7.0812631399005024E-2</v>
      </c>
      <c r="Y198" s="1074">
        <f t="shared" si="43"/>
        <v>1.0207219784121402E-3</v>
      </c>
      <c r="Z198" s="1074">
        <f t="shared" si="43"/>
        <v>1.1015909788802345E-2</v>
      </c>
      <c r="AA198" s="1074">
        <f t="shared" si="43"/>
        <v>1.15166974613897E-2</v>
      </c>
      <c r="AB198" s="1074">
        <f t="shared" si="43"/>
        <v>7.0228130422058666E-3</v>
      </c>
      <c r="AC198" s="1074">
        <f t="shared" si="43"/>
        <v>2.8188199931811317E-3</v>
      </c>
      <c r="AD198" s="1074">
        <f t="shared" si="43"/>
        <v>3.7693637091293482E-2</v>
      </c>
      <c r="AE198" s="1074">
        <f t="shared" si="43"/>
        <v>5.4092816216012298E-3</v>
      </c>
    </row>
    <row r="199" spans="4:31">
      <c r="D199" s="1206" t="str">
        <f>C66</f>
        <v>R-BLD_Apt_B2</v>
      </c>
      <c r="E199" s="1074">
        <f t="shared" ref="E199:AE199" si="44">H66*$BH$28</f>
        <v>13.979419134898935</v>
      </c>
      <c r="F199" s="1074">
        <f t="shared" si="44"/>
        <v>1.066456845500216E-2</v>
      </c>
      <c r="G199" s="1074">
        <f t="shared" si="44"/>
        <v>9.7924474391647536</v>
      </c>
      <c r="H199" s="1074">
        <f t="shared" si="44"/>
        <v>0.23578354557293413</v>
      </c>
      <c r="I199" s="1074">
        <f t="shared" si="44"/>
        <v>6.9593417923169199E-2</v>
      </c>
      <c r="J199" s="1074">
        <f t="shared" si="44"/>
        <v>0.11285118919895011</v>
      </c>
      <c r="K199" s="1074">
        <f t="shared" si="44"/>
        <v>7.1706581523280841E-3</v>
      </c>
      <c r="L199" s="1074">
        <f t="shared" si="44"/>
        <v>0.21858011363682037</v>
      </c>
      <c r="M199" s="1074">
        <f t="shared" si="44"/>
        <v>0.36903737761241701</v>
      </c>
      <c r="N199" s="1074">
        <f t="shared" si="44"/>
        <v>2.0501788054471191E-2</v>
      </c>
      <c r="O199" s="1074">
        <f t="shared" si="44"/>
        <v>0.16743433550006739</v>
      </c>
      <c r="P199" s="1074">
        <f t="shared" si="44"/>
        <v>5.043189633840002E-2</v>
      </c>
      <c r="Q199" s="1074">
        <f t="shared" si="44"/>
        <v>0.28546472054022848</v>
      </c>
      <c r="R199" s="1074">
        <f t="shared" si="44"/>
        <v>4.3718234741402517E-2</v>
      </c>
      <c r="S199" s="1074">
        <f t="shared" si="44"/>
        <v>1.6642476076064439</v>
      </c>
      <c r="T199" s="1074">
        <f t="shared" si="44"/>
        <v>6.0149148387095529E-2</v>
      </c>
      <c r="U199" s="1074">
        <f t="shared" si="44"/>
        <v>0.21009942460956402</v>
      </c>
      <c r="V199" s="1074">
        <f t="shared" si="44"/>
        <v>1.872696514031599E-2</v>
      </c>
      <c r="W199" s="1074">
        <f t="shared" si="44"/>
        <v>4.4427970840378861E-2</v>
      </c>
      <c r="X199" s="1074">
        <f t="shared" si="44"/>
        <v>0.27491962778437246</v>
      </c>
      <c r="Y199" s="1074">
        <f t="shared" si="44"/>
        <v>8.1657758272971216E-3</v>
      </c>
      <c r="Z199" s="1074">
        <f t="shared" si="44"/>
        <v>4.9571594049610555E-2</v>
      </c>
      <c r="AA199" s="1074">
        <f t="shared" si="44"/>
        <v>1.15166974613897E-2</v>
      </c>
      <c r="AB199" s="1074">
        <f t="shared" si="44"/>
        <v>3.8625471732132266E-2</v>
      </c>
      <c r="AC199" s="1074">
        <f t="shared" si="44"/>
        <v>4.2282299897716973E-2</v>
      </c>
      <c r="AD199" s="1074">
        <f t="shared" si="44"/>
        <v>0.12792991982499607</v>
      </c>
      <c r="AE199" s="1074">
        <f t="shared" si="44"/>
        <v>4.507734684667692E-2</v>
      </c>
    </row>
    <row r="200" spans="4:31">
      <c r="D200" s="1206" t="str">
        <f>C71</f>
        <v>R-BLD_Apt_B3</v>
      </c>
      <c r="E200" s="1074">
        <f t="shared" ref="E200:AE200" si="45">H71*$BH$29</f>
        <v>21.176485750422383</v>
      </c>
      <c r="F200" s="1074">
        <f t="shared" si="45"/>
        <v>7.2817902173752599E-2</v>
      </c>
      <c r="G200" s="1074">
        <f t="shared" si="45"/>
        <v>13.756039461920549</v>
      </c>
      <c r="H200" s="1074">
        <f t="shared" si="45"/>
        <v>0.64567767779617047</v>
      </c>
      <c r="I200" s="1074">
        <f t="shared" si="45"/>
        <v>0.15516256339933007</v>
      </c>
      <c r="J200" s="1074">
        <f t="shared" si="45"/>
        <v>0.14996217808645004</v>
      </c>
      <c r="K200" s="1074">
        <f t="shared" si="45"/>
        <v>1.3988973622884456E-2</v>
      </c>
      <c r="L200" s="1074">
        <f t="shared" si="45"/>
        <v>0.35712667931971542</v>
      </c>
      <c r="M200" s="1074">
        <f t="shared" si="45"/>
        <v>0.63122829943976899</v>
      </c>
      <c r="N200" s="1074">
        <f t="shared" si="45"/>
        <v>6.3070907617599065E-2</v>
      </c>
      <c r="O200" s="1074">
        <f t="shared" si="45"/>
        <v>0.23201915754558544</v>
      </c>
      <c r="P200" s="1074">
        <f t="shared" si="45"/>
        <v>0.13318068909431816</v>
      </c>
      <c r="Q200" s="1074">
        <f t="shared" si="45"/>
        <v>0.52616450599891296</v>
      </c>
      <c r="R200" s="1074">
        <f t="shared" si="45"/>
        <v>0.17559355564896773</v>
      </c>
      <c r="S200" s="1074">
        <f t="shared" si="45"/>
        <v>2.3315050197584144</v>
      </c>
      <c r="T200" s="1074">
        <f t="shared" si="45"/>
        <v>0.16379094198754943</v>
      </c>
      <c r="U200" s="1074">
        <f t="shared" si="45"/>
        <v>0.47000664994299934</v>
      </c>
      <c r="V200" s="1074">
        <f t="shared" si="45"/>
        <v>7.1240809539084182E-2</v>
      </c>
      <c r="W200" s="1074">
        <f t="shared" si="45"/>
        <v>0.13685194191492978</v>
      </c>
      <c r="X200" s="1074">
        <f t="shared" si="45"/>
        <v>0.56070926833913393</v>
      </c>
      <c r="Y200" s="1074">
        <f t="shared" si="45"/>
        <v>1.2943378618579783E-2</v>
      </c>
      <c r="Z200" s="1074">
        <f t="shared" si="45"/>
        <v>8.9991610332336852E-2</v>
      </c>
      <c r="AA200" s="1074">
        <f t="shared" si="45"/>
        <v>2.2467502088049568E-2</v>
      </c>
      <c r="AB200" s="1074">
        <f t="shared" si="45"/>
        <v>9.9328973200498785E-2</v>
      </c>
      <c r="AC200" s="1074">
        <f t="shared" si="45"/>
        <v>8.6611335206604023E-2</v>
      </c>
      <c r="AD200" s="1074">
        <f t="shared" si="45"/>
        <v>0.15041277036009301</v>
      </c>
      <c r="AE200" s="1074">
        <f t="shared" si="45"/>
        <v>6.8592997470110328E-2</v>
      </c>
    </row>
    <row r="201" spans="4:31">
      <c r="D201" s="1206" t="str">
        <f>C76</f>
        <v>R-BLD_Apt_C</v>
      </c>
      <c r="E201" s="1074">
        <f t="shared" ref="E201:AE201" si="46">H76*$BH$30</f>
        <v>69.767580080770472</v>
      </c>
      <c r="F201" s="1074">
        <f t="shared" si="46"/>
        <v>0.48092301240478363</v>
      </c>
      <c r="G201" s="1074">
        <f t="shared" si="46"/>
        <v>40.196443328480193</v>
      </c>
      <c r="H201" s="1074">
        <f t="shared" si="46"/>
        <v>2.8833426335001162</v>
      </c>
      <c r="I201" s="1074">
        <f t="shared" si="46"/>
        <v>0.70823894795188536</v>
      </c>
      <c r="J201" s="1074">
        <f t="shared" si="46"/>
        <v>0.4569580684515509</v>
      </c>
      <c r="K201" s="1074">
        <f t="shared" si="46"/>
        <v>0.18628562085806583</v>
      </c>
      <c r="L201" s="1074">
        <f t="shared" si="46"/>
        <v>1.1798886243185582</v>
      </c>
      <c r="M201" s="1074">
        <f t="shared" si="46"/>
        <v>2.2495527221423477</v>
      </c>
      <c r="N201" s="1074">
        <f t="shared" si="46"/>
        <v>0.31539368649977528</v>
      </c>
      <c r="O201" s="1074">
        <f t="shared" si="46"/>
        <v>0.85848721767205538</v>
      </c>
      <c r="P201" s="1074">
        <f t="shared" si="46"/>
        <v>0.72110260900304435</v>
      </c>
      <c r="Q201" s="1074">
        <f t="shared" si="46"/>
        <v>1.5210084301457731</v>
      </c>
      <c r="R201" s="1074">
        <f t="shared" si="46"/>
        <v>0.75128445208970152</v>
      </c>
      <c r="S201" s="1074">
        <f t="shared" si="46"/>
        <v>5.7079367987735523</v>
      </c>
      <c r="T201" s="1074">
        <f t="shared" si="46"/>
        <v>0.95697401174918117</v>
      </c>
      <c r="U201" s="1074">
        <f t="shared" si="46"/>
        <v>3.217784177140889</v>
      </c>
      <c r="V201" s="1074">
        <f t="shared" si="46"/>
        <v>0.46263915243248577</v>
      </c>
      <c r="W201" s="1074">
        <f t="shared" si="46"/>
        <v>0.95819433693648981</v>
      </c>
      <c r="X201" s="1074">
        <f t="shared" si="46"/>
        <v>2.9891474151226234</v>
      </c>
      <c r="Y201" s="1074">
        <f t="shared" si="46"/>
        <v>0.19512661849173824</v>
      </c>
      <c r="Z201" s="1074">
        <f t="shared" si="46"/>
        <v>0.62365843437037438</v>
      </c>
      <c r="AA201" s="1074">
        <f t="shared" si="46"/>
        <v>0.20824183289483983</v>
      </c>
      <c r="AB201" s="1074">
        <f t="shared" si="46"/>
        <v>0.42599132956155844</v>
      </c>
      <c r="AC201" s="1074">
        <f t="shared" si="46"/>
        <v>0.3606220647919135</v>
      </c>
      <c r="AD201" s="1074">
        <f t="shared" si="46"/>
        <v>0.88013864812549003</v>
      </c>
      <c r="AE201" s="1074">
        <f t="shared" si="46"/>
        <v>0.27221590686150365</v>
      </c>
    </row>
    <row r="202" spans="4:31">
      <c r="D202" s="1206" t="str">
        <f>C81</f>
        <v>R-BLD_Apt_D</v>
      </c>
      <c r="E202" s="1074">
        <f t="shared" ref="E202:AE202" si="47">H81*$BH$31</f>
        <v>45.993619928119749</v>
      </c>
      <c r="F202" s="1074">
        <f t="shared" si="47"/>
        <v>0.33696237627838105</v>
      </c>
      <c r="G202" s="1074">
        <f t="shared" si="47"/>
        <v>24.264154675861473</v>
      </c>
      <c r="H202" s="1074">
        <f t="shared" si="47"/>
        <v>1.6001417898281656</v>
      </c>
      <c r="I202" s="1074">
        <f t="shared" si="47"/>
        <v>0.34823002611721843</v>
      </c>
      <c r="J202" s="1074">
        <f t="shared" si="47"/>
        <v>0.3785668276079116</v>
      </c>
      <c r="K202" s="1074">
        <f t="shared" si="47"/>
        <v>0.2581072698420086</v>
      </c>
      <c r="L202" s="1074">
        <f t="shared" si="47"/>
        <v>0.50143827442929834</v>
      </c>
      <c r="M202" s="1074">
        <f t="shared" si="47"/>
        <v>1.0959223563207776</v>
      </c>
      <c r="N202" s="1074">
        <f t="shared" si="47"/>
        <v>0.35434309782744416</v>
      </c>
      <c r="O202" s="1074">
        <f t="shared" si="47"/>
        <v>0.84938682223414674</v>
      </c>
      <c r="P202" s="1074">
        <f t="shared" si="47"/>
        <v>0.77908850378191696</v>
      </c>
      <c r="Q202" s="1074">
        <f t="shared" si="47"/>
        <v>0.92454181242285571</v>
      </c>
      <c r="R202" s="1074">
        <f t="shared" si="47"/>
        <v>0.67245784730770242</v>
      </c>
      <c r="S202" s="1074">
        <f t="shared" si="47"/>
        <v>3.2988898521429579</v>
      </c>
      <c r="T202" s="1074">
        <f t="shared" si="47"/>
        <v>0.8313165421469042</v>
      </c>
      <c r="U202" s="1074">
        <f t="shared" si="47"/>
        <v>1.8873281396646859</v>
      </c>
      <c r="V202" s="1074">
        <f t="shared" si="47"/>
        <v>0.7834995555296117</v>
      </c>
      <c r="W202" s="1074">
        <f t="shared" si="47"/>
        <v>0.97377571245555217</v>
      </c>
      <c r="X202" s="1074">
        <f t="shared" si="47"/>
        <v>3.0565225080997576</v>
      </c>
      <c r="Y202" s="1074">
        <f t="shared" si="47"/>
        <v>0.19770837538203409</v>
      </c>
      <c r="Z202" s="1074">
        <f t="shared" si="47"/>
        <v>0.73080001534538286</v>
      </c>
      <c r="AA202" s="1074">
        <f t="shared" si="47"/>
        <v>0.19208999823284856</v>
      </c>
      <c r="AB202" s="1074">
        <f t="shared" si="47"/>
        <v>0.55006372590862296</v>
      </c>
      <c r="AC202" s="1074">
        <f t="shared" si="47"/>
        <v>0.37127341874716163</v>
      </c>
      <c r="AD202" s="1074">
        <f t="shared" si="47"/>
        <v>0.53872939371074258</v>
      </c>
      <c r="AE202" s="1074">
        <f t="shared" si="47"/>
        <v>0.21828101089419413</v>
      </c>
    </row>
    <row r="203" spans="4:31">
      <c r="D203" s="1206" t="str">
        <f>C86</f>
        <v>R-BLD_Apt_E</v>
      </c>
      <c r="E203" s="1074">
        <f t="shared" ref="E203:AE203" si="48">H86*$BH$32</f>
        <v>19.403965347730132</v>
      </c>
      <c r="F203" s="1074">
        <f t="shared" si="48"/>
        <v>0.14678126036366551</v>
      </c>
      <c r="G203" s="1074">
        <f t="shared" si="48"/>
        <v>9.8302642660780215</v>
      </c>
      <c r="H203" s="1074">
        <f t="shared" si="48"/>
        <v>0.74786390645034584</v>
      </c>
      <c r="I203" s="1074">
        <f t="shared" si="48"/>
        <v>0.13649721629762196</v>
      </c>
      <c r="J203" s="1074">
        <f t="shared" si="48"/>
        <v>0.12405764781096879</v>
      </c>
      <c r="K203" s="1074">
        <f t="shared" si="48"/>
        <v>9.3575584003279894E-2</v>
      </c>
      <c r="L203" s="1074">
        <f t="shared" si="48"/>
        <v>0.24290178321278147</v>
      </c>
      <c r="M203" s="1074">
        <f t="shared" si="48"/>
        <v>0.38515470641260718</v>
      </c>
      <c r="N203" s="1074">
        <f t="shared" si="48"/>
        <v>0.16464248089959768</v>
      </c>
      <c r="O203" s="1074">
        <f t="shared" si="48"/>
        <v>0.32623009163639832</v>
      </c>
      <c r="P203" s="1074">
        <f t="shared" si="48"/>
        <v>0.4364095480224886</v>
      </c>
      <c r="Q203" s="1074">
        <f t="shared" si="48"/>
        <v>0.34470700896924411</v>
      </c>
      <c r="R203" s="1074">
        <f t="shared" si="48"/>
        <v>0.37230219644816248</v>
      </c>
      <c r="S203" s="1074">
        <f t="shared" si="48"/>
        <v>1.5860332528182473</v>
      </c>
      <c r="T203" s="1074">
        <f t="shared" si="48"/>
        <v>0.33318802966175831</v>
      </c>
      <c r="U203" s="1074">
        <f t="shared" si="48"/>
        <v>0.65260297951555934</v>
      </c>
      <c r="V203" s="1074">
        <f t="shared" si="48"/>
        <v>0.37268402148607704</v>
      </c>
      <c r="W203" s="1074">
        <f t="shared" si="48"/>
        <v>0.43673892851918278</v>
      </c>
      <c r="X203" s="1074">
        <f t="shared" si="48"/>
        <v>1.4110491583798588</v>
      </c>
      <c r="Y203" s="1074">
        <f t="shared" si="48"/>
        <v>5.4945856359927145E-2</v>
      </c>
      <c r="Z203" s="1074">
        <f t="shared" si="48"/>
        <v>0.2549410591171089</v>
      </c>
      <c r="AA203" s="1074">
        <f t="shared" si="48"/>
        <v>8.975681736859345E-2</v>
      </c>
      <c r="AB203" s="1074">
        <f t="shared" si="48"/>
        <v>0.30859006143955059</v>
      </c>
      <c r="AC203" s="1074">
        <f t="shared" si="48"/>
        <v>0.15633628966815699</v>
      </c>
      <c r="AD203" s="1074">
        <f t="shared" si="48"/>
        <v>0.26923746482920768</v>
      </c>
      <c r="AE203" s="1074">
        <f t="shared" si="48"/>
        <v>0.12647373196172257</v>
      </c>
    </row>
    <row r="204" spans="4:31">
      <c r="D204" s="1206" t="str">
        <f>C91</f>
        <v>R-BLD_Apt_F</v>
      </c>
      <c r="E204" s="1074">
        <f t="shared" ref="E204:AE204" si="49">H91*$BH$33</f>
        <v>3.2533155153258604</v>
      </c>
      <c r="F204" s="1074">
        <f t="shared" si="49"/>
        <v>2.8151852011088475E-2</v>
      </c>
      <c r="G204" s="1074">
        <f t="shared" si="49"/>
        <v>1.6791086511703035</v>
      </c>
      <c r="H204" s="1074">
        <f t="shared" si="49"/>
        <v>0.12199962630343644</v>
      </c>
      <c r="I204" s="1074">
        <f t="shared" si="49"/>
        <v>2.8935944282139487E-2</v>
      </c>
      <c r="J204" s="1074">
        <f t="shared" si="49"/>
        <v>2.1254816280148327E-2</v>
      </c>
      <c r="K204" s="1074">
        <f t="shared" si="49"/>
        <v>1.2133835560139727E-2</v>
      </c>
      <c r="L204" s="1074">
        <f t="shared" si="49"/>
        <v>4.6048881407521933E-2</v>
      </c>
      <c r="M204" s="1074">
        <f t="shared" si="49"/>
        <v>4.9720589387742119E-2</v>
      </c>
      <c r="N204" s="1074">
        <f t="shared" si="49"/>
        <v>3.7787723314674497E-2</v>
      </c>
      <c r="O204" s="1074">
        <f t="shared" si="49"/>
        <v>6.2061482557414921E-2</v>
      </c>
      <c r="P204" s="1074">
        <f t="shared" si="49"/>
        <v>6.5939507817951507E-2</v>
      </c>
      <c r="Q204" s="1074">
        <f t="shared" si="49"/>
        <v>6.1729946788878567E-2</v>
      </c>
      <c r="R204" s="1074">
        <f t="shared" si="49"/>
        <v>4.9608675708180755E-2</v>
      </c>
      <c r="S204" s="1074">
        <f t="shared" si="49"/>
        <v>0.30141391892403052</v>
      </c>
      <c r="T204" s="1074">
        <f t="shared" si="49"/>
        <v>5.0381810254108969E-2</v>
      </c>
      <c r="U204" s="1074">
        <f t="shared" si="49"/>
        <v>0.10933834430084921</v>
      </c>
      <c r="V204" s="1074">
        <f t="shared" si="49"/>
        <v>7.6813774077599331E-2</v>
      </c>
      <c r="W204" s="1074">
        <f t="shared" si="49"/>
        <v>5.9351708139798343E-2</v>
      </c>
      <c r="X204" s="1074">
        <f t="shared" si="49"/>
        <v>0.19172105136761539</v>
      </c>
      <c r="Y204" s="1074">
        <f t="shared" si="49"/>
        <v>1.0363293613141186E-2</v>
      </c>
      <c r="Z204" s="1074">
        <f t="shared" si="49"/>
        <v>4.8651917797096496E-2</v>
      </c>
      <c r="AA204" s="1074">
        <f t="shared" si="49"/>
        <v>1.3511672953190222E-2</v>
      </c>
      <c r="AB204" s="1074">
        <f t="shared" si="49"/>
        <v>2.6381723703181009E-2</v>
      </c>
      <c r="AC204" s="1074">
        <f t="shared" si="49"/>
        <v>2.8619212527756094E-2</v>
      </c>
      <c r="AD204" s="1074">
        <f t="shared" si="49"/>
        <v>4.592399146321164E-2</v>
      </c>
      <c r="AE204" s="1074">
        <f t="shared" si="49"/>
        <v>2.6361563614661299E-2</v>
      </c>
    </row>
    <row r="205" spans="4:31" ht="13.5" thickBot="1">
      <c r="D205" s="1070" t="str">
        <f>C96</f>
        <v>R-BLD_Apt_G</v>
      </c>
      <c r="E205" s="1079">
        <f t="shared" ref="E205:AE205" si="50">H96*$BH$34</f>
        <v>1.8751622901609137</v>
      </c>
      <c r="F205" s="1079">
        <f t="shared" si="50"/>
        <v>1.7034141652339227E-2</v>
      </c>
      <c r="G205" s="1079">
        <f t="shared" si="50"/>
        <v>0.84919332251892654</v>
      </c>
      <c r="H205" s="1079">
        <f t="shared" si="50"/>
        <v>5.522650055131486E-2</v>
      </c>
      <c r="I205" s="1079">
        <f t="shared" si="50"/>
        <v>2.404410535161906E-2</v>
      </c>
      <c r="J205" s="1079">
        <f t="shared" si="50"/>
        <v>1.7356736596229907E-2</v>
      </c>
      <c r="K205" s="1079">
        <f t="shared" si="50"/>
        <v>8.8003841257063616E-3</v>
      </c>
      <c r="L205" s="1079">
        <f t="shared" si="50"/>
        <v>2.8107952667584504E-2</v>
      </c>
      <c r="M205" s="1079">
        <f t="shared" si="50"/>
        <v>2.8788327589051897E-2</v>
      </c>
      <c r="N205" s="1079">
        <f t="shared" si="50"/>
        <v>2.0493426622210435E-2</v>
      </c>
      <c r="O205" s="1079">
        <f t="shared" si="50"/>
        <v>2.5901888569660459E-2</v>
      </c>
      <c r="P205" s="1079">
        <f t="shared" si="50"/>
        <v>4.1558607179562987E-2</v>
      </c>
      <c r="Q205" s="1079">
        <f t="shared" si="50"/>
        <v>5.660643161438593E-2</v>
      </c>
      <c r="R205" s="1079">
        <f t="shared" si="50"/>
        <v>4.0380030843744426E-2</v>
      </c>
      <c r="S205" s="1079">
        <f t="shared" si="50"/>
        <v>0.23198713458669856</v>
      </c>
      <c r="T205" s="1079">
        <f t="shared" si="50"/>
        <v>4.1252167917870466E-2</v>
      </c>
      <c r="U205" s="1079">
        <f t="shared" si="50"/>
        <v>6.9208119992878139E-2</v>
      </c>
      <c r="V205" s="1079">
        <f t="shared" si="50"/>
        <v>6.7327181422804333E-2</v>
      </c>
      <c r="W205" s="1079">
        <f t="shared" si="50"/>
        <v>3.8235323792224142E-2</v>
      </c>
      <c r="X205" s="1079">
        <f t="shared" si="50"/>
        <v>7.4878105472110226E-2</v>
      </c>
      <c r="Y205" s="1079">
        <f t="shared" si="50"/>
        <v>5.3055895776302452E-3</v>
      </c>
      <c r="Z205" s="1079">
        <f t="shared" si="50"/>
        <v>2.8629684380121104E-2</v>
      </c>
      <c r="AA205" s="1079">
        <f t="shared" si="50"/>
        <v>1.219419312331862E-2</v>
      </c>
      <c r="AB205" s="1079">
        <f t="shared" si="50"/>
        <v>9.5061807532669223E-3</v>
      </c>
      <c r="AC205" s="1079">
        <f t="shared" si="50"/>
        <v>1.8314857391802605E-2</v>
      </c>
      <c r="AD205" s="1079">
        <f t="shared" si="50"/>
        <v>2.9685905087531855E-2</v>
      </c>
      <c r="AE205" s="1079">
        <f t="shared" si="50"/>
        <v>3.5145990780319838E-2</v>
      </c>
    </row>
    <row r="206" spans="4:31">
      <c r="D206" s="1206" t="str">
        <f>C106</f>
        <v>R-BLD_Det_A</v>
      </c>
      <c r="E206" s="1096">
        <f t="shared" ref="E206:AE206" si="51">H106*$BH$26</f>
        <v>37.364451209178156</v>
      </c>
      <c r="F206" s="1096">
        <f t="shared" si="51"/>
        <v>0.47186271023077675</v>
      </c>
      <c r="G206" s="1096">
        <f t="shared" si="51"/>
        <v>5.6840158084525259</v>
      </c>
      <c r="H206" s="1096">
        <f t="shared" si="51"/>
        <v>2.5019451434121076</v>
      </c>
      <c r="I206" s="1096">
        <f t="shared" si="51"/>
        <v>1.0753594871171821</v>
      </c>
      <c r="J206" s="1096">
        <f t="shared" si="51"/>
        <v>0.58013586730971045</v>
      </c>
      <c r="K206" s="1096">
        <f t="shared" si="51"/>
        <v>0.1927775924290504</v>
      </c>
      <c r="L206" s="1096">
        <f t="shared" si="51"/>
        <v>1.2535593006061714</v>
      </c>
      <c r="M206" s="1096">
        <f t="shared" si="51"/>
        <v>3.0851721089169395</v>
      </c>
      <c r="N206" s="1096">
        <f t="shared" si="51"/>
        <v>0.52551358690336702</v>
      </c>
      <c r="O206" s="1096">
        <f t="shared" si="51"/>
        <v>0.5779383118570991</v>
      </c>
      <c r="P206" s="1096">
        <f t="shared" si="51"/>
        <v>1.5383444077400852</v>
      </c>
      <c r="Q206" s="1096">
        <f t="shared" si="51"/>
        <v>1.6026222316292691</v>
      </c>
      <c r="R206" s="1096">
        <f t="shared" si="51"/>
        <v>0.81116295791941484</v>
      </c>
      <c r="S206" s="1096">
        <f t="shared" si="51"/>
        <v>5.3643308783452941</v>
      </c>
      <c r="T206" s="1096">
        <f t="shared" si="51"/>
        <v>1.355416331673154</v>
      </c>
      <c r="U206" s="1096">
        <f t="shared" si="51"/>
        <v>1.1729935073658804</v>
      </c>
      <c r="V206" s="1096">
        <f t="shared" si="51"/>
        <v>1.0044898081821196</v>
      </c>
      <c r="W206" s="1096">
        <f t="shared" si="51"/>
        <v>1.0195610081359703</v>
      </c>
      <c r="X206" s="1096">
        <f t="shared" si="51"/>
        <v>2.6172747273644483</v>
      </c>
      <c r="Y206" s="1096">
        <f t="shared" si="51"/>
        <v>3.2548855887212125E-2</v>
      </c>
      <c r="Z206" s="1096">
        <f t="shared" si="51"/>
        <v>1.3352338722249208</v>
      </c>
      <c r="AA206" s="1096">
        <f t="shared" si="51"/>
        <v>0.41411948867046905</v>
      </c>
      <c r="AB206" s="1096">
        <f t="shared" si="51"/>
        <v>0.57288829107204087</v>
      </c>
      <c r="AC206" s="1096">
        <f t="shared" si="51"/>
        <v>0.55280668901212782</v>
      </c>
      <c r="AD206" s="1096">
        <f t="shared" si="51"/>
        <v>1.4385044916382623</v>
      </c>
      <c r="AE206" s="1096">
        <f t="shared" si="51"/>
        <v>0.58387374508255463</v>
      </c>
    </row>
    <row r="207" spans="4:31">
      <c r="D207" s="1206" t="str">
        <f>C111</f>
        <v>R-BLD_Det_B1</v>
      </c>
      <c r="E207" s="1074">
        <f t="shared" ref="E207:AE207" si="52">H111*$BH$27</f>
        <v>8.1867925913057995</v>
      </c>
      <c r="F207" s="1074">
        <f t="shared" si="52"/>
        <v>0.12375780764357298</v>
      </c>
      <c r="G207" s="1074">
        <f t="shared" si="52"/>
        <v>0.8466673768432933</v>
      </c>
      <c r="H207" s="1074">
        <f t="shared" si="52"/>
        <v>0.3674832015911404</v>
      </c>
      <c r="I207" s="1074">
        <f t="shared" si="52"/>
        <v>0.21285039161267719</v>
      </c>
      <c r="J207" s="1074">
        <f t="shared" si="52"/>
        <v>0.12866823477069239</v>
      </c>
      <c r="K207" s="1074">
        <f t="shared" si="52"/>
        <v>0.10949576034253809</v>
      </c>
      <c r="L207" s="1074">
        <f t="shared" si="52"/>
        <v>0.28973384612615904</v>
      </c>
      <c r="M207" s="1074">
        <f t="shared" si="52"/>
        <v>0.35566139766064575</v>
      </c>
      <c r="N207" s="1074">
        <f t="shared" si="52"/>
        <v>0.14859516248169818</v>
      </c>
      <c r="O207" s="1074">
        <f t="shared" si="52"/>
        <v>0.13925904889812826</v>
      </c>
      <c r="P207" s="1074">
        <f t="shared" si="52"/>
        <v>0.28710307092951454</v>
      </c>
      <c r="Q207" s="1074">
        <f t="shared" si="52"/>
        <v>0.23319134962091179</v>
      </c>
      <c r="R207" s="1074">
        <f t="shared" si="52"/>
        <v>0.19272717299827924</v>
      </c>
      <c r="S207" s="1074">
        <f t="shared" si="52"/>
        <v>1.2448498339622822</v>
      </c>
      <c r="T207" s="1074">
        <f t="shared" si="52"/>
        <v>0.63390151287867169</v>
      </c>
      <c r="U207" s="1074">
        <f t="shared" si="52"/>
        <v>0.27055002609827489</v>
      </c>
      <c r="V207" s="1074">
        <f t="shared" si="52"/>
        <v>0.38142936725340382</v>
      </c>
      <c r="W207" s="1074">
        <f t="shared" si="52"/>
        <v>0.26643764216236093</v>
      </c>
      <c r="X207" s="1074">
        <f t="shared" si="52"/>
        <v>0.59940483730921779</v>
      </c>
      <c r="Y207" s="1074">
        <f t="shared" si="52"/>
        <v>7.5112744355104899E-2</v>
      </c>
      <c r="Z207" s="1074">
        <f t="shared" si="52"/>
        <v>0.2999443049200215</v>
      </c>
      <c r="AA207" s="1074">
        <f t="shared" si="52"/>
        <v>8.1804609103641762E-2</v>
      </c>
      <c r="AB207" s="1074">
        <f t="shared" si="52"/>
        <v>0.17978583084080257</v>
      </c>
      <c r="AC207" s="1074">
        <f t="shared" si="52"/>
        <v>0.15747913172361708</v>
      </c>
      <c r="AD207" s="1074">
        <f t="shared" si="52"/>
        <v>0.3534699153088367</v>
      </c>
      <c r="AE207" s="1074">
        <f t="shared" si="52"/>
        <v>0.20742901387031404</v>
      </c>
    </row>
    <row r="208" spans="4:31">
      <c r="D208" s="1206" t="str">
        <f>C116</f>
        <v>R-BLD_Det_B2</v>
      </c>
      <c r="E208" s="1074">
        <f t="shared" ref="E208:AE208" si="53">H116*$BH$28</f>
        <v>18.974694526816247</v>
      </c>
      <c r="F208" s="1074">
        <f t="shared" si="53"/>
        <v>0.23488726756841405</v>
      </c>
      <c r="G208" s="1074">
        <f t="shared" si="53"/>
        <v>1.8016294181665427</v>
      </c>
      <c r="H208" s="1074">
        <f t="shared" si="53"/>
        <v>0.94338971154740525</v>
      </c>
      <c r="I208" s="1074">
        <f t="shared" si="53"/>
        <v>0.43965818595405454</v>
      </c>
      <c r="J208" s="1074">
        <f t="shared" si="53"/>
        <v>0.38002013525297518</v>
      </c>
      <c r="K208" s="1074">
        <f t="shared" si="53"/>
        <v>0.22700340558818871</v>
      </c>
      <c r="L208" s="1074">
        <f t="shared" si="53"/>
        <v>0.66902179014585805</v>
      </c>
      <c r="M208" s="1074">
        <f t="shared" si="53"/>
        <v>0.91286425399565752</v>
      </c>
      <c r="N208" s="1074">
        <f t="shared" si="53"/>
        <v>0.29388821024158085</v>
      </c>
      <c r="O208" s="1074">
        <f t="shared" si="53"/>
        <v>0.34388459013619427</v>
      </c>
      <c r="P208" s="1074">
        <f t="shared" si="53"/>
        <v>0.80995744400440284</v>
      </c>
      <c r="Q208" s="1074">
        <f t="shared" si="53"/>
        <v>0.61310984057632978</v>
      </c>
      <c r="R208" s="1074">
        <f t="shared" si="53"/>
        <v>0.59547754734083713</v>
      </c>
      <c r="S208" s="1074">
        <f t="shared" si="53"/>
        <v>3.0535594395442418</v>
      </c>
      <c r="T208" s="1074">
        <f t="shared" si="53"/>
        <v>1.250124497509731</v>
      </c>
      <c r="U208" s="1074">
        <f t="shared" si="53"/>
        <v>0.62308490858996646</v>
      </c>
      <c r="V208" s="1074">
        <f t="shared" si="53"/>
        <v>0.72818333748377084</v>
      </c>
      <c r="W208" s="1074">
        <f t="shared" si="53"/>
        <v>0.51134496980655131</v>
      </c>
      <c r="X208" s="1074">
        <f t="shared" si="53"/>
        <v>1.4395962331956424</v>
      </c>
      <c r="Y208" s="1074">
        <f t="shared" si="53"/>
        <v>0.22283447492014455</v>
      </c>
      <c r="Z208" s="1074">
        <f t="shared" si="53"/>
        <v>0.6133996145661702</v>
      </c>
      <c r="AA208" s="1074">
        <f t="shared" si="53"/>
        <v>0.28339453868047326</v>
      </c>
      <c r="AB208" s="1074">
        <f t="shared" si="53"/>
        <v>0.30053750827119236</v>
      </c>
      <c r="AC208" s="1074">
        <f t="shared" si="53"/>
        <v>0.49415865471893639</v>
      </c>
      <c r="AD208" s="1074">
        <f t="shared" si="53"/>
        <v>0.82476313572061888</v>
      </c>
      <c r="AE208" s="1074">
        <f t="shared" si="53"/>
        <v>0.36492141329036731</v>
      </c>
    </row>
    <row r="209" spans="4:31">
      <c r="D209" s="1206" t="str">
        <f>C121</f>
        <v>R-BLD_Det_B3</v>
      </c>
      <c r="E209" s="1074">
        <f t="shared" ref="E209:AE209" si="54">H121*$BH$29</f>
        <v>53.208907017201781</v>
      </c>
      <c r="F209" s="1074">
        <f t="shared" si="54"/>
        <v>0.71691283060892164</v>
      </c>
      <c r="G209" s="1074">
        <f t="shared" si="54"/>
        <v>3.8052262757548605</v>
      </c>
      <c r="H209" s="1074">
        <f t="shared" si="54"/>
        <v>2.7659865794088119</v>
      </c>
      <c r="I209" s="1074">
        <f t="shared" si="54"/>
        <v>1.2457260340560161</v>
      </c>
      <c r="J209" s="1074">
        <f t="shared" si="54"/>
        <v>1.1704263663948293</v>
      </c>
      <c r="K209" s="1074">
        <f t="shared" si="54"/>
        <v>0.67469897107923071</v>
      </c>
      <c r="L209" s="1074">
        <f t="shared" si="54"/>
        <v>1.5698009712917711</v>
      </c>
      <c r="M209" s="1074">
        <f t="shared" si="54"/>
        <v>2.6597459050432763</v>
      </c>
      <c r="N209" s="1074">
        <f t="shared" si="54"/>
        <v>0.87288752165288619</v>
      </c>
      <c r="O209" s="1074">
        <f t="shared" si="54"/>
        <v>1.1005624429030736</v>
      </c>
      <c r="P209" s="1074">
        <f t="shared" si="54"/>
        <v>2.153876012580024</v>
      </c>
      <c r="Q209" s="1074">
        <f t="shared" si="54"/>
        <v>1.5896797820644302</v>
      </c>
      <c r="R209" s="1074">
        <f t="shared" si="54"/>
        <v>1.7063905716727741</v>
      </c>
      <c r="S209" s="1074">
        <f t="shared" si="54"/>
        <v>8.9090450675589956</v>
      </c>
      <c r="T209" s="1074">
        <f t="shared" si="54"/>
        <v>2.800950077450111</v>
      </c>
      <c r="U209" s="1074">
        <f t="shared" si="54"/>
        <v>2.0845675620339321</v>
      </c>
      <c r="V209" s="1074">
        <f t="shared" si="54"/>
        <v>2.0190015300746325</v>
      </c>
      <c r="W209" s="1074">
        <f t="shared" si="54"/>
        <v>1.4648441562371985</v>
      </c>
      <c r="X209" s="1074">
        <f t="shared" si="54"/>
        <v>4.3925841847673297</v>
      </c>
      <c r="Y209" s="1074">
        <f t="shared" si="54"/>
        <v>0.56904306245602942</v>
      </c>
      <c r="Z209" s="1074">
        <f t="shared" si="54"/>
        <v>1.8424327895354429</v>
      </c>
      <c r="AA209" s="1074">
        <f t="shared" si="54"/>
        <v>1.0829294784559891</v>
      </c>
      <c r="AB209" s="1074">
        <f t="shared" si="54"/>
        <v>0.98677660786737509</v>
      </c>
      <c r="AC209" s="1074">
        <f t="shared" si="54"/>
        <v>1.4937260631830036</v>
      </c>
      <c r="AD209" s="1074">
        <f t="shared" si="54"/>
        <v>2.4594715956175084</v>
      </c>
      <c r="AE209" s="1074">
        <f t="shared" si="54"/>
        <v>1.0716145774533303</v>
      </c>
    </row>
    <row r="210" spans="4:31">
      <c r="D210" s="1206" t="str">
        <f>C126</f>
        <v>R-BLD_Det_C</v>
      </c>
      <c r="E210" s="1074">
        <f t="shared" ref="E210:AE210" si="55">H126*$BH$30</f>
        <v>259.55874999268815</v>
      </c>
      <c r="F210" s="1074">
        <f t="shared" si="55"/>
        <v>3.7734268473960446</v>
      </c>
      <c r="G210" s="1074">
        <f t="shared" si="55"/>
        <v>17.565487352073237</v>
      </c>
      <c r="H210" s="1074">
        <f t="shared" si="55"/>
        <v>11.969121883583114</v>
      </c>
      <c r="I210" s="1074">
        <f t="shared" si="55"/>
        <v>7.1766958844784492</v>
      </c>
      <c r="J210" s="1074">
        <f t="shared" si="55"/>
        <v>6.1074237447098607</v>
      </c>
      <c r="K210" s="1074">
        <f t="shared" si="55"/>
        <v>3.2778737070684683</v>
      </c>
      <c r="L210" s="1074">
        <f t="shared" si="55"/>
        <v>7.1318904161067609</v>
      </c>
      <c r="M210" s="1074">
        <f t="shared" si="55"/>
        <v>13.034344486352056</v>
      </c>
      <c r="N210" s="1074">
        <f t="shared" si="55"/>
        <v>5.5291002529139908</v>
      </c>
      <c r="O210" s="1074">
        <f t="shared" si="55"/>
        <v>5.8285894478652498</v>
      </c>
      <c r="P210" s="1074">
        <f t="shared" si="55"/>
        <v>13.23535064277727</v>
      </c>
      <c r="Q210" s="1074">
        <f t="shared" si="55"/>
        <v>7.4515153242919698</v>
      </c>
      <c r="R210" s="1074">
        <f t="shared" si="55"/>
        <v>9.8005098071254189</v>
      </c>
      <c r="S210" s="1074">
        <f t="shared" si="55"/>
        <v>32.210282261374012</v>
      </c>
      <c r="T210" s="1074">
        <f t="shared" si="55"/>
        <v>12.587168601359632</v>
      </c>
      <c r="U210" s="1074">
        <f t="shared" si="55"/>
        <v>11.225374772195119</v>
      </c>
      <c r="V210" s="1074">
        <f t="shared" si="55"/>
        <v>11.479343485628105</v>
      </c>
      <c r="W210" s="1074">
        <f t="shared" si="55"/>
        <v>7.3478456934836762</v>
      </c>
      <c r="X210" s="1074">
        <f t="shared" si="55"/>
        <v>20.247690171556567</v>
      </c>
      <c r="Y210" s="1074">
        <f t="shared" si="55"/>
        <v>3.2276955894211268</v>
      </c>
      <c r="Z210" s="1074">
        <f t="shared" si="55"/>
        <v>11.658520775012411</v>
      </c>
      <c r="AA210" s="1074">
        <f t="shared" si="55"/>
        <v>6.2839223007875002</v>
      </c>
      <c r="AB210" s="1074">
        <f t="shared" si="55"/>
        <v>4.6009224061191381</v>
      </c>
      <c r="AC210" s="1074">
        <f t="shared" si="55"/>
        <v>6.9312320492959785</v>
      </c>
      <c r="AD210" s="1074">
        <f t="shared" si="55"/>
        <v>15.189077385345895</v>
      </c>
      <c r="AE210" s="1074">
        <f t="shared" si="55"/>
        <v>4.6883447043670783</v>
      </c>
    </row>
    <row r="211" spans="4:31">
      <c r="D211" s="1206" t="str">
        <f>C131</f>
        <v>R-BLD_Det_D</v>
      </c>
      <c r="E211" s="1074">
        <f t="shared" ref="E211:AE211" si="56">H131*$BH$31</f>
        <v>161.71971952170765</v>
      </c>
      <c r="F211" s="1074">
        <f t="shared" si="56"/>
        <v>2.529208726383803</v>
      </c>
      <c r="G211" s="1074">
        <f t="shared" si="56"/>
        <v>12.302003556384195</v>
      </c>
      <c r="H211" s="1074">
        <f t="shared" si="56"/>
        <v>6.1113466305724859</v>
      </c>
      <c r="I211" s="1074">
        <f t="shared" si="56"/>
        <v>4.9372195502663763</v>
      </c>
      <c r="J211" s="1074">
        <f t="shared" si="56"/>
        <v>3.5702711504869713</v>
      </c>
      <c r="K211" s="1074">
        <f t="shared" si="56"/>
        <v>2.0743184052035759</v>
      </c>
      <c r="L211" s="1074">
        <f t="shared" si="56"/>
        <v>3.7880927642445426</v>
      </c>
      <c r="M211" s="1074">
        <f t="shared" si="56"/>
        <v>6.9951755750597506</v>
      </c>
      <c r="N211" s="1074">
        <f t="shared" si="56"/>
        <v>3.7992354036165619</v>
      </c>
      <c r="O211" s="1074">
        <f t="shared" si="56"/>
        <v>3.7405408931725539</v>
      </c>
      <c r="P211" s="1074">
        <f t="shared" si="56"/>
        <v>8.1335752866653355</v>
      </c>
      <c r="Q211" s="1074">
        <f t="shared" si="56"/>
        <v>5.0953467413669742</v>
      </c>
      <c r="R211" s="1074">
        <f t="shared" si="56"/>
        <v>5.7813982126704557</v>
      </c>
      <c r="S211" s="1074">
        <f t="shared" si="56"/>
        <v>17.661962264870532</v>
      </c>
      <c r="T211" s="1074">
        <f t="shared" si="56"/>
        <v>8.3037726670819385</v>
      </c>
      <c r="U211" s="1074">
        <f t="shared" si="56"/>
        <v>8.2390874367805704</v>
      </c>
      <c r="V211" s="1074">
        <f t="shared" si="56"/>
        <v>8.2844685863978444</v>
      </c>
      <c r="W211" s="1074">
        <f t="shared" si="56"/>
        <v>4.6264337773357376</v>
      </c>
      <c r="X211" s="1074">
        <f t="shared" si="56"/>
        <v>11.992193782368586</v>
      </c>
      <c r="Y211" s="1074">
        <f t="shared" si="56"/>
        <v>1.8258914580681966</v>
      </c>
      <c r="Z211" s="1074">
        <f t="shared" si="56"/>
        <v>8.3090041665606407</v>
      </c>
      <c r="AA211" s="1074">
        <f t="shared" si="56"/>
        <v>3.8594171135631501</v>
      </c>
      <c r="AB211" s="1074">
        <f t="shared" si="56"/>
        <v>3.2640582737584056</v>
      </c>
      <c r="AC211" s="1074">
        <f t="shared" si="56"/>
        <v>3.6287889465221412</v>
      </c>
      <c r="AD211" s="1074">
        <f t="shared" si="56"/>
        <v>9.3997052239168362</v>
      </c>
      <c r="AE211" s="1074">
        <f t="shared" si="56"/>
        <v>3.4672029283894594</v>
      </c>
    </row>
    <row r="212" spans="4:31">
      <c r="D212" s="1206" t="str">
        <f>C136</f>
        <v>R-BLD_Det_E</v>
      </c>
      <c r="E212" s="1074">
        <f t="shared" ref="E212:AE212" si="57">H136*$BH$32</f>
        <v>61.037849854330162</v>
      </c>
      <c r="F212" s="1074">
        <f t="shared" si="57"/>
        <v>0.89402528444797336</v>
      </c>
      <c r="G212" s="1074">
        <f t="shared" si="57"/>
        <v>5.3276887743440469</v>
      </c>
      <c r="H212" s="1074">
        <f t="shared" si="57"/>
        <v>1.948203829878657</v>
      </c>
      <c r="I212" s="1074">
        <f t="shared" si="57"/>
        <v>1.8299496317555595</v>
      </c>
      <c r="J212" s="1074">
        <f t="shared" si="57"/>
        <v>1.2495579241224524</v>
      </c>
      <c r="K212" s="1074">
        <f t="shared" si="57"/>
        <v>0.8734566674721711</v>
      </c>
      <c r="L212" s="1074">
        <f t="shared" si="57"/>
        <v>1.4049725509578574</v>
      </c>
      <c r="M212" s="1074">
        <f t="shared" si="57"/>
        <v>2.3182359517518867</v>
      </c>
      <c r="N212" s="1074">
        <f t="shared" si="57"/>
        <v>1.4220328357864864</v>
      </c>
      <c r="O212" s="1074">
        <f t="shared" si="57"/>
        <v>1.4487415196429099</v>
      </c>
      <c r="P212" s="1074">
        <f t="shared" si="57"/>
        <v>2.7014607787877272</v>
      </c>
      <c r="Q212" s="1074">
        <f t="shared" si="57"/>
        <v>1.9126213940843251</v>
      </c>
      <c r="R212" s="1074">
        <f t="shared" si="57"/>
        <v>2.3659196430188798</v>
      </c>
      <c r="S212" s="1074">
        <f t="shared" si="57"/>
        <v>6.3629326156944552</v>
      </c>
      <c r="T212" s="1074">
        <f t="shared" si="57"/>
        <v>3.2236356755723348</v>
      </c>
      <c r="U212" s="1074">
        <f t="shared" si="57"/>
        <v>2.8195932084829187</v>
      </c>
      <c r="V212" s="1074">
        <f t="shared" si="57"/>
        <v>3.4286081086133131</v>
      </c>
      <c r="W212" s="1074">
        <f t="shared" si="57"/>
        <v>1.2906879573757521</v>
      </c>
      <c r="X212" s="1074">
        <f t="shared" si="57"/>
        <v>4.5524497530767594</v>
      </c>
      <c r="Y212" s="1074">
        <f t="shared" si="57"/>
        <v>0.88831127982061597</v>
      </c>
      <c r="Z212" s="1074">
        <f t="shared" si="57"/>
        <v>3.3015129086290593</v>
      </c>
      <c r="AA212" s="1074">
        <f t="shared" si="57"/>
        <v>1.646574307306071</v>
      </c>
      <c r="AB212" s="1074">
        <f t="shared" si="57"/>
        <v>1.3569251530238273</v>
      </c>
      <c r="AC212" s="1074">
        <f t="shared" si="57"/>
        <v>1.4792958035610548</v>
      </c>
      <c r="AD212" s="1074">
        <f t="shared" si="57"/>
        <v>3.6589346919580112</v>
      </c>
      <c r="AE212" s="1074">
        <f t="shared" si="57"/>
        <v>1.3315216051650403</v>
      </c>
    </row>
    <row r="213" spans="4:31">
      <c r="D213" s="1206" t="str">
        <f>C141</f>
        <v>R-BLD_Det_F</v>
      </c>
      <c r="E213" s="1074">
        <f t="shared" ref="E213:AE213" si="58">H141*$BH$33</f>
        <v>15.176054289816562</v>
      </c>
      <c r="F213" s="1074">
        <f t="shared" si="58"/>
        <v>0.2389916767154466</v>
      </c>
      <c r="G213" s="1074">
        <f t="shared" si="58"/>
        <v>1.2924187095217703</v>
      </c>
      <c r="H213" s="1074">
        <f t="shared" si="58"/>
        <v>0.4042868783342401</v>
      </c>
      <c r="I213" s="1074">
        <f t="shared" si="58"/>
        <v>0.43362705690430448</v>
      </c>
      <c r="J213" s="1074">
        <f t="shared" si="58"/>
        <v>0.3742863006135051</v>
      </c>
      <c r="K213" s="1074">
        <f t="shared" si="58"/>
        <v>0.30476851209078443</v>
      </c>
      <c r="L213" s="1074">
        <f t="shared" si="58"/>
        <v>0.31341840394548376</v>
      </c>
      <c r="M213" s="1074">
        <f t="shared" si="58"/>
        <v>0.56933378139158408</v>
      </c>
      <c r="N213" s="1074">
        <f t="shared" si="58"/>
        <v>0.42376937505589629</v>
      </c>
      <c r="O213" s="1074">
        <f t="shared" si="58"/>
        <v>0.40858360375438868</v>
      </c>
      <c r="P213" s="1074">
        <f t="shared" si="58"/>
        <v>0.58962167339926475</v>
      </c>
      <c r="Q213" s="1074">
        <f t="shared" si="58"/>
        <v>0.50756437977933444</v>
      </c>
      <c r="R213" s="1074">
        <f t="shared" si="58"/>
        <v>0.5288217286289324</v>
      </c>
      <c r="S213" s="1074">
        <f t="shared" si="58"/>
        <v>1.479048791112153</v>
      </c>
      <c r="T213" s="1074">
        <f t="shared" si="58"/>
        <v>0.70154332439219569</v>
      </c>
      <c r="U213" s="1074">
        <f t="shared" si="58"/>
        <v>0.74137711490825142</v>
      </c>
      <c r="V213" s="1074">
        <f t="shared" si="58"/>
        <v>0.94134364354381195</v>
      </c>
      <c r="W213" s="1074">
        <f t="shared" si="58"/>
        <v>0.34756643953004818</v>
      </c>
      <c r="X213" s="1074">
        <f t="shared" si="58"/>
        <v>1.066297962491096</v>
      </c>
      <c r="Y213" s="1074">
        <f t="shared" si="58"/>
        <v>0.24098557602956014</v>
      </c>
      <c r="Z213" s="1074">
        <f t="shared" si="58"/>
        <v>0.84171164068681414</v>
      </c>
      <c r="AA213" s="1074">
        <f t="shared" si="58"/>
        <v>0.47341603743049515</v>
      </c>
      <c r="AB213" s="1074">
        <f t="shared" si="58"/>
        <v>0.41410891793896593</v>
      </c>
      <c r="AC213" s="1074">
        <f t="shared" si="58"/>
        <v>0.37490761605838052</v>
      </c>
      <c r="AD213" s="1074">
        <f t="shared" si="58"/>
        <v>0.87565416709775956</v>
      </c>
      <c r="AE213" s="1074">
        <f t="shared" si="58"/>
        <v>0.28860097846209992</v>
      </c>
    </row>
    <row r="214" spans="4:31" ht="13.5" thickBot="1">
      <c r="D214" s="1070" t="str">
        <f>C146</f>
        <v>R-BLD_Det_G</v>
      </c>
      <c r="E214" s="1079">
        <f t="shared" ref="E214:AE214" si="59">H146*$BH$34</f>
        <v>14.395781331970738</v>
      </c>
      <c r="F214" s="1079">
        <f t="shared" si="59"/>
        <v>0.23958828634560592</v>
      </c>
      <c r="G214" s="1079">
        <f t="shared" si="59"/>
        <v>0.77772242021846549</v>
      </c>
      <c r="H214" s="1079">
        <f t="shared" si="59"/>
        <v>0.37953208357328183</v>
      </c>
      <c r="I214" s="1079">
        <f t="shared" si="59"/>
        <v>0.46703350407104854</v>
      </c>
      <c r="J214" s="1079">
        <f t="shared" si="59"/>
        <v>0.35449095387604795</v>
      </c>
      <c r="K214" s="1079">
        <f t="shared" si="59"/>
        <v>0.25796646306915055</v>
      </c>
      <c r="L214" s="1079">
        <f t="shared" si="59"/>
        <v>0.29549575726826682</v>
      </c>
      <c r="M214" s="1079">
        <f t="shared" si="59"/>
        <v>0.53727407639753988</v>
      </c>
      <c r="N214" s="1079">
        <f t="shared" si="59"/>
        <v>0.37975335725895126</v>
      </c>
      <c r="O214" s="1079">
        <f t="shared" si="59"/>
        <v>0.44255900150573274</v>
      </c>
      <c r="P214" s="1079">
        <f t="shared" si="59"/>
        <v>0.51361935112513935</v>
      </c>
      <c r="Q214" s="1079">
        <f t="shared" si="59"/>
        <v>0.43183916710099479</v>
      </c>
      <c r="R214" s="1079">
        <f t="shared" si="59"/>
        <v>0.58543760280716173</v>
      </c>
      <c r="S214" s="1079">
        <f t="shared" si="59"/>
        <v>1.5969965021211692</v>
      </c>
      <c r="T214" s="1079">
        <f t="shared" si="59"/>
        <v>0.68699353430264909</v>
      </c>
      <c r="U214" s="1079">
        <f t="shared" si="59"/>
        <v>0.71616435154734781</v>
      </c>
      <c r="V214" s="1079">
        <f t="shared" si="59"/>
        <v>0.86537600077788868</v>
      </c>
      <c r="W214" s="1079">
        <f t="shared" si="59"/>
        <v>0.24539031971118641</v>
      </c>
      <c r="X214" s="1079">
        <f t="shared" si="59"/>
        <v>1.0762695652605316</v>
      </c>
      <c r="Y214" s="1079">
        <f t="shared" si="59"/>
        <v>0.28739763383425621</v>
      </c>
      <c r="Z214" s="1079">
        <f t="shared" si="59"/>
        <v>0.8597147557717455</v>
      </c>
      <c r="AA214" s="1079">
        <f t="shared" si="59"/>
        <v>0.56568179808040597</v>
      </c>
      <c r="AB214" s="1079">
        <f t="shared" si="59"/>
        <v>0.36438722529084533</v>
      </c>
      <c r="AC214" s="1079">
        <f t="shared" si="59"/>
        <v>0.39634178234487311</v>
      </c>
      <c r="AD214" s="1079">
        <f t="shared" si="59"/>
        <v>0.81402328440037397</v>
      </c>
      <c r="AE214" s="1079">
        <f t="shared" si="59"/>
        <v>0.25873255391007843</v>
      </c>
    </row>
    <row r="215" spans="4:31">
      <c r="D215" s="1206"/>
      <c r="E215" s="1206"/>
      <c r="F215" s="1206"/>
      <c r="G215" s="1206"/>
      <c r="H215" s="1206"/>
      <c r="I215" s="1206"/>
      <c r="J215" s="1206"/>
      <c r="K215" s="1206"/>
      <c r="L215" s="1206"/>
      <c r="M215" s="1206"/>
      <c r="N215" s="1206"/>
      <c r="O215" s="1206"/>
      <c r="P215" s="1206"/>
      <c r="Q215" s="1206"/>
      <c r="R215" s="1206"/>
      <c r="S215" s="1206"/>
      <c r="T215" s="1206"/>
      <c r="U215" s="1206"/>
      <c r="V215" s="1206"/>
      <c r="W215" s="1206"/>
      <c r="X215" s="1206"/>
      <c r="Y215" s="1206"/>
      <c r="Z215" s="1206"/>
      <c r="AA215" s="1206"/>
      <c r="AB215" s="1206"/>
      <c r="AC215" s="1206"/>
      <c r="AD215" s="1206"/>
      <c r="AE215" s="1206"/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55" zoomScaleNormal="55" workbookViewId="0">
      <selection activeCell="R28" sqref="R28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818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819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1087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1087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1087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1087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1087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1087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1087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1087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1087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5"/>
      <c r="I15" s="1115"/>
      <c r="J15" s="1115"/>
      <c r="K15" s="1115"/>
      <c r="L15" s="1115"/>
      <c r="M15" s="1115"/>
      <c r="N15" s="1115"/>
      <c r="O15" s="1115"/>
      <c r="P15" s="1115"/>
      <c r="Q15" s="1115"/>
      <c r="R15" s="1115"/>
      <c r="S15" s="1115"/>
      <c r="T15" s="1115"/>
      <c r="U15" s="1115"/>
      <c r="V15" s="1115"/>
      <c r="W15" s="1115"/>
      <c r="X15" s="1115"/>
      <c r="Y15" s="1115"/>
      <c r="Z15" s="1115"/>
      <c r="AA15" s="1115"/>
      <c r="AB15" s="1115"/>
      <c r="AC15" s="1115"/>
      <c r="AD15" s="1115"/>
      <c r="AE15" s="1115"/>
      <c r="AF15" s="1115"/>
      <c r="AG15" s="1115"/>
      <c r="AH15" s="1115"/>
      <c r="AI15" s="1115"/>
    </row>
    <row r="16" spans="1:49">
      <c r="H16" s="1115"/>
      <c r="I16" s="1115"/>
      <c r="J16" s="1115"/>
      <c r="K16" s="1115"/>
      <c r="L16" s="1115"/>
      <c r="M16" s="1115"/>
      <c r="N16" s="1115"/>
      <c r="O16" s="1115"/>
      <c r="P16" s="1115"/>
      <c r="Q16" s="1115"/>
      <c r="R16" s="1115"/>
      <c r="S16" s="1115"/>
      <c r="T16" s="1115"/>
      <c r="U16" s="1115"/>
      <c r="V16" s="1115"/>
      <c r="W16" s="1115"/>
      <c r="X16" s="1115"/>
      <c r="Y16" s="1115"/>
      <c r="Z16" s="1115"/>
      <c r="AA16" s="1115"/>
      <c r="AB16" s="1115"/>
      <c r="AC16" s="1115"/>
      <c r="AD16" s="1115"/>
      <c r="AE16" s="1115"/>
      <c r="AF16" s="1115"/>
      <c r="AG16" s="1115"/>
      <c r="AH16" s="1115"/>
      <c r="AI16" s="1115"/>
    </row>
    <row r="17" spans="2:20" ht="19.5" thickBot="1">
      <c r="B17" s="1286" t="s">
        <v>609</v>
      </c>
      <c r="C17" s="1286"/>
      <c r="D17" s="1286"/>
      <c r="E17" s="1286"/>
      <c r="F17" s="1286"/>
      <c r="G17" s="1286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89">
        <v>2018</v>
      </c>
      <c r="R18" s="1290"/>
      <c r="S18" s="1291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87" t="s">
        <v>813</v>
      </c>
      <c r="J19" s="1288"/>
      <c r="L19" s="268"/>
      <c r="M19"/>
      <c r="P19" s="1130" t="s">
        <v>756</v>
      </c>
      <c r="Q19" s="1130" t="s">
        <v>943</v>
      </c>
      <c r="R19" s="1130" t="s">
        <v>938</v>
      </c>
      <c r="S19" s="1130" t="s">
        <v>948</v>
      </c>
      <c r="T19" s="1188" t="s">
        <v>1087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70" t="s">
        <v>850</v>
      </c>
      <c r="J20" s="974">
        <v>0.75888</v>
      </c>
      <c r="L20" s="268"/>
      <c r="M20"/>
      <c r="P20" s="1182" t="s">
        <v>657</v>
      </c>
      <c r="Q20" s="1182">
        <v>1272.084432974631</v>
      </c>
      <c r="R20" s="1183">
        <v>9017.3696255538798</v>
      </c>
      <c r="S20" s="1184">
        <v>10817.00516141598</v>
      </c>
      <c r="T20" s="1184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1" t="s">
        <v>837</v>
      </c>
      <c r="J21" s="973">
        <v>0.22769700000000001</v>
      </c>
      <c r="L21" s="268"/>
      <c r="M21"/>
      <c r="P21" s="1134" t="s">
        <v>658</v>
      </c>
      <c r="Q21" s="1134">
        <v>1271.052567009926</v>
      </c>
      <c r="R21" s="1125">
        <v>7706.8792520168045</v>
      </c>
      <c r="S21" s="1138">
        <v>18119.875348525962</v>
      </c>
      <c r="T21" s="1138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2" t="s">
        <v>765</v>
      </c>
      <c r="J22" s="975">
        <v>1.3422788999999999E-2</v>
      </c>
      <c r="L22" s="268"/>
      <c r="M22"/>
      <c r="P22" s="1133" t="s">
        <v>659</v>
      </c>
      <c r="Q22" s="1133">
        <v>2491.2235846235253</v>
      </c>
      <c r="R22" s="1124">
        <v>15118.989670799881</v>
      </c>
      <c r="S22" s="1137">
        <v>26221.499459384846</v>
      </c>
      <c r="T22" s="1137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4" t="s">
        <v>660</v>
      </c>
      <c r="Q23" s="1134">
        <v>18164.569738528382</v>
      </c>
      <c r="R23" s="1125">
        <v>91446.903647123108</v>
      </c>
      <c r="S23" s="1138">
        <v>88706.618668082694</v>
      </c>
      <c r="T23" s="1138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3" t="s">
        <v>661</v>
      </c>
      <c r="Q24" s="1133">
        <v>2392.9923596273825</v>
      </c>
      <c r="R24" s="1124">
        <v>15881.582138278784</v>
      </c>
      <c r="S24" s="1137">
        <v>40738.467908725754</v>
      </c>
      <c r="T24" s="1137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4" t="s">
        <v>662</v>
      </c>
      <c r="Q25" s="1134">
        <v>123314.67820831671</v>
      </c>
      <c r="R25" s="1125">
        <v>299739.87494657928</v>
      </c>
      <c r="S25" s="1138">
        <v>56159.174425610254</v>
      </c>
      <c r="T25" s="1138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3" t="s">
        <v>663</v>
      </c>
      <c r="Q26" s="1133">
        <v>9881.5892011882625</v>
      </c>
      <c r="R26" s="1124">
        <v>27589.465054026703</v>
      </c>
      <c r="S26" s="1137">
        <v>55372.585087977008</v>
      </c>
      <c r="T26" s="1137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4" t="s">
        <v>664</v>
      </c>
      <c r="Q27" s="1134">
        <v>2906.0721193547802</v>
      </c>
      <c r="R27" s="1125">
        <v>15686.699374231552</v>
      </c>
      <c r="S27" s="1138">
        <v>36376.580790193235</v>
      </c>
      <c r="T27" s="1138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3" t="s">
        <v>665</v>
      </c>
      <c r="Q28" s="1133">
        <v>7363.7968231969135</v>
      </c>
      <c r="R28" s="1124">
        <v>38144.204386107944</v>
      </c>
      <c r="S28" s="1137">
        <v>30304.517514538838</v>
      </c>
      <c r="T28" s="1137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4" t="s">
        <v>666</v>
      </c>
      <c r="Q29" s="1134">
        <v>1751.3817529766175</v>
      </c>
      <c r="R29" s="1125">
        <v>12508.441600918088</v>
      </c>
      <c r="S29" s="1138">
        <v>20891.382011189213</v>
      </c>
      <c r="T29" s="1138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3" t="s">
        <v>667</v>
      </c>
      <c r="Q30" s="1133">
        <v>1434.9997251520253</v>
      </c>
      <c r="R30" s="1124">
        <v>11510.58391452228</v>
      </c>
      <c r="S30" s="1137">
        <v>16295.614216511489</v>
      </c>
      <c r="T30" s="1137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4" t="s">
        <v>668</v>
      </c>
      <c r="Q31" s="1134">
        <v>543.02409251525864</v>
      </c>
      <c r="R31" s="1125">
        <v>2737.7793125602311</v>
      </c>
      <c r="S31" s="1138">
        <v>9101.1608576935432</v>
      </c>
      <c r="T31" s="1138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3" t="s">
        <v>669</v>
      </c>
      <c r="Q32" s="1133">
        <v>7461.1258002920376</v>
      </c>
      <c r="R32" s="1124">
        <v>31695.949118274744</v>
      </c>
      <c r="S32" s="1137">
        <v>32750.827361563519</v>
      </c>
      <c r="T32" s="1137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4" t="s">
        <v>670</v>
      </c>
      <c r="Q33" s="1134">
        <v>691.43208570294928</v>
      </c>
      <c r="R33" s="1125">
        <v>4746.2770797513549</v>
      </c>
      <c r="S33" s="1138">
        <v>9718.9087422298653</v>
      </c>
      <c r="T33" s="1138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3" t="s">
        <v>671</v>
      </c>
      <c r="Q34" s="1133">
        <v>3038.8153054039785</v>
      </c>
      <c r="R34" s="1124">
        <v>24289.540001760251</v>
      </c>
      <c r="S34" s="1137">
        <v>18866.743201020949</v>
      </c>
      <c r="T34" s="1137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4" t="s">
        <v>672</v>
      </c>
      <c r="Q35" s="1134">
        <v>2141.3166117916521</v>
      </c>
      <c r="R35" s="1125">
        <v>12519.701036831018</v>
      </c>
      <c r="S35" s="1138">
        <v>34699.30894292317</v>
      </c>
      <c r="T35" s="1138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3" t="s">
        <v>673</v>
      </c>
      <c r="Q36" s="1133">
        <v>5411.4225176697691</v>
      </c>
      <c r="R36" s="1124">
        <v>27103.374443441171</v>
      </c>
      <c r="S36" s="1137">
        <v>34324.09820344366</v>
      </c>
      <c r="T36" s="1137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4" t="s">
        <v>674</v>
      </c>
      <c r="Q37" s="1134">
        <v>1027.5356632394301</v>
      </c>
      <c r="R37" s="1125">
        <v>6619.1242565355706</v>
      </c>
      <c r="S37" s="1138">
        <v>14155.109041449583</v>
      </c>
      <c r="T37" s="1138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3" t="s">
        <v>675</v>
      </c>
      <c r="Q38" s="1133">
        <v>1175.2936766265591</v>
      </c>
      <c r="R38" s="1124">
        <v>10239.258420802398</v>
      </c>
      <c r="S38" s="1137">
        <v>15966.202026112715</v>
      </c>
      <c r="T38" s="1137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4" t="s">
        <v>676</v>
      </c>
      <c r="Q39" s="1134">
        <v>676.45175529921289</v>
      </c>
      <c r="R39" s="1125">
        <v>5372.2948402948405</v>
      </c>
      <c r="S39" s="1138">
        <v>18080.993461874819</v>
      </c>
      <c r="T39" s="1138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3" t="s">
        <v>677</v>
      </c>
      <c r="Q40" s="1133">
        <v>1676.0939551367242</v>
      </c>
      <c r="R40" s="1124">
        <v>8889.5641738149861</v>
      </c>
      <c r="S40" s="1137">
        <v>14494.215013491199</v>
      </c>
      <c r="T40" s="1137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4" t="s">
        <v>678</v>
      </c>
      <c r="Q41" s="1134">
        <v>2382.2341251096568</v>
      </c>
      <c r="R41" s="1125">
        <v>21954.232438086234</v>
      </c>
      <c r="S41" s="1138">
        <v>34965.040184897764</v>
      </c>
      <c r="T41" s="1138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3" t="s">
        <v>679</v>
      </c>
      <c r="Q42" s="1133">
        <v>3199.1719442467102</v>
      </c>
      <c r="R42" s="1124">
        <v>21769.226916806354</v>
      </c>
      <c r="S42" s="1137">
        <v>19142.703253806059</v>
      </c>
      <c r="T42" s="1137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4" t="s">
        <v>680</v>
      </c>
      <c r="Q43" s="1134">
        <v>2888.9605821519499</v>
      </c>
      <c r="R43" s="1125">
        <v>12264.197780781444</v>
      </c>
      <c r="S43" s="1138">
        <v>16822.932669034672</v>
      </c>
      <c r="T43" s="1138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3" t="s">
        <v>681</v>
      </c>
      <c r="Q44" s="1133">
        <v>2668.9797196485479</v>
      </c>
      <c r="R44" s="1124">
        <v>18385.501077566361</v>
      </c>
      <c r="S44" s="1137">
        <v>33878.287885206948</v>
      </c>
      <c r="T44" s="1137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5" t="s">
        <v>682</v>
      </c>
      <c r="Q45" s="1185">
        <v>4513.1911767694201</v>
      </c>
      <c r="R45" s="1186">
        <v>23167.339151815657</v>
      </c>
      <c r="S45" s="1187">
        <v>22529.580764463226</v>
      </c>
      <c r="T45" s="1187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abSelected="1" topLeftCell="N1" zoomScale="70" zoomScaleNormal="70" workbookViewId="0">
      <selection activeCell="AE25" sqref="AE25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0" width="23.28515625" style="68" customWidth="1"/>
    <col min="31" max="32" width="19.42578125" style="68" customWidth="1"/>
    <col min="33" max="33" width="7.85546875" style="68" customWidth="1"/>
    <col min="34" max="34" width="23.28515625" style="68" customWidth="1"/>
    <col min="35" max="35" width="22.5703125" style="68" bestFit="1" customWidth="1"/>
    <col min="36" max="36" width="87" style="68" bestFit="1" customWidth="1"/>
    <col min="37" max="37" width="4.5703125" style="68" bestFit="1" customWidth="1"/>
    <col min="38" max="38" width="8.42578125" style="68" bestFit="1" customWidth="1"/>
    <col min="39" max="39" width="9.140625" style="68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849"/>
      <c r="W2" s="297"/>
      <c r="X2" s="297"/>
      <c r="Y2" s="297"/>
      <c r="Z2" s="297"/>
      <c r="AA2" s="297"/>
      <c r="AB2" s="297"/>
      <c r="AC2" s="297"/>
      <c r="AD2" s="850"/>
      <c r="AE2" s="844"/>
      <c r="AF2" s="297"/>
      <c r="AG2" s="849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4" t="s">
        <v>1103</v>
      </c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5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 t="s">
        <v>387</v>
      </c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W7*$AQ$4</f>
        <v>0.20330984897910659</v>
      </c>
      <c r="W7" s="853">
        <f>AC7/S7/Y7</f>
        <v>0.40661969795821318</v>
      </c>
      <c r="X7" s="431">
        <v>20</v>
      </c>
      <c r="Y7" s="429">
        <f>31.536*(AE7/1000)</f>
        <v>0.47304000000000002</v>
      </c>
      <c r="Z7" s="431"/>
      <c r="AA7" s="431"/>
      <c r="AB7" s="431"/>
      <c r="AC7" s="432">
        <f t="shared" ref="AC7:AC11" si="0">AD7*U7</f>
        <v>8.7923329399522646E-2</v>
      </c>
      <c r="AD7" s="432">
        <f>IF(((D7+I7+D14+I14+D16+I16)*$B$2)&lt;=0,0,((D7+I7+D14+I14+D16+I16)*T7*$B$2))</f>
        <v>0.14897511353391862</v>
      </c>
      <c r="AE7" s="431">
        <v>15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1">M7</f>
        <v>R-SH_Apt_COA_X0</v>
      </c>
      <c r="AJ7" s="329" t="str">
        <f t="shared" si="1"/>
        <v>Residential Space Heating Apartment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 t="shared" ref="V8:V20" si="2">W8*$AQ$4</f>
        <v>4.8320000061456503E-3</v>
      </c>
      <c r="W8" s="855">
        <f>AC8/S8/Y8</f>
        <v>9.6640000122913006E-3</v>
      </c>
      <c r="X8" s="437">
        <v>20</v>
      </c>
      <c r="Y8" s="851">
        <f t="shared" ref="Y8:Y13" si="3">31.536*(AE8/1000)</f>
        <v>0.47304000000000002</v>
      </c>
      <c r="Z8" s="437"/>
      <c r="AA8" s="437"/>
      <c r="AB8" s="437"/>
      <c r="AC8" s="438">
        <f t="shared" si="0"/>
        <v>2.1542737984246417E-5</v>
      </c>
      <c r="AD8" s="439">
        <f>IF(((D8+I8)*$B$2)&lt;=0,0,((D8+I8)*T8*$B$2))</f>
        <v>2.3936375538051573E-5</v>
      </c>
      <c r="AE8" s="846">
        <v>15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1"/>
        <v>R-SH_Apt_BDL_X0</v>
      </c>
      <c r="AJ8" s="42" t="str">
        <f t="shared" si="1"/>
        <v>Residential Space Heating Apartment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si="2"/>
        <v>1.0398852237042289E-5</v>
      </c>
      <c r="W9" s="853">
        <f t="shared" ref="W9:W11" si="4">AC9/S9/Y9</f>
        <v>2.0797704474084578E-5</v>
      </c>
      <c r="X9" s="431">
        <v>20</v>
      </c>
      <c r="Y9" s="429">
        <f t="shared" si="3"/>
        <v>0.47304000000000002</v>
      </c>
      <c r="Z9" s="431"/>
      <c r="AA9" s="431"/>
      <c r="AB9" s="431"/>
      <c r="AC9" s="432">
        <f t="shared" si="0"/>
        <v>1.5453900993003169E-8</v>
      </c>
      <c r="AD9" s="432">
        <f>IF(((D9+I9)*$B$2)&lt;=0,0,((D9+I9)*T9*$B$2))</f>
        <v>1.7171001103336854E-8</v>
      </c>
      <c r="AE9" s="431">
        <v>15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1"/>
        <v>R-SH_Apt_ETH_X0</v>
      </c>
      <c r="AJ9" s="329" t="str">
        <f t="shared" si="1"/>
        <v>Residential Space Heating Apartment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2"/>
        <v>2.3782704568111258E-2</v>
      </c>
      <c r="W10" s="855">
        <f t="shared" si="4"/>
        <v>4.7565409136222515E-2</v>
      </c>
      <c r="X10" s="437">
        <v>20</v>
      </c>
      <c r="Y10" s="851">
        <f t="shared" si="3"/>
        <v>0.47304000000000002</v>
      </c>
      <c r="Z10" s="437"/>
      <c r="AA10" s="437"/>
      <c r="AB10" s="437"/>
      <c r="AC10" s="438">
        <f t="shared" si="0"/>
        <v>6.7365394248396743E-2</v>
      </c>
      <c r="AD10" s="439">
        <f>IF(((D10+I10+D11+I11)*T10*$B$2)&lt;=0,0,((D10+I10+D11+I11)*T10*$B$2))</f>
        <v>8.3499188822812001E-2</v>
      </c>
      <c r="AE10" s="846">
        <v>15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1"/>
        <v>R-SH_Apt_LPG_X0</v>
      </c>
      <c r="AJ10" s="42" t="str">
        <f t="shared" si="1"/>
        <v>Residential Space Heating Apartment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2"/>
        <v>6.9630255722889518E-3</v>
      </c>
      <c r="W11" s="853">
        <f t="shared" si="4"/>
        <v>1.3926051144577904E-2</v>
      </c>
      <c r="X11" s="431">
        <v>20</v>
      </c>
      <c r="Y11" s="429">
        <f t="shared" si="3"/>
        <v>0.47304000000000002</v>
      </c>
      <c r="Z11" s="431"/>
      <c r="AA11" s="431"/>
      <c r="AB11" s="431"/>
      <c r="AC11" s="432">
        <f t="shared" si="0"/>
        <v>0.45280886567605227</v>
      </c>
      <c r="AD11" s="432">
        <f>IF(((D25+I25)*T11*$B$2)&lt;=0,0,((D25+I25)*T11*$B$2))</f>
        <v>0.45280886567605227</v>
      </c>
      <c r="AE11" s="431">
        <v>15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1"/>
        <v>R-SH_Apt_ELC_X0</v>
      </c>
      <c r="AJ11" s="329" t="str">
        <f t="shared" si="1"/>
        <v>Residential Space Heating Apartment Electricity to Residential Existing 00</v>
      </c>
      <c r="AK11" s="329" t="s">
        <v>13</v>
      </c>
      <c r="AL11" s="329" t="s">
        <v>273</v>
      </c>
      <c r="AM11" s="1213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2"/>
        <v>3.0220533561330191E-2</v>
      </c>
      <c r="W12" s="855">
        <f>AC12/S12/Y12</f>
        <v>6.0441067122660383E-2</v>
      </c>
      <c r="X12" s="437">
        <v>20</v>
      </c>
      <c r="Y12" s="851">
        <f t="shared" si="3"/>
        <v>0.47304000000000002</v>
      </c>
      <c r="Z12" s="437"/>
      <c r="AA12" s="437"/>
      <c r="AB12" s="437"/>
      <c r="AC12" s="438">
        <f>AD12*U12</f>
        <v>0.92482620006217775</v>
      </c>
      <c r="AD12" s="439">
        <f>IF(((D12+I12)*T12*$B$2)&lt;=0,0,((D12+I12)*T12*$B$2))</f>
        <v>0.30122708010710864</v>
      </c>
      <c r="AE12" s="846">
        <v>15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1"/>
        <v>R-SH_Apt_ELC_X1</v>
      </c>
      <c r="AJ12" s="42" t="str">
        <f t="shared" si="1"/>
        <v>Residential Space Heating Apartment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853"/>
      <c r="X13" s="431"/>
      <c r="Y13" s="429">
        <f t="shared" si="3"/>
        <v>0.47304000000000002</v>
      </c>
      <c r="Z13" s="431"/>
      <c r="AA13" s="431"/>
      <c r="AB13" s="432">
        <f>AD13/AC12</f>
        <v>0.18290822478798432</v>
      </c>
      <c r="AC13" s="432"/>
      <c r="AD13" s="432">
        <f>RSD_Balance!F22</f>
        <v>0.16915831849079016</v>
      </c>
      <c r="AE13" s="431">
        <v>15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 t="shared" si="2"/>
        <v>3.7999047685544074E-2</v>
      </c>
      <c r="W14" s="855">
        <f>AC14/S14/Y14</f>
        <v>7.5998095371088148E-2</v>
      </c>
      <c r="X14" s="437">
        <v>20</v>
      </c>
      <c r="Y14" s="851">
        <f>31.536*(AE14/1000)</f>
        <v>0.47304000000000002</v>
      </c>
      <c r="Z14" s="437"/>
      <c r="AA14" s="437"/>
      <c r="AB14" s="437"/>
      <c r="AC14" s="438">
        <f>AD14*U14</f>
        <v>0.22153570888702945</v>
      </c>
      <c r="AD14" s="439">
        <f>IF(((D13+I13)*$B$2)&lt;=0,0,((D13+I13)*T14*$B$2))</f>
        <v>0.27344613119896216</v>
      </c>
      <c r="AE14" s="846">
        <v>15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R-SH_Apt_KER_X0</v>
      </c>
      <c r="AJ14" s="329" t="str">
        <f>N14</f>
        <v>Residential Space Heating Apartment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</row>
    <row r="15" spans="1:45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460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 t="shared" si="2"/>
        <v>1.2809242836788684E-2</v>
      </c>
      <c r="W16" s="855">
        <f>AC16/S16/Y16</f>
        <v>2.5618485673577367E-2</v>
      </c>
      <c r="X16" s="437">
        <v>20</v>
      </c>
      <c r="Y16" s="851">
        <f>31.536*(AE16/1000)</f>
        <v>0.47304000000000002</v>
      </c>
      <c r="Z16" s="437"/>
      <c r="AA16" s="437"/>
      <c r="AB16" s="437"/>
      <c r="AC16" s="438">
        <f>AD16*U16</f>
        <v>1.0453630986798219</v>
      </c>
      <c r="AD16" s="439">
        <f>IF(((D15+I15)*$B$2)&lt;=0,0,((D15+I15)*T16*$B$2))</f>
        <v>1.29014356283224</v>
      </c>
      <c r="AE16" s="846">
        <v>15</v>
      </c>
      <c r="AF16" s="460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R-SH_Apt_GAS_X0</v>
      </c>
      <c r="AJ16" s="329" t="str">
        <f>N16</f>
        <v>Residential Space Heating Apartment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</row>
    <row r="17" spans="1:50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460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 t="shared" si="2"/>
        <v>8.0871873847477876E-2</v>
      </c>
      <c r="W18" s="855">
        <f>AC18/S18/Y18</f>
        <v>0.16174374769495575</v>
      </c>
      <c r="X18" s="437">
        <v>20</v>
      </c>
      <c r="Y18" s="851">
        <f>31.536*(AE18/1000)</f>
        <v>0.47304000000000002</v>
      </c>
      <c r="Z18" s="437"/>
      <c r="AA18" s="437"/>
      <c r="AB18" s="437"/>
      <c r="AC18" s="438">
        <f>AD18*U18</f>
        <v>1.682589832316199E-3</v>
      </c>
      <c r="AD18" s="439">
        <f>IF(((D17+I17)+D18+I18*$B$2)&lt;=0,0,((D17+I17+D18+I18)*T18*$B$2))</f>
        <v>3.2049330139356171E-3</v>
      </c>
      <c r="AE18" s="846">
        <v>15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R-SH_Apt_PEA_X0</v>
      </c>
      <c r="AJ18" s="329" t="str">
        <f>N18</f>
        <v>Residential Space Heating Apartment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 t="shared" si="2"/>
        <v>7.1367643213468432E-2</v>
      </c>
      <c r="W20" s="855">
        <f>SUM(AC20:AC22)/S20/Y20</f>
        <v>0.14273528642693686</v>
      </c>
      <c r="X20" s="437">
        <v>20</v>
      </c>
      <c r="Y20" s="851">
        <f>31.536*(AE20/1000)</f>
        <v>0.47304000000000002</v>
      </c>
      <c r="Z20" s="559">
        <f>RSD_Balance!H2</f>
        <v>0.19400000000000001</v>
      </c>
      <c r="AA20" s="437">
        <v>5</v>
      </c>
      <c r="AB20" s="437"/>
      <c r="AC20" s="438">
        <f>AD20*$U$20</f>
        <v>9.0121811786113178E-3</v>
      </c>
      <c r="AD20" s="439">
        <f>IF(((D19+I19)*$B$2)&lt;=0,0,((D19+I19)*T20*$B$2))*Z20</f>
        <v>1.5490762148109601E-2</v>
      </c>
      <c r="AE20" s="846">
        <v>15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R-SH_Apt_SMF_X0</v>
      </c>
      <c r="AJ20" s="329" t="str">
        <f>N20</f>
        <v>Residential Space Heating Apartment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RSD_Balance!H3</f>
        <v>0.74399999999999999</v>
      </c>
      <c r="AA21" s="431">
        <v>5</v>
      </c>
      <c r="AB21" s="431"/>
      <c r="AC21" s="432">
        <f>AD21*$U$20</f>
        <v>3.4562179365395983E-2</v>
      </c>
      <c r="AD21" s="432">
        <f>IF(((D19+I19)*$B$2)&lt;=0,0,((D19+I19)*T20*$B$2))*Z21</f>
        <v>5.9407871330894549E-2</v>
      </c>
      <c r="AE21" s="431">
        <v>15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R-SH_Apt_WOO_X0</v>
      </c>
      <c r="AJ21" s="42" t="str">
        <f>N23</f>
        <v>Residential Space Heating Apartment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RSD_Balance!H4</f>
        <v>6.2E-2</v>
      </c>
      <c r="AA22" s="437">
        <v>5</v>
      </c>
      <c r="AB22" s="437"/>
      <c r="AC22" s="438">
        <f>AD22*$U$20</f>
        <v>2.8801816137829983E-3</v>
      </c>
      <c r="AD22" s="439">
        <f>IF(((D19+I19)*$B$2)&lt;=0,0,((D19+I19)*T20*$B$2))*Z22</f>
        <v>4.9506559442412121E-3</v>
      </c>
      <c r="AE22" s="846">
        <v>15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R-SH_Apt_HET_X0</v>
      </c>
      <c r="AJ22" s="329" t="str">
        <f>N24</f>
        <v>Residential Space Heating Apartment Heat to Residential Existing 00</v>
      </c>
      <c r="AK22" s="329" t="s">
        <v>13</v>
      </c>
      <c r="AL22" s="329" t="s">
        <v>273</v>
      </c>
      <c r="AM22" s="1213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 t="shared" ref="V23:V24" si="5">W23*$AQ$4</f>
        <v>1.811155035690511E-2</v>
      </c>
      <c r="W23" s="853">
        <f>AC23/S23/Y23</f>
        <v>3.622310071381022E-2</v>
      </c>
      <c r="X23" s="431">
        <v>20</v>
      </c>
      <c r="Y23" s="429">
        <f t="shared" ref="Y23:Y24" si="6">31.536*(AE23/1000)</f>
        <v>0.47304000000000002</v>
      </c>
      <c r="Z23" s="431"/>
      <c r="AA23" s="431"/>
      <c r="AB23" s="431"/>
      <c r="AC23" s="432">
        <f>AD23*U23</f>
        <v>5.0332668103549539E-3</v>
      </c>
      <c r="AD23" s="432">
        <f>IF(((D20+I20+D21+I21+D22+I22+D23+I23)*$B$2)&lt;=0,0,((D20+I20+D21+I21+D22+I22+D23+I23)*T23*$B$2))</f>
        <v>7.3153151106677833E-3</v>
      </c>
      <c r="AE23" s="431">
        <v>15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v>0.98</v>
      </c>
      <c r="V24" s="855">
        <f t="shared" si="5"/>
        <v>2.9522738926914312E-3</v>
      </c>
      <c r="W24" s="855">
        <f>AC24/S24/Y24</f>
        <v>5.9045477853828625E-3</v>
      </c>
      <c r="X24" s="437">
        <v>20</v>
      </c>
      <c r="Y24" s="851">
        <f>31.536*(AE24/1000)</f>
        <v>0.47304000000000002</v>
      </c>
      <c r="Z24" s="437"/>
      <c r="AA24" s="437"/>
      <c r="AB24" s="437"/>
      <c r="AC24" s="438">
        <f>AD24*U24</f>
        <v>3.8464524764104308E-2</v>
      </c>
      <c r="AD24" s="439">
        <f>IF(((D24+I24)*$B$2)&lt;=0,0,((D24+I24)*T24*$B$2))</f>
        <v>3.9249515065412556E-2</v>
      </c>
      <c r="AE24" s="846">
        <v>15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2.8914790787094513</v>
      </c>
      <c r="AD27" s="420">
        <f>SUM(AD6:AD25)</f>
        <v>2.8489012668216849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849"/>
      <c r="AG28" s="426"/>
      <c r="AH28" s="849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7" t="s">
        <v>700</v>
      </c>
      <c r="AA30" s="47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 t="s">
        <v>387</v>
      </c>
      <c r="X31" s="44"/>
      <c r="Y31" s="44"/>
      <c r="Z31" s="246" t="s">
        <v>387</v>
      </c>
      <c r="AA31" s="44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7">U7</f>
        <v>0.59018803418803423</v>
      </c>
      <c r="V33" s="853">
        <f t="shared" ref="V33:V46" si="8">W33*$AQ$4</f>
        <v>0.21177612343426869</v>
      </c>
      <c r="W33" s="853">
        <f>IFERROR(AC33/S33/Y33,0)</f>
        <v>0.42355224686853737</v>
      </c>
      <c r="X33" s="431">
        <v>20</v>
      </c>
      <c r="Y33" s="429">
        <f t="shared" ref="Y33:Y38" si="9">31.536*(AE33/1000)</f>
        <v>9.4608000000000012E-2</v>
      </c>
      <c r="Z33" s="431"/>
      <c r="AA33" s="431"/>
      <c r="AB33" s="431"/>
      <c r="AC33" s="432">
        <f t="shared" ref="AC33:AC40" si="10">AD33*U33</f>
        <v>2.9943379254920638E-3</v>
      </c>
      <c r="AD33" s="432">
        <f>IF(((D31+I31+D38+I38+D40+I40)*$B$2)&lt;=0,0,((D31+I31+D38+I38+D40+I40)*T33*$B$2))</f>
        <v>5.073532081367251E-3</v>
      </c>
      <c r="AE33" s="431">
        <v>3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11">M33</f>
        <v>R-WH_Apt_COA_X0</v>
      </c>
      <c r="AJ33" s="329" t="str">
        <f t="shared" si="11"/>
        <v>Residential Water Heating Apartment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7"/>
        <v>0.9</v>
      </c>
      <c r="V34" s="855">
        <f t="shared" si="8"/>
        <v>3.7525684931506847E-2</v>
      </c>
      <c r="W34" s="855">
        <f t="shared" ref="W34:W40" si="12">AC34/S34/Y34</f>
        <v>7.5051369863013695E-2</v>
      </c>
      <c r="X34" s="437">
        <v>20</v>
      </c>
      <c r="Y34" s="851">
        <f t="shared" si="9"/>
        <v>9.4608000000000012E-2</v>
      </c>
      <c r="Z34" s="437"/>
      <c r="AA34" s="437"/>
      <c r="AB34" s="437"/>
      <c r="AC34" s="438">
        <f t="shared" si="10"/>
        <v>4.482618332979047E-5</v>
      </c>
      <c r="AD34" s="439">
        <f>IF(((D32+I32)*$B$2)&lt;=0,0,((D32+I32)*T34*$B$2))</f>
        <v>4.9806870366433856E-5</v>
      </c>
      <c r="AE34" s="846">
        <v>3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11"/>
        <v>R-WH_Apt_BDL_X0</v>
      </c>
      <c r="AJ34" s="42" t="str">
        <f t="shared" si="11"/>
        <v>Residential Water Heating Apartment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7"/>
        <v>0.9</v>
      </c>
      <c r="V35" s="853">
        <f t="shared" si="8"/>
        <v>4.5211187214611856E-2</v>
      </c>
      <c r="W35" s="853">
        <f t="shared" si="12"/>
        <v>9.0422374429223712E-2</v>
      </c>
      <c r="X35" s="431">
        <v>20</v>
      </c>
      <c r="Y35" s="429">
        <f t="shared" si="9"/>
        <v>9.4608000000000012E-2</v>
      </c>
      <c r="Z35" s="431"/>
      <c r="AA35" s="431"/>
      <c r="AB35" s="431"/>
      <c r="AC35" s="432">
        <f t="shared" si="10"/>
        <v>4.0505156075207648E-5</v>
      </c>
      <c r="AD35" s="432">
        <f>IF(((D33+I33)*$B$2)&lt;=0,0,((D33+I33)*T35*$B$2))</f>
        <v>4.5005728972452945E-5</v>
      </c>
      <c r="AE35" s="431">
        <v>3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11"/>
        <v>R-WH_Apt_ETH_X0</v>
      </c>
      <c r="AJ35" s="329" t="str">
        <f t="shared" si="11"/>
        <v>Residential Water Heating Apartment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7"/>
        <v>0.80677902621722841</v>
      </c>
      <c r="V36" s="855">
        <f t="shared" si="8"/>
        <v>6.3969907997816586E-2</v>
      </c>
      <c r="W36" s="855">
        <f t="shared" si="12"/>
        <v>0.12793981599563317</v>
      </c>
      <c r="X36" s="437">
        <v>20</v>
      </c>
      <c r="Y36" s="851">
        <f t="shared" si="9"/>
        <v>9.4608000000000012E-2</v>
      </c>
      <c r="Z36" s="437"/>
      <c r="AA36" s="437"/>
      <c r="AB36" s="437"/>
      <c r="AC36" s="438">
        <f t="shared" si="10"/>
        <v>3.311342177487997E-2</v>
      </c>
      <c r="AD36" s="439">
        <f>IF(((D34+I34+D35+I35)*$B$2)&lt;=0,0,((D34+I34+D35+I35)*T36*$B$2))</f>
        <v>4.1043979452638935E-2</v>
      </c>
      <c r="AE36" s="846">
        <v>3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11"/>
        <v>R-WH_Apt_LPG_X0</v>
      </c>
      <c r="AJ36" s="42" t="str">
        <f t="shared" si="11"/>
        <v>Residential Water Heating Apartment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7"/>
        <v>1</v>
      </c>
      <c r="V37" s="853">
        <f t="shared" si="8"/>
        <v>2.6682740998475361E-2</v>
      </c>
      <c r="W37" s="853">
        <f t="shared" si="12"/>
        <v>5.3365481996950723E-2</v>
      </c>
      <c r="X37" s="431">
        <v>20</v>
      </c>
      <c r="Y37" s="429">
        <f t="shared" si="9"/>
        <v>9.4608000000000012E-2</v>
      </c>
      <c r="Z37" s="431"/>
      <c r="AA37" s="431"/>
      <c r="AB37" s="431"/>
      <c r="AC37" s="432">
        <f t="shared" si="10"/>
        <v>0.34707475556472306</v>
      </c>
      <c r="AD37" s="432">
        <f>IF(((D49+I49)*$B$2)&lt;=0,0,((D49+I49)*T37*$B$2))</f>
        <v>0.34707475556472306</v>
      </c>
      <c r="AE37" s="431">
        <v>3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11"/>
        <v>R-WH_Apt_ELC_X0</v>
      </c>
      <c r="AJ37" s="329" t="str">
        <f t="shared" si="11"/>
        <v>Residential Water Heating Apartment Electricity to Residential Existing 00</v>
      </c>
      <c r="AK37" s="329" t="s">
        <v>13</v>
      </c>
      <c r="AL37" s="329" t="s">
        <v>273</v>
      </c>
      <c r="AM37" s="1213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7"/>
        <v>3.0701960784313722</v>
      </c>
      <c r="V38" s="855">
        <f t="shared" si="8"/>
        <v>0.24531665323722271</v>
      </c>
      <c r="W38" s="855">
        <f>AC38/S38/Y38</f>
        <v>0.49063330647444542</v>
      </c>
      <c r="X38" s="437">
        <v>20</v>
      </c>
      <c r="Y38" s="851">
        <f t="shared" si="9"/>
        <v>9.4608000000000012E-2</v>
      </c>
      <c r="Z38" s="437"/>
      <c r="AA38" s="437"/>
      <c r="AB38" s="437"/>
      <c r="AC38" s="438">
        <f t="shared" si="10"/>
        <v>1.4941888969899833</v>
      </c>
      <c r="AD38" s="439">
        <f>IF(((D49+I49)*$B$2)&lt;=0,0,((D49+I49)*T38*$B$2))</f>
        <v>0.48667539753793049</v>
      </c>
      <c r="AE38" s="846">
        <v>3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11"/>
        <v>R-WH_Apt_ELC_X1</v>
      </c>
      <c r="AJ38" s="42" t="str">
        <f t="shared" si="11"/>
        <v>Residential Water Heating Apartment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9.4608000000000012E-2</v>
      </c>
      <c r="Z39" s="437"/>
      <c r="AA39" s="437"/>
      <c r="AB39" s="437">
        <f>AD39/AC38</f>
        <v>0.21160858264851407</v>
      </c>
      <c r="AC39" s="438"/>
      <c r="AD39" s="439">
        <f>RSD_Balance!I22</f>
        <v>0.31618319470119693</v>
      </c>
      <c r="AE39" s="846">
        <v>3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R-WH_Apt_KER_X0</v>
      </c>
      <c r="AJ39" s="329" t="str">
        <f>N40</f>
        <v>Residential Water Heating Apartment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8"/>
        <v>5.6260059984583638E-2</v>
      </c>
      <c r="W40" s="853">
        <f t="shared" si="12"/>
        <v>0.11252011996916728</v>
      </c>
      <c r="X40" s="431">
        <v>20</v>
      </c>
      <c r="Y40" s="429">
        <f>31.536*(AE36/1000)</f>
        <v>9.4608000000000012E-2</v>
      </c>
      <c r="Z40" s="431"/>
      <c r="AA40" s="431"/>
      <c r="AB40" s="431"/>
      <c r="AC40" s="432">
        <f t="shared" si="10"/>
        <v>6.0725769304690834E-2</v>
      </c>
      <c r="AD40" s="432">
        <f>IF(((D37+I37)*$B$2)&lt;=0,0,((D37+I37)*T40*$B$2))</f>
        <v>7.4955079539416894E-2</v>
      </c>
      <c r="AE40" s="431">
        <v>3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R-WH_Apt_GAS_X0</v>
      </c>
      <c r="AJ41" s="329" t="str">
        <f>N42</f>
        <v>Residential Water Heating Apartment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 t="shared" si="8"/>
        <v>3.0314277070334617E-2</v>
      </c>
      <c r="W42" s="853">
        <f>AC42/S42/Y42</f>
        <v>6.0628554140669234E-2</v>
      </c>
      <c r="X42" s="431">
        <v>20</v>
      </c>
      <c r="Y42" s="429">
        <f>31.536*(AE38/1000)</f>
        <v>9.4608000000000012E-2</v>
      </c>
      <c r="Z42" s="431"/>
      <c r="AA42" s="431"/>
      <c r="AB42" s="431"/>
      <c r="AC42" s="432">
        <f>AD42*U42</f>
        <v>0.49164195451433101</v>
      </c>
      <c r="AD42" s="432">
        <f>IF(((D39+I39)*$B$2)&lt;=0,0,((D39+I39)*T42*$B$2))</f>
        <v>0.60676400729656665</v>
      </c>
      <c r="AE42" s="431">
        <v>3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R-WH_Apt_PEA_X0</v>
      </c>
      <c r="AJ43" s="329" t="str">
        <f>N44</f>
        <v>Residential Water Heating Apartment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 t="shared" si="8"/>
        <v>4.5313597646645581E-2</v>
      </c>
      <c r="W44" s="853">
        <f>AC44/S44/Y44</f>
        <v>9.0627195293291163E-2</v>
      </c>
      <c r="X44" s="431">
        <v>20</v>
      </c>
      <c r="Y44" s="429">
        <f>31.536*(AE40/1000)</f>
        <v>9.4608000000000012E-2</v>
      </c>
      <c r="Z44" s="431"/>
      <c r="AA44" s="431"/>
      <c r="AB44" s="431"/>
      <c r="AC44" s="432">
        <f>AD44*U44</f>
        <v>1.7591992863640532E-4</v>
      </c>
      <c r="AD44" s="432">
        <f>IF(((D41+I41+D42+I42)*$B$2)&lt;=0,0,((D41+I41+D42+I42)*T44*$B$2))</f>
        <v>3.3508557835505774E-4</v>
      </c>
      <c r="AE44" s="431">
        <v>3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R-WH_Apt_SMF_X0</v>
      </c>
      <c r="AJ45" s="329" t="str">
        <f>N46</f>
        <v>Residential Water Heating Apartment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 t="shared" si="8"/>
        <v>4.3366760404001586E-2</v>
      </c>
      <c r="W46" s="855">
        <f>SUM(AC46:AC48)/S46/Y46</f>
        <v>8.6733520808003173E-2</v>
      </c>
      <c r="X46" s="437">
        <v>20</v>
      </c>
      <c r="Y46" s="851">
        <f>31.536*(AE42/1000)</f>
        <v>9.4608000000000012E-2</v>
      </c>
      <c r="Z46" s="559">
        <f>RSD_Balance!H2</f>
        <v>0.19400000000000001</v>
      </c>
      <c r="AA46" s="437">
        <v>5</v>
      </c>
      <c r="AB46" s="437"/>
      <c r="AC46" s="438">
        <f>AD46*$U$46</f>
        <v>9.798654873497477E-4</v>
      </c>
      <c r="AD46" s="439">
        <f>IF(((D43+I43)*$B$2)&lt;=0,0,((D43+I43)*T46*$B$2))*Z46</f>
        <v>1.6842607689357774E-3</v>
      </c>
      <c r="AE46" s="846">
        <v>3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 t="shared" ref="AI46:AJ48" si="13">M49</f>
        <v>R-WH_Apt_WOO_X0</v>
      </c>
      <c r="AJ46" s="42" t="str">
        <f t="shared" si="13"/>
        <v>Residential Water Heating Apartment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RSD_Balance!H3</f>
        <v>0.74399999999999999</v>
      </c>
      <c r="AA47" s="431">
        <v>5</v>
      </c>
      <c r="AB47" s="431"/>
      <c r="AC47" s="432">
        <f t="shared" ref="AC47:AC48" si="14">AD47*$U$46</f>
        <v>3.757834652516558E-3</v>
      </c>
      <c r="AD47" s="432">
        <f>IF(((D43+I43)*$B$2)&lt;=0,0,((D43+I43)*T46*$B$2))*Z47</f>
        <v>6.4592268664341148E-3</v>
      </c>
      <c r="AE47" s="431">
        <v>3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 t="shared" si="13"/>
        <v>R-WH_Apt_HET_X0</v>
      </c>
      <c r="AJ47" s="329" t="str">
        <f t="shared" si="13"/>
        <v>Residential Water Heating Apartment Heat to Residential Existing 00</v>
      </c>
      <c r="AK47" s="329" t="s">
        <v>13</v>
      </c>
      <c r="AL47" s="445" t="s">
        <v>273</v>
      </c>
      <c r="AM47" s="1213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RSD_Balance!H4</f>
        <v>6.2E-2</v>
      </c>
      <c r="AA48" s="437">
        <v>5</v>
      </c>
      <c r="AB48" s="437"/>
      <c r="AC48" s="438">
        <f t="shared" si="14"/>
        <v>3.1315288770971316E-4</v>
      </c>
      <c r="AD48" s="439">
        <f>IF(((D43+I43)*$B$2)&lt;=0,0,((D43+I43)*T46*$B$2))*Z48</f>
        <v>5.3826890553617627E-4</v>
      </c>
      <c r="AE48" s="846">
        <v>3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si="13"/>
        <v>R-WH_Apt_SOL_X0</v>
      </c>
      <c r="AJ48" s="42" t="str">
        <f t="shared" si="13"/>
        <v>Residential Water Heating Apartment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 t="shared" ref="V49:V51" si="15">W49*$AQ$4</f>
        <v>4.9699149507664374E-2</v>
      </c>
      <c r="W49" s="853">
        <f>AC49/S49/Y49</f>
        <v>9.9398299015328748E-2</v>
      </c>
      <c r="X49" s="431">
        <v>20</v>
      </c>
      <c r="Y49" s="429">
        <f t="shared" ref="Y49:Y51" si="16">31.536*(AE49/1000)</f>
        <v>9.4608000000000012E-2</v>
      </c>
      <c r="Z49" s="431"/>
      <c r="AA49" s="431"/>
      <c r="AB49" s="431"/>
      <c r="AC49" s="432">
        <f>AD49*U49</f>
        <v>2.6270320238523321E-3</v>
      </c>
      <c r="AD49" s="432">
        <f>IF(((D44+I44+D45+I45+D46+I46+D47+I47)*$B$2)&lt;=0,0,((D44+I44+D45+I45+D46+I46+D47+I47)*T49*$B$2))</f>
        <v>3.8181101428517118E-3</v>
      </c>
      <c r="AE49" s="431">
        <v>3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0.98</v>
      </c>
      <c r="V50" s="855">
        <f t="shared" si="15"/>
        <v>3.9817987456188591E-3</v>
      </c>
      <c r="W50" s="855">
        <f>AC50/S50/Y50</f>
        <v>7.9635974912377182E-3</v>
      </c>
      <c r="X50" s="437">
        <v>20</v>
      </c>
      <c r="Y50" s="851">
        <f t="shared" si="16"/>
        <v>9.4608000000000012E-2</v>
      </c>
      <c r="Z50" s="437"/>
      <c r="AA50" s="437"/>
      <c r="AB50" s="437"/>
      <c r="AC50" s="438">
        <f>AD50*U50</f>
        <v>1.0197039152526351E-2</v>
      </c>
      <c r="AD50" s="439">
        <f>IF(((D48+I48)*$B$2)&lt;=0,0,((D48+I48)*T50*$B$2))</f>
        <v>1.0405141992373827E-2</v>
      </c>
      <c r="AE50" s="846">
        <v>3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 t="shared" si="15"/>
        <v>6.9909361660337815E-2</v>
      </c>
      <c r="W51" s="853">
        <f>AC51/S51/Y51</f>
        <v>0.13981872332067563</v>
      </c>
      <c r="X51" s="431">
        <v>20</v>
      </c>
      <c r="Y51" s="429">
        <f t="shared" si="16"/>
        <v>9.4608000000000012E-2</v>
      </c>
      <c r="Z51" s="431"/>
      <c r="AA51" s="431"/>
      <c r="AB51" s="431"/>
      <c r="AC51" s="432">
        <f>AD51*U51</f>
        <v>2.8008835678000416E-2</v>
      </c>
      <c r="AD51" s="432">
        <f>RSD_Balance!I18</f>
        <v>2.8008835678000416E-2</v>
      </c>
      <c r="AE51" s="431">
        <v>3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2.4758841472240971</v>
      </c>
      <c r="AD54" s="420">
        <f>SUM(AD31:AD52)</f>
        <v>1.9291136887056661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7" t="s">
        <v>700</v>
      </c>
      <c r="AA57" s="47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 t="s">
        <v>387</v>
      </c>
      <c r="X58" s="44"/>
      <c r="Y58" s="44"/>
      <c r="Z58" s="246" t="s">
        <v>387</v>
      </c>
      <c r="AA58" s="44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329" t="str">
        <f>M59</f>
        <v>R-LT_Apt_X0</v>
      </c>
      <c r="AJ58" s="329" t="str">
        <f>N59</f>
        <v>Residential Lighting Apartment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:V60" si="17">W59*$AQ$4</f>
        <v>0.10548767133153178</v>
      </c>
      <c r="W59" s="853">
        <f t="shared" ref="W59" si="18">AC59/S59/Y59</f>
        <v>0.21097534266306356</v>
      </c>
      <c r="X59" s="431">
        <v>10</v>
      </c>
      <c r="Y59" s="430">
        <f>31.536*(AE59/1000)</f>
        <v>3.0747599999999997E-3</v>
      </c>
      <c r="Z59" s="431"/>
      <c r="AA59" s="431"/>
      <c r="AB59" s="431"/>
      <c r="AC59" s="1029">
        <f>AD59*U59</f>
        <v>0.13735509869033913</v>
      </c>
      <c r="AD59" s="432">
        <f>((D54+D55+D56+D57+D58+D59+D60+D61+D62)*T59*$B$2)</f>
        <v>0.34338774672584782</v>
      </c>
      <c r="AE59" s="428">
        <f>0.0065*15</f>
        <v>9.7499999999999989E-2</v>
      </c>
      <c r="AF59" s="297"/>
      <c r="AG59" s="433" t="s">
        <v>264</v>
      </c>
      <c r="AH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433" t="str">
        <f>M60</f>
        <v>R-PF_Apt_X0</v>
      </c>
      <c r="AJ59" s="433" t="str">
        <f>N60</f>
        <v>Residential Pumps &amp; Fans Apartment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 t="shared" si="17"/>
        <v>6.357973576617014E-2</v>
      </c>
      <c r="W60" s="860">
        <f>AC60/S60/Y60</f>
        <v>0.12715947153234028</v>
      </c>
      <c r="X60" s="861">
        <v>15</v>
      </c>
      <c r="Y60" s="862">
        <f t="shared" ref="Y60" si="19">31.536*(AE60/1000)</f>
        <v>1.5768000000000002E-3</v>
      </c>
      <c r="Z60" s="861"/>
      <c r="AA60" s="861"/>
      <c r="AB60" s="861"/>
      <c r="AC60" s="863">
        <f>AD60*U60</f>
        <v>4.2454837931852556E-2</v>
      </c>
      <c r="AD60" s="439">
        <f>(F54+F55+F56+F57+F58+F59+F60+F61+F62)*T60*$B$2</f>
        <v>7.0758063219754266E-2</v>
      </c>
      <c r="AE60" s="845">
        <v>0.05</v>
      </c>
      <c r="AF60" s="297"/>
    </row>
    <row r="61" spans="1:44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566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>
      <c r="AD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O1" workbookViewId="0">
      <selection activeCell="W24" sqref="W2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140625" style="68" bestFit="1" customWidth="1"/>
    <col min="36" max="36" width="85.4257812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4" t="s">
        <v>1103</v>
      </c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5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W7*$AQ$4</f>
        <v>0.15595389739513471</v>
      </c>
      <c r="W7" s="853">
        <f>AC7/S7/Y7</f>
        <v>0.31190779479026942</v>
      </c>
      <c r="X7" s="431">
        <v>20</v>
      </c>
      <c r="Y7" s="429">
        <f>31.536*(AE7/1000)</f>
        <v>0.63072000000000006</v>
      </c>
      <c r="Z7" s="431"/>
      <c r="AA7" s="431"/>
      <c r="AB7" s="431"/>
      <c r="AC7" s="432">
        <f>AD7*U7</f>
        <v>2.5292483555536656</v>
      </c>
      <c r="AD7" s="432">
        <f>IF(((D7+I7+D14+I14+D16+I16)*$B$2)&lt;=0,0,((D7+I7+D14+I14+D16+I16)*T7*$B$2))</f>
        <v>4.5328584732628663</v>
      </c>
      <c r="AE7" s="431">
        <v>20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0">M7</f>
        <v>R-SH_Att_COA_X0</v>
      </c>
      <c r="AJ7" s="329" t="str">
        <f t="shared" si="0"/>
        <v>Residential Space Heating Attached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 t="shared" ref="V8:V20" si="1">W8*$AQ$4</f>
        <v>1.2657385869256195E-2</v>
      </c>
      <c r="W8" s="855">
        <f>AC8/S8/Y8</f>
        <v>2.531477173851239E-2</v>
      </c>
      <c r="X8" s="437">
        <v>20</v>
      </c>
      <c r="Y8" s="851">
        <f t="shared" ref="Y8:Y13" si="2">31.536*(AE8/1000)</f>
        <v>0.63072000000000006</v>
      </c>
      <c r="Z8" s="437"/>
      <c r="AA8" s="437"/>
      <c r="AB8" s="437"/>
      <c r="AC8" s="438">
        <f>AD8*U8</f>
        <v>2.9862745702345111E-5</v>
      </c>
      <c r="AD8" s="439">
        <f>IF(((D8+I8)*$B$2)&lt;=0,0,((D8+I8)*T8*$B$2))</f>
        <v>2.9862745702345111E-5</v>
      </c>
      <c r="AE8" s="846">
        <v>20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0"/>
        <v>R-SH_Att_BDL_X0</v>
      </c>
      <c r="AJ8" s="42" t="str">
        <f t="shared" si="0"/>
        <v>Residential Space Heating Attached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0.63072000000000006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20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0"/>
        <v>R-SH_Att_ETH_X0</v>
      </c>
      <c r="AJ9" s="329" t="str">
        <f t="shared" si="0"/>
        <v>Residential Space Heating Attached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si="1"/>
        <v>2.4158087650827817E-2</v>
      </c>
      <c r="W10" s="855">
        <f t="shared" ref="W10:W12" si="3">AC10/S10/Y10</f>
        <v>4.8316175301655634E-2</v>
      </c>
      <c r="X10" s="437">
        <v>20</v>
      </c>
      <c r="Y10" s="851">
        <f t="shared" si="2"/>
        <v>0.63072000000000006</v>
      </c>
      <c r="Z10" s="437"/>
      <c r="AA10" s="437"/>
      <c r="AB10" s="437"/>
      <c r="AC10" s="438">
        <f>AD10*U10</f>
        <v>0.26406483372190948</v>
      </c>
      <c r="AD10" s="439">
        <f>IF(((D10+I10+D11+I11)*T10*$B$2)&lt;=0,0,((D10+I10+D11+I11)*T10*$B$2))</f>
        <v>0.32718716397982467</v>
      </c>
      <c r="AE10" s="846">
        <v>20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0"/>
        <v>R-SH_Att_LPG_X0</v>
      </c>
      <c r="AJ10" s="42" t="str">
        <f t="shared" si="0"/>
        <v>Residential Space Heating Attached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1"/>
        <v>1.7472982687231922E-2</v>
      </c>
      <c r="W11" s="853">
        <f t="shared" si="3"/>
        <v>3.4945965374463844E-2</v>
      </c>
      <c r="X11" s="431">
        <v>20</v>
      </c>
      <c r="Y11" s="429">
        <f t="shared" si="2"/>
        <v>0.63072000000000006</v>
      </c>
      <c r="Z11" s="431"/>
      <c r="AA11" s="431"/>
      <c r="AB11" s="431"/>
      <c r="AC11" s="432">
        <f>AD11*U11</f>
        <v>0.93104556245035686</v>
      </c>
      <c r="AD11" s="432">
        <f>IF(((D25+I25)*T11*$B$2)&lt;=0,0,((D25+I25)*T11*$B$2))</f>
        <v>0.93104556245035686</v>
      </c>
      <c r="AE11" s="431">
        <v>20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0"/>
        <v>R-SH_Att_ELC_X0</v>
      </c>
      <c r="AJ11" s="329" t="str">
        <f t="shared" si="0"/>
        <v>Residential Space Heating Attached Electricity to Residential Existing 00</v>
      </c>
      <c r="AK11" s="329" t="s">
        <v>13</v>
      </c>
      <c r="AL11" s="329" t="s">
        <v>273</v>
      </c>
      <c r="AM11" s="1213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1"/>
        <v>2.0062736698630877E-2</v>
      </c>
      <c r="W12" s="855">
        <f t="shared" si="3"/>
        <v>4.0125473397261753E-2</v>
      </c>
      <c r="X12" s="437">
        <v>20</v>
      </c>
      <c r="Y12" s="851">
        <f t="shared" si="2"/>
        <v>0.63072000000000006</v>
      </c>
      <c r="Z12" s="437"/>
      <c r="AA12" s="437"/>
      <c r="AB12" s="437"/>
      <c r="AC12" s="438">
        <f>AD12*U12</f>
        <v>0.57563706366047895</v>
      </c>
      <c r="AD12" s="439">
        <f>IF(((D12+I12)*T12*$B$2)&lt;=0,0,((D12+I12)*T12*$B$2))</f>
        <v>0.1847499687535672</v>
      </c>
      <c r="AE12" s="846">
        <v>20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0"/>
        <v>R-SH_Att_ELC_X1</v>
      </c>
      <c r="AJ12" s="42" t="str">
        <f t="shared" si="0"/>
        <v>Residential Space Heating Attached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0.63072000000000006</v>
      </c>
      <c r="AB13" s="901">
        <f>AD13/AC12</f>
        <v>0.18023327396484734</v>
      </c>
      <c r="AD13" s="843">
        <f>RSD_Balance!G22</f>
        <v>0.10374895259903937</v>
      </c>
      <c r="AE13" s="843">
        <v>20</v>
      </c>
      <c r="AF13" s="315"/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 t="shared" si="1"/>
        <v>2.1889814783621762E-2</v>
      </c>
      <c r="W14" s="853">
        <f>AC14/S14/Y14</f>
        <v>4.3779629567243523E-2</v>
      </c>
      <c r="X14" s="431">
        <v>20</v>
      </c>
      <c r="Y14" s="429">
        <f>31.536*(AE14/1000)</f>
        <v>0.63072000000000006</v>
      </c>
      <c r="Z14" s="431"/>
      <c r="AA14" s="431"/>
      <c r="AB14" s="431"/>
      <c r="AC14" s="432">
        <f>AD14*U14</f>
        <v>6.4203443849024877</v>
      </c>
      <c r="AD14" s="432">
        <f>IF(((D13+I13)*$B$2)&lt;=0,0,((D13+I13)*T14*$B$2))</f>
        <v>7.8352724881130289</v>
      </c>
      <c r="AE14" s="431">
        <v>20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R-SH_Att_KER_X0</v>
      </c>
      <c r="AJ14" s="329" t="str">
        <f>N14</f>
        <v>Residential Space Heating Attached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 t="shared" si="1"/>
        <v>1.7982278842268072E-2</v>
      </c>
      <c r="W16" s="853">
        <f>AC16/S16/Y16</f>
        <v>3.5964557684536144E-2</v>
      </c>
      <c r="X16" s="431">
        <v>20</v>
      </c>
      <c r="Y16" s="429">
        <f>31.536*(AE16/1000)</f>
        <v>0.63072000000000006</v>
      </c>
      <c r="Z16" s="431"/>
      <c r="AA16" s="431"/>
      <c r="AB16" s="431"/>
      <c r="AC16" s="432">
        <f>AD16*U16</f>
        <v>9.5616811307592542</v>
      </c>
      <c r="AD16" s="432">
        <f>IF(((D15+I15)*$B$2)&lt;=0,0,((D15+I15)*T16*$B$2))</f>
        <v>11.699192401245668</v>
      </c>
      <c r="AE16" s="431">
        <v>20</v>
      </c>
      <c r="AF16" s="315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R-SH_Att_GAS_X0</v>
      </c>
      <c r="AJ16" s="329" t="str">
        <f>N16</f>
        <v>Residential Space Heating Attached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 t="shared" si="1"/>
        <v>3.6389539420869636E-2</v>
      </c>
      <c r="W18" s="853">
        <f>AC18/S18/Y18</f>
        <v>7.2779078841739273E-2</v>
      </c>
      <c r="X18" s="431">
        <v>20</v>
      </c>
      <c r="Y18" s="429">
        <f>31.536*(AE18/1000)</f>
        <v>0.63072000000000006</v>
      </c>
      <c r="Z18" s="431"/>
      <c r="AA18" s="431"/>
      <c r="AB18" s="431"/>
      <c r="AC18" s="432">
        <f>AD18*U18</f>
        <v>5.3143839004027395E-2</v>
      </c>
      <c r="AD18" s="432">
        <f>IF(((D17+I17)+D18+I18*$B$2)&lt;=0,0,((D17+I17+D18+I18)*T18*$B$2))</f>
        <v>9.6462143052280805E-2</v>
      </c>
      <c r="AE18" s="431">
        <v>20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R-SH_Att_PEA_X0</v>
      </c>
      <c r="AJ18" s="329" t="str">
        <f>N18</f>
        <v>Residential Space Heating Attached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 t="shared" si="1"/>
        <v>3.6125606450609596E-2</v>
      </c>
      <c r="W20" s="855">
        <f>SUM(AC20:AC22)/S20/Y20</f>
        <v>7.2251212901219192E-2</v>
      </c>
      <c r="X20" s="437">
        <v>20</v>
      </c>
      <c r="Y20" s="851">
        <f>31.536*(AE20/1000)</f>
        <v>0.63072000000000006</v>
      </c>
      <c r="Z20" s="559">
        <f>RSD_Balance!$H$2</f>
        <v>0.19400000000000001</v>
      </c>
      <c r="AA20" s="437">
        <v>5</v>
      </c>
      <c r="AB20" s="437"/>
      <c r="AC20" s="438">
        <f>AD20*$U$20</f>
        <v>0.27929165160002783</v>
      </c>
      <c r="AD20" s="439">
        <f>IF(((D19+I19)*$B$2)&lt;=0,0,((D19+I19)*T20*$B$2))*Z20</f>
        <v>0.4890092872426573</v>
      </c>
      <c r="AE20" s="846">
        <v>20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R-SH_Att_SMF_X0</v>
      </c>
      <c r="AJ20" s="329" t="str">
        <f>N20</f>
        <v>Residential Space Heating Attached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6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1.0710978803629934</v>
      </c>
      <c r="AD21" s="432">
        <f>IF(((D19+I19)*$B$2)&lt;=0,0,((D19+I19)*T20*$B$2))*Z21</f>
        <v>1.8753758232398814</v>
      </c>
      <c r="AE21" s="431">
        <v>20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R-SH_Att_WOO_X0</v>
      </c>
      <c r="AJ21" s="42" t="str">
        <f>N23</f>
        <v>Residential Space Heating Attached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4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8.9258156696916113E-2</v>
      </c>
      <c r="AD22" s="439">
        <f>IF(((D19+I19)*$B$2)&lt;=0,0,((D19+I19)*T20*$B$2))*Z22</f>
        <v>0.15628131860332345</v>
      </c>
      <c r="AE22" s="846">
        <v>20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R-SH_Att_HET_X0</v>
      </c>
      <c r="AJ22" s="329" t="str">
        <f>N24</f>
        <v>Residential Space Heating Attached Heat to Residential Existing 00</v>
      </c>
      <c r="AK22" s="329" t="s">
        <v>13</v>
      </c>
      <c r="AL22" s="329" t="s">
        <v>273</v>
      </c>
      <c r="AM22" s="1213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 t="shared" ref="V23:V24" si="4">W23*$AQ$4</f>
        <v>5.8392627628771558E-2</v>
      </c>
      <c r="W23" s="853">
        <f>AC23/S23/Y23</f>
        <v>0.11678525525754312</v>
      </c>
      <c r="X23" s="431">
        <v>20</v>
      </c>
      <c r="Y23" s="429">
        <f t="shared" ref="Y23:Y24" si="5">31.536*(AE23/1000)</f>
        <v>0.63072000000000006</v>
      </c>
      <c r="Z23" s="431"/>
      <c r="AA23" s="431"/>
      <c r="AB23" s="431"/>
      <c r="AC23" s="432">
        <f>AD23*U23</f>
        <v>6.6541236267791529E-2</v>
      </c>
      <c r="AD23" s="432">
        <f>IF(((D20+I20+D21+I21+D22+I22+D23+I23)*$B$2)&lt;=0,0,((D20+I20+D21+I21+D22+I22+D23+I23)*T23*$B$2))</f>
        <v>9.4517919688121108E-2</v>
      </c>
      <c r="AE23" s="431">
        <v>20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v>0.98</v>
      </c>
      <c r="V24" s="855">
        <f t="shared" si="4"/>
        <v>1.8877455933229807E-2</v>
      </c>
      <c r="W24" s="855">
        <f>AC24/S24/Y24</f>
        <v>3.7754911866459615E-2</v>
      </c>
      <c r="X24" s="437">
        <v>20</v>
      </c>
      <c r="Y24" s="851">
        <f t="shared" si="5"/>
        <v>0.63072000000000006</v>
      </c>
      <c r="Z24" s="437"/>
      <c r="AA24" s="437"/>
      <c r="AB24" s="437"/>
      <c r="AC24" s="438">
        <f>AD24*U24</f>
        <v>4.529498644396307E-2</v>
      </c>
      <c r="AD24" s="439">
        <f>IF(((D24+I24)*$B$2)&lt;=0,0,((D24+I24)*T24*$B$2))</f>
        <v>4.6219373922411294E-2</v>
      </c>
      <c r="AE24" s="846">
        <v>20</v>
      </c>
      <c r="AF24" s="315"/>
      <c r="AG24" s="444"/>
      <c r="AH24" s="444"/>
      <c r="AI24" s="444"/>
      <c r="AJ24" s="444"/>
      <c r="AK24" s="444"/>
      <c r="AL24" s="444"/>
      <c r="AM24" s="444"/>
      <c r="AN24" s="297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44"/>
      <c r="AH25" s="444"/>
      <c r="AI25" s="444"/>
      <c r="AJ25" s="444"/>
      <c r="AK25" s="444"/>
      <c r="AL25" s="444"/>
      <c r="AM25" s="444"/>
      <c r="AN25" s="297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21.886678944169574</v>
      </c>
      <c r="AD27" s="420">
        <f>SUM(AD6:AD25)</f>
        <v>28.371950738898729</v>
      </c>
      <c r="AE27" s="297"/>
      <c r="AF27" s="297"/>
      <c r="AG27" s="426"/>
      <c r="AH27" s="426"/>
      <c r="AI27" s="426"/>
      <c r="AJ27" s="297"/>
      <c r="AK27" s="426"/>
      <c r="AL27" s="426"/>
      <c r="AM27" s="426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 t="shared" ref="V33:V46" si="6">W33*$AQ$4</f>
        <v>5.0699710181751657E-2</v>
      </c>
      <c r="W33" s="853">
        <f>IFERROR(AC33/S33/Y33,0)</f>
        <v>0.10139942036350331</v>
      </c>
      <c r="X33" s="431">
        <v>20</v>
      </c>
      <c r="Y33" s="429">
        <f t="shared" ref="Y33:Y38" si="7">31.536*(AE33/1000)</f>
        <v>0.15768000000000001</v>
      </c>
      <c r="Z33" s="431"/>
      <c r="AA33" s="431"/>
      <c r="AB33" s="431"/>
      <c r="AC33" s="432">
        <f>AD33*U33</f>
        <v>0.1737970946031144</v>
      </c>
      <c r="AD33" s="432">
        <f>IF(((D31+I31+D38+I38+D40+I40)*$B$2)&lt;=0,0,((D31+I31+D38+I38+D40+I40)*T33*$B$2))</f>
        <v>0.31147500053538318</v>
      </c>
      <c r="AE33" s="431">
        <v>5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8">M33</f>
        <v>R-WH_Att_COA_X0</v>
      </c>
      <c r="AJ33" s="329" t="str">
        <f t="shared" si="8"/>
        <v>Residential Water Heating Attached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 t="shared" si="6"/>
        <v>4.445966514459665E-2</v>
      </c>
      <c r="W34" s="855">
        <f>AC34/S34/Y34</f>
        <v>8.8919330289193299E-2</v>
      </c>
      <c r="X34" s="437">
        <v>20</v>
      </c>
      <c r="Y34" s="851">
        <f t="shared" si="7"/>
        <v>0.15768000000000001</v>
      </c>
      <c r="Z34" s="437"/>
      <c r="AA34" s="437"/>
      <c r="AB34" s="437"/>
      <c r="AC34" s="438">
        <f>AD34*U34</f>
        <v>7.9147763787860303E-5</v>
      </c>
      <c r="AD34" s="439">
        <f>IF(((D32+I32)*$B$2)&lt;=0,0,((D32+I32)*T34*$B$2))</f>
        <v>7.9147763787860303E-5</v>
      </c>
      <c r="AE34" s="846">
        <v>5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8"/>
        <v>R-WH_Att_BDL_X0</v>
      </c>
      <c r="AJ34" s="42" t="str">
        <f t="shared" si="8"/>
        <v>Residential Water Heating Attached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 t="shared" si="6"/>
        <v>3.3606164383561642E-2</v>
      </c>
      <c r="W35" s="853">
        <f>IFERROR(AC35/S35/Y35,0)</f>
        <v>6.7212328767123283E-2</v>
      </c>
      <c r="X35" s="431">
        <v>20</v>
      </c>
      <c r="Y35" s="429">
        <f t="shared" si="7"/>
        <v>0.15768000000000001</v>
      </c>
      <c r="Z35" s="431"/>
      <c r="AA35" s="431"/>
      <c r="AB35" s="431"/>
      <c r="AC35" s="432">
        <f>IFERROR(AD35*U35,0)</f>
        <v>1.9942066228610229E-5</v>
      </c>
      <c r="AD35" s="432">
        <f>IF(((D33+I33)*$B$2)&lt;=0,0,((D33+I33)*T35*$B$2))</f>
        <v>2.2157851365122476E-5</v>
      </c>
      <c r="AE35" s="431">
        <v>5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8"/>
        <v>R-WH_Att_ETH_X0</v>
      </c>
      <c r="AJ35" s="329" t="str">
        <f t="shared" si="8"/>
        <v>Residential Water Heating Attached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si="6"/>
        <v>4.8862252808455853E-2</v>
      </c>
      <c r="W36" s="855">
        <f t="shared" ref="W36:W42" si="9">AC36/S36/Y36</f>
        <v>9.7724505616911705E-2</v>
      </c>
      <c r="X36" s="437">
        <v>20</v>
      </c>
      <c r="Y36" s="851">
        <f t="shared" si="7"/>
        <v>0.15768000000000001</v>
      </c>
      <c r="Z36" s="437"/>
      <c r="AA36" s="437"/>
      <c r="AB36" s="437"/>
      <c r="AC36" s="438">
        <f>AD36*U36</f>
        <v>0.1189025487119864</v>
      </c>
      <c r="AD36" s="439">
        <f>IF(((D34+I34+D35+I35)*$B$2)&lt;=0,0,((D34+I34+D35+I35)*T36*$B$2))</f>
        <v>0.14732513661405405</v>
      </c>
      <c r="AE36" s="846">
        <v>5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8"/>
        <v>R-WH_Att_LPG_X0</v>
      </c>
      <c r="AJ36" s="42" t="str">
        <f t="shared" si="8"/>
        <v>Residential Water Heating Attached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6"/>
        <v>3.0914157514940591E-2</v>
      </c>
      <c r="W37" s="853">
        <f t="shared" si="9"/>
        <v>6.1828315029881183E-2</v>
      </c>
      <c r="X37" s="431">
        <v>20</v>
      </c>
      <c r="Y37" s="429">
        <f t="shared" si="7"/>
        <v>0.15768000000000001</v>
      </c>
      <c r="Z37" s="431"/>
      <c r="AA37" s="431"/>
      <c r="AB37" s="431"/>
      <c r="AC37" s="432">
        <f>AD37*U37</f>
        <v>0.39985355635745856</v>
      </c>
      <c r="AD37" s="432">
        <f>IF(((D49+I49)*$B$2)&lt;=0,0,((D49+I49)*T37*$B$2))</f>
        <v>0.39985355635745856</v>
      </c>
      <c r="AE37" s="431">
        <v>5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8"/>
        <v>R-WH_Att_ELC_X0</v>
      </c>
      <c r="AJ37" s="329" t="str">
        <f t="shared" si="8"/>
        <v>Residential Water Heating Attached Electricity to Residential Existing 00</v>
      </c>
      <c r="AK37" s="329" t="s">
        <v>13</v>
      </c>
      <c r="AL37" s="329" t="s">
        <v>273</v>
      </c>
      <c r="AM37" s="1213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6"/>
        <v>9.9878584070472301E-2</v>
      </c>
      <c r="W38" s="855">
        <f t="shared" si="9"/>
        <v>0.1997571681409446</v>
      </c>
      <c r="X38" s="437">
        <v>20</v>
      </c>
      <c r="Y38" s="851">
        <f t="shared" si="7"/>
        <v>0.15768000000000001</v>
      </c>
      <c r="Z38" s="437"/>
      <c r="AA38" s="437"/>
      <c r="AB38" s="437"/>
      <c r="AC38" s="438">
        <f>AD38*U38</f>
        <v>0.67949976232975151</v>
      </c>
      <c r="AD38" s="439">
        <f>IF(((D49+I49)*$B$2)&lt;=0,0,((D49+I49)*T38*$B$2))</f>
        <v>0.21808456714059365</v>
      </c>
      <c r="AE38" s="899">
        <v>5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8"/>
        <v>R-WH_Att_ELC_X1</v>
      </c>
      <c r="AJ38" s="42" t="str">
        <f t="shared" si="8"/>
        <v>Residential Water Heating Attached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/>
      <c r="Z39" s="437"/>
      <c r="AA39" s="437"/>
      <c r="AB39" s="437">
        <f>AD39/AC38</f>
        <v>0.209601859113623</v>
      </c>
      <c r="AC39" s="438"/>
      <c r="AD39" s="439">
        <f>RSD_Balance!J22</f>
        <v>0.14242441345158088</v>
      </c>
      <c r="AE39" s="899">
        <v>5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R-WH_Att_KER_X0</v>
      </c>
      <c r="AJ39" s="329" t="str">
        <f>N40</f>
        <v>Residential Water Heating Attached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6"/>
        <v>3.4897755275647216E-2</v>
      </c>
      <c r="W40" s="853">
        <f t="shared" si="9"/>
        <v>6.9795510551294432E-2</v>
      </c>
      <c r="X40" s="431">
        <v>20</v>
      </c>
      <c r="Y40" s="429">
        <f>31.536*(AE36/1000)</f>
        <v>0.15768000000000001</v>
      </c>
      <c r="Z40" s="431"/>
      <c r="AA40" s="431"/>
      <c r="AB40" s="431"/>
      <c r="AC40" s="432">
        <f>AD40*U40</f>
        <v>2.5468720695850946</v>
      </c>
      <c r="AD40" s="432">
        <f>IF(((D37+I37)*$B$2)&lt;=0,0,((D37+I37)*T40*$B$2))</f>
        <v>3.1081567375870085</v>
      </c>
      <c r="AE40" s="431">
        <v>5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R-WH_Att_GAS_X0</v>
      </c>
      <c r="AJ41" s="329" t="str">
        <f>N42</f>
        <v>Residential Water Heating Attached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6"/>
        <v>2.4696761657423037E-2</v>
      </c>
      <c r="W42" s="853">
        <f t="shared" si="9"/>
        <v>4.9393523314846075E-2</v>
      </c>
      <c r="X42" s="431">
        <v>20</v>
      </c>
      <c r="Y42" s="429">
        <f>31.536*(AE38/1000)</f>
        <v>0.15768000000000001</v>
      </c>
      <c r="Z42" s="431"/>
      <c r="AA42" s="431"/>
      <c r="AB42" s="431"/>
      <c r="AC42" s="432">
        <f>AD42*U42</f>
        <v>3.2822739311280036</v>
      </c>
      <c r="AD42" s="432">
        <f>IF(((D39+I39)*$B$2)&lt;=0,0,((D39+I39)*T42*$B$2))</f>
        <v>4.0160253943555535</v>
      </c>
      <c r="AE42" s="431">
        <v>5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R-WH_Att_PEA_X0</v>
      </c>
      <c r="AJ43" s="329" t="str">
        <f>N44</f>
        <v>Residential Water Heating Attached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 t="shared" si="6"/>
        <v>3.4472154462551037E-2</v>
      </c>
      <c r="W44" s="853">
        <f>AC44/S44/Y44</f>
        <v>6.8944308925102074E-2</v>
      </c>
      <c r="X44" s="431">
        <v>20</v>
      </c>
      <c r="Y44" s="429">
        <f>31.536*(AE40/1000)</f>
        <v>0.15768000000000001</v>
      </c>
      <c r="Z44" s="431"/>
      <c r="AA44" s="431"/>
      <c r="AB44" s="431"/>
      <c r="AC44" s="432">
        <f>AD44*U44</f>
        <v>1.309180740988268E-2</v>
      </c>
      <c r="AD44" s="432">
        <f>IF(((D41+I41+D42+I42)*$B$2)&lt;=0,0,((D41+I41+D42+I42)*T44*$B$2))</f>
        <v>2.3763127068959194E-2</v>
      </c>
      <c r="AE44" s="431">
        <v>5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R-WH_Att_SMF_X0</v>
      </c>
      <c r="AJ45" s="329" t="str">
        <f>N46</f>
        <v>Residential Water Heating Attached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 t="shared" si="6"/>
        <v>2.8521172827373376E-2</v>
      </c>
      <c r="W46" s="855">
        <f>SUM(AC46:AC48)/S46/Y46</f>
        <v>5.7042345654746751E-2</v>
      </c>
      <c r="X46" s="437">
        <v>20</v>
      </c>
      <c r="Y46" s="851">
        <f>31.536*(AE42/1000)</f>
        <v>0.15768000000000001</v>
      </c>
      <c r="Z46" s="559">
        <f>RSD_Balance!$H$2</f>
        <v>0.19400000000000001</v>
      </c>
      <c r="AA46" s="437">
        <v>5</v>
      </c>
      <c r="AB46" s="437"/>
      <c r="AC46" s="438">
        <f>AD46*$U$46</f>
        <v>5.2832044098484403E-2</v>
      </c>
      <c r="AD46" s="439">
        <f>IF(((D43+I43)*$B$2)&lt;=0,0,((D43+I43)*T46*$B$2))*Z46</f>
        <v>9.2503159618860298E-2</v>
      </c>
      <c r="AE46" s="846">
        <v>5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>M49</f>
        <v>R-WH_Att_WOO_X0</v>
      </c>
      <c r="AJ46" s="42" t="str">
        <f>N49</f>
        <v>Residential Water Heating Attached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>AD47*$U$46</f>
        <v>0.20261361241892986</v>
      </c>
      <c r="AD47" s="432">
        <f>IF(((D43+I43)*$B$2)&lt;=0,0,((D43+I43)*T46*$B$2))*Z47</f>
        <v>0.35475438534243331</v>
      </c>
      <c r="AE47" s="431">
        <v>5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>M50</f>
        <v>R-WH_Att_HET_X0</v>
      </c>
      <c r="AJ47" s="329" t="str">
        <f>N50</f>
        <v>Residential Water Heating Attached Heat to Residential Existing 00</v>
      </c>
      <c r="AK47" s="329" t="s">
        <v>13</v>
      </c>
      <c r="AL47" s="445" t="s">
        <v>273</v>
      </c>
      <c r="AM47" s="1213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ref="AC48" si="10">AD48*$U$46</f>
        <v>1.6884467701577487E-2</v>
      </c>
      <c r="AD48" s="439">
        <f>IF(((D43+I43)*$B$2)&lt;=0,0,((D43+I43)*T46*$B$2))*Z48</f>
        <v>2.9562865445202775E-2</v>
      </c>
      <c r="AE48" s="846">
        <v>5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ref="AI48" si="11">M51</f>
        <v>R-WH_Att_SOL_X0</v>
      </c>
      <c r="AJ48" s="42" t="str">
        <f t="shared" ref="AJ48" si="12">N51</f>
        <v>Residential Water Heating Attached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 t="shared" ref="V49:V51" si="13">W49*$AQ$4</f>
        <v>3.3356108178258952E-2</v>
      </c>
      <c r="W49" s="853">
        <f>AC49/S49/Y49</f>
        <v>6.6712216356517903E-2</v>
      </c>
      <c r="X49" s="431">
        <v>20</v>
      </c>
      <c r="Y49" s="429">
        <f t="shared" ref="Y49:Y50" si="14">31.536*(AE49/1000)</f>
        <v>0.15768000000000001</v>
      </c>
      <c r="Z49" s="431"/>
      <c r="AA49" s="431"/>
      <c r="AB49" s="431"/>
      <c r="AC49" s="432">
        <f>AD49*U49</f>
        <v>9.5999355877482394E-3</v>
      </c>
      <c r="AD49" s="432">
        <f>IF(((D44+I44+D45+I45+D46+I46+D47+I47)*$B$2)&lt;=0,0,((D44+I44+D45+I45+D46+I46+D47+I47)*T49*$B$2))</f>
        <v>1.3636144919855106E-2</v>
      </c>
      <c r="AE49" s="431">
        <v>5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0.98</v>
      </c>
      <c r="V50" s="855">
        <f t="shared" si="13"/>
        <v>3.922782092918721E-3</v>
      </c>
      <c r="W50" s="855">
        <f t="shared" ref="W50" si="15">AC50/S50/Y50</f>
        <v>7.845564185837442E-3</v>
      </c>
      <c r="X50" s="437">
        <v>20</v>
      </c>
      <c r="Y50" s="851">
        <f t="shared" si="14"/>
        <v>0.15768000000000001</v>
      </c>
      <c r="Z50" s="437"/>
      <c r="AA50" s="437"/>
      <c r="AB50" s="437"/>
      <c r="AC50" s="438">
        <f>AD50*U50</f>
        <v>2.3673711124665791E-3</v>
      </c>
      <c r="AD50" s="439">
        <f>IF(((D48+I48)*$B$2)&lt;=0,0,((D48+I48)*T50*$B$2))</f>
        <v>2.4156848086393664E-3</v>
      </c>
      <c r="AE50" s="846">
        <v>5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 t="shared" si="13"/>
        <v>0.10871561684015631</v>
      </c>
      <c r="W51" s="853">
        <f>AC51/S51/Y51</f>
        <v>0.21743123368031261</v>
      </c>
      <c r="X51" s="431">
        <v>20</v>
      </c>
      <c r="Y51" s="429">
        <f>31.536*(AE51/1000)</f>
        <v>0.15768000000000001</v>
      </c>
      <c r="Z51" s="431"/>
      <c r="AA51" s="431"/>
      <c r="AB51" s="431"/>
      <c r="AC51" s="432">
        <f>AD51*U51</f>
        <v>0.26608393894100396</v>
      </c>
      <c r="AD51" s="432">
        <f>RSD_Balance!J18</f>
        <v>0.26608393894100396</v>
      </c>
      <c r="AE51" s="431">
        <v>5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7.7647712298155183</v>
      </c>
      <c r="AD54" s="420">
        <f>SUM(AD31:AD52)</f>
        <v>9.1261654178017384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</row>
    <row r="55" spans="1:44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R-LT_Att_X0</v>
      </c>
      <c r="AJ58" s="329" t="str">
        <f>N59</f>
        <v>Residential Lighting Attached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 t="shared" ref="V59:V60" si="16">W59*$AQ$4</f>
        <v>0.14898296824875992</v>
      </c>
      <c r="W59" s="853">
        <f>AC59/S59/Y59</f>
        <v>0.29796593649751985</v>
      </c>
      <c r="X59" s="431">
        <v>10</v>
      </c>
      <c r="Y59" s="428">
        <f t="shared" ref="Y59:Y60" si="17">31.536*(AE59/1000)</f>
        <v>3.0747599999999997E-3</v>
      </c>
      <c r="Z59" s="431"/>
      <c r="AA59" s="431"/>
      <c r="AB59" s="431"/>
      <c r="AC59" s="432">
        <f>AD59*U59</f>
        <v>0.71104643057697769</v>
      </c>
      <c r="AD59" s="432">
        <f>(D54+D55+D56+D57+D58+D59+D60+D61+D62)*T59*$B$2</f>
        <v>1.777616076442444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R-PF_Att_X0</v>
      </c>
      <c r="AJ59" s="433" t="str">
        <f>N60</f>
        <v>Residential Pumps &amp; Fans Attached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 t="shared" si="16"/>
        <v>0.12067337948800794</v>
      </c>
      <c r="W60" s="860">
        <f>AC60/S60/Y60</f>
        <v>0.24134675897601587</v>
      </c>
      <c r="X60" s="861">
        <v>15</v>
      </c>
      <c r="Y60" s="862">
        <f t="shared" si="17"/>
        <v>1.5768000000000002E-3</v>
      </c>
      <c r="Z60" s="861"/>
      <c r="AA60" s="861"/>
      <c r="AB60" s="861"/>
      <c r="AC60" s="863">
        <f>AD60*U60</f>
        <v>0.29535083433966691</v>
      </c>
      <c r="AD60" s="439">
        <f>(F54+F55+F56+F57+F58+F59+F60+F61+F62)*T60*$B$2</f>
        <v>0.4922513905661115</v>
      </c>
      <c r="AE60" s="845">
        <v>0.05</v>
      </c>
      <c r="AF60" s="297"/>
    </row>
    <row r="61" spans="1:44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O25" zoomScale="90" zoomScaleNormal="90" workbookViewId="0">
      <selection activeCell="U50" sqref="U50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5" width="8.140625" style="68" bestFit="1" customWidth="1"/>
    <col min="26" max="28" width="8.1406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5703125" style="68" bestFit="1" customWidth="1"/>
    <col min="36" max="36" width="85.8554687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1214" t="s">
        <v>1103</v>
      </c>
      <c r="AQ3" s="297"/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1215">
        <v>0.5</v>
      </c>
      <c r="AQ4" s="297"/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$AP$4*W7</f>
        <v>0.23271350166307284</v>
      </c>
      <c r="W7" s="853">
        <f>AC7/S7/Y7</f>
        <v>0.46542700332614567</v>
      </c>
      <c r="X7" s="431">
        <v>20</v>
      </c>
      <c r="Y7" s="429">
        <f>31.536*(AE7/1000)</f>
        <v>0.94608000000000003</v>
      </c>
      <c r="Z7" s="431"/>
      <c r="AA7" s="431"/>
      <c r="AB7" s="431"/>
      <c r="AC7" s="432">
        <f>AD7*U7</f>
        <v>1.9299077352148419</v>
      </c>
      <c r="AD7" s="432">
        <f>IF(((D7+I7+D14+I14+D16+I16)*$B$2)&lt;=0,0,((D7+I7+D14+I14+D16+I16)*T7*$B$2))</f>
        <v>3.1134409022553795</v>
      </c>
      <c r="AE7" s="431">
        <v>30</v>
      </c>
      <c r="AF7" s="315"/>
      <c r="AG7" s="329" t="s">
        <v>264</v>
      </c>
      <c r="AH7" s="329" t="str">
        <f>_xlfn.TEXTJOIN(",",TRUE,IF(LEFT(Regions!$C$3,1)&lt;&gt;"*",Regions!$C$3,""),IF(LEFT(Regions!$D$3,1)&lt;&gt;"*",Regions!$D$3,""))</f>
        <v>IE</v>
      </c>
      <c r="AI7" s="329" t="str">
        <f t="shared" ref="AI7:AJ12" si="0">M7</f>
        <v>R-SH_Det_COA_X0</v>
      </c>
      <c r="AJ7" s="329" t="str">
        <f t="shared" si="0"/>
        <v>Residential Space Heating Detached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 t="shared" ref="V8:V20" si="1">$AP$4*W8</f>
        <v>0</v>
      </c>
      <c r="W8" s="855">
        <f>IFERROR(AC8/S8/Y8,0)</f>
        <v>0</v>
      </c>
      <c r="X8" s="437">
        <v>20</v>
      </c>
      <c r="Y8" s="851">
        <f t="shared" ref="Y8:Y13" si="2">31.536*(AE8/1000)</f>
        <v>0.94608000000000003</v>
      </c>
      <c r="Z8" s="437"/>
      <c r="AA8" s="437"/>
      <c r="AB8" s="437"/>
      <c r="AC8" s="438">
        <f>IFERROR(AD8*U8,0)</f>
        <v>0</v>
      </c>
      <c r="AD8" s="439">
        <f>IF(((D8+I8)*$B$2)&lt;=0,0,((D8+I8)*T8*$B$2))</f>
        <v>0</v>
      </c>
      <c r="AE8" s="846">
        <v>30</v>
      </c>
      <c r="AF8" s="315"/>
      <c r="AG8" s="42" t="s">
        <v>264</v>
      </c>
      <c r="AH8" s="42" t="str">
        <f>_xlfn.TEXTJOIN(",",TRUE,IF(LEFT(Regions!$C$3,1)&lt;&gt;"*",Regions!$C$3,""),IF(LEFT(Regions!$D$3,1)&lt;&gt;"*",Regions!$D$3,""))</f>
        <v>IE</v>
      </c>
      <c r="AI8" s="42" t="str">
        <f t="shared" si="0"/>
        <v>R-SH_Det_BDL_X0</v>
      </c>
      <c r="AJ8" s="42" t="str">
        <f t="shared" si="0"/>
        <v>Residential Space Heating Detached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0.94608000000000003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30</v>
      </c>
      <c r="AF9" s="315"/>
      <c r="AG9" s="329" t="s">
        <v>264</v>
      </c>
      <c r="AH9" s="329" t="str">
        <f>_xlfn.TEXTJOIN(",",TRUE,IF(LEFT(Regions!$C$3,1)&lt;&gt;"*",Regions!$C$3,""),IF(LEFT(Regions!$D$3,1)&lt;&gt;"*",Regions!$D$3,""))</f>
        <v>IE</v>
      </c>
      <c r="AI9" s="329" t="str">
        <f t="shared" si="0"/>
        <v>R-SH_Det_ETH_X0</v>
      </c>
      <c r="AJ9" s="329" t="str">
        <f t="shared" si="0"/>
        <v>Residential Space Heating Detached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si="1"/>
        <v>3.4956359234120792E-2</v>
      </c>
      <c r="W10" s="855">
        <f>AC10/S10/Y10</f>
        <v>6.9912718468241583E-2</v>
      </c>
      <c r="X10" s="437">
        <v>20</v>
      </c>
      <c r="Y10" s="851">
        <f t="shared" si="2"/>
        <v>0.94608000000000003</v>
      </c>
      <c r="Z10" s="437"/>
      <c r="AA10" s="437"/>
      <c r="AB10" s="437"/>
      <c r="AC10" s="438">
        <f>AD10*U10</f>
        <v>1.0643428332153448</v>
      </c>
      <c r="AD10" s="439">
        <f>IF(((D10+I10+D11+I11)*T10*$B$2)&lt;=0,0,((D10+I10+D11+I11)*T10*$B$2))</f>
        <v>1.287587686413459</v>
      </c>
      <c r="AE10" s="846">
        <v>30</v>
      </c>
      <c r="AF10" s="315"/>
      <c r="AG10" s="42" t="s">
        <v>264</v>
      </c>
      <c r="AH10" s="42" t="str">
        <f>_xlfn.TEXTJOIN(",",TRUE,IF(LEFT(Regions!$C$3,1)&lt;&gt;"*",Regions!$C$3,""),IF(LEFT(Regions!$D$3,1)&lt;&gt;"*",Regions!$D$3,""))</f>
        <v>IE</v>
      </c>
      <c r="AI10" s="42" t="str">
        <f t="shared" si="0"/>
        <v>R-SH_Det_LPG_X0</v>
      </c>
      <c r="AJ10" s="42" t="str">
        <f t="shared" si="0"/>
        <v>Residential Space Heating Detached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1"/>
        <v>2.1885278852691339E-2</v>
      </c>
      <c r="W11" s="853">
        <f>AC11/S11/Y11</f>
        <v>4.3770557705382677E-2</v>
      </c>
      <c r="X11" s="431">
        <v>20</v>
      </c>
      <c r="Y11" s="429">
        <f t="shared" si="2"/>
        <v>0.94608000000000003</v>
      </c>
      <c r="Z11" s="431"/>
      <c r="AA11" s="431"/>
      <c r="AB11" s="431"/>
      <c r="AC11" s="432">
        <f>AD11*U11</f>
        <v>1.4253978705227373</v>
      </c>
      <c r="AD11" s="432">
        <f>IF(((D25+I25)*T11*$B$2)&lt;=0,0,((D25+I25)*T11*$B$2))</f>
        <v>1.4260810231086576</v>
      </c>
      <c r="AE11" s="431">
        <v>30</v>
      </c>
      <c r="AF11" s="315"/>
      <c r="AG11" s="329" t="s">
        <v>264</v>
      </c>
      <c r="AH11" s="329" t="str">
        <f>_xlfn.TEXTJOIN(",",TRUE,IF(LEFT(Regions!$C$3,1)&lt;&gt;"*",Regions!$C$3,""),IF(LEFT(Regions!$D$3,1)&lt;&gt;"*",Regions!$D$3,""))</f>
        <v>IE</v>
      </c>
      <c r="AI11" s="329" t="str">
        <f t="shared" si="0"/>
        <v>R-SH_Det_ELC_X0</v>
      </c>
      <c r="AJ11" s="329" t="str">
        <f t="shared" si="0"/>
        <v>Residential Space Heating Detached Electricity to Residential Existing 00</v>
      </c>
      <c r="AK11" s="329" t="s">
        <v>13</v>
      </c>
      <c r="AL11" s="329" t="s">
        <v>273</v>
      </c>
      <c r="AM11" s="1213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1"/>
        <v>2.310867480466456E-2</v>
      </c>
      <c r="W12" s="855">
        <f>AC12/S12/Y12</f>
        <v>4.621734960932912E-2</v>
      </c>
      <c r="X12" s="437">
        <v>20</v>
      </c>
      <c r="Y12" s="851">
        <f t="shared" si="2"/>
        <v>0.94608000000000003</v>
      </c>
      <c r="Z12" s="437"/>
      <c r="AA12" s="437"/>
      <c r="AB12" s="437"/>
      <c r="AC12" s="438">
        <f>AD12*U12</f>
        <v>0.64503350948923277</v>
      </c>
      <c r="AD12" s="439">
        <f>IF(((D12+I12)*T12*$B$2)&lt;=0,0,((D12+I12)*T12*$B$2))</f>
        <v>0.20876331634419984</v>
      </c>
      <c r="AE12" s="846">
        <v>30</v>
      </c>
      <c r="AF12" s="315"/>
      <c r="AG12" s="42" t="s">
        <v>264</v>
      </c>
      <c r="AH12" s="42" t="str">
        <f>_xlfn.TEXTJOIN(",",TRUE,IF(LEFT(Regions!$C$3,1)&lt;&gt;"*",Regions!$C$3,""),IF(LEFT(Regions!$D$3,1)&lt;&gt;"*",Regions!$D$3,""))</f>
        <v>IE</v>
      </c>
      <c r="AI12" s="42" t="str">
        <f t="shared" si="0"/>
        <v>R-SH_Det_ELC_X1</v>
      </c>
      <c r="AJ12" s="42" t="str">
        <f t="shared" si="0"/>
        <v>Residential Space Heating Detached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0.94608000000000003</v>
      </c>
      <c r="AB13" s="901">
        <f>AD13/AC12</f>
        <v>0.18174867685052568</v>
      </c>
      <c r="AD13" s="843">
        <f>RSD_Balance!H22</f>
        <v>0.11723398687391905</v>
      </c>
      <c r="AE13" s="843">
        <v>30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 t="shared" si="1"/>
        <v>2.4093791194993976E-2</v>
      </c>
      <c r="W14" s="853">
        <f>AC14/S14/Y14</f>
        <v>4.8187582389987951E-2</v>
      </c>
      <c r="X14" s="431">
        <v>20</v>
      </c>
      <c r="Y14" s="429">
        <f>31.536*(AE14/1000)</f>
        <v>0.94608000000000003</v>
      </c>
      <c r="Z14" s="431"/>
      <c r="AA14" s="431"/>
      <c r="AB14" s="431"/>
      <c r="AC14" s="432">
        <f>AD14*U14</f>
        <v>23.121490491942836</v>
      </c>
      <c r="AD14" s="432">
        <f>IF(((D13+I13)*$B$2)&lt;=0,0,((D13+I13)*T14*$B$2))</f>
        <v>28.100857367536157</v>
      </c>
      <c r="AE14" s="431">
        <v>30</v>
      </c>
      <c r="AF14" s="315"/>
      <c r="AG14" s="329" t="s">
        <v>264</v>
      </c>
      <c r="AH14" s="329" t="str">
        <f>_xlfn.TEXTJOIN(",",TRUE,IF(LEFT(Regions!$C$3,1)&lt;&gt;"*",Regions!$C$3,""),IF(LEFT(Regions!$D$3,1)&lt;&gt;"*",Regions!$D$3,""))</f>
        <v>IE</v>
      </c>
      <c r="AI14" s="329" t="str">
        <f>M14</f>
        <v>R-SH_Det_KER_X0</v>
      </c>
      <c r="AJ14" s="329" t="str">
        <f>N14</f>
        <v>Residential Space Heating Detached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 t="shared" si="1"/>
        <v>1.9836002046002724E-2</v>
      </c>
      <c r="W16" s="853">
        <f>AC16/S16/Y16</f>
        <v>3.9672004092005449E-2</v>
      </c>
      <c r="X16" s="431">
        <v>20</v>
      </c>
      <c r="Y16" s="429">
        <f>31.536*(AE16/1000)</f>
        <v>0.94608000000000003</v>
      </c>
      <c r="Z16" s="431"/>
      <c r="AA16" s="431"/>
      <c r="AB16" s="431"/>
      <c r="AC16" s="432">
        <f>AD16*U16</f>
        <v>4.2956991275496783</v>
      </c>
      <c r="AD16" s="432">
        <f>IF(((D15+I15)*$B$2)&lt;=0,0,((D15+I15)*T16*$B$2))</f>
        <v>5.1925101048003226</v>
      </c>
      <c r="AE16" s="431">
        <v>30</v>
      </c>
      <c r="AF16" s="315"/>
      <c r="AG16" s="329" t="s">
        <v>264</v>
      </c>
      <c r="AH16" s="329" t="str">
        <f>_xlfn.TEXTJOIN(",",TRUE,IF(LEFT(Regions!$C$3,1)&lt;&gt;"*",Regions!$C$3,""),IF(LEFT(Regions!$D$3,1)&lt;&gt;"*",Regions!$D$3,""))</f>
        <v>IE</v>
      </c>
      <c r="AI16" s="329" t="str">
        <f>M16</f>
        <v>R-SH_Det_GAS_X0</v>
      </c>
      <c r="AJ16" s="329" t="str">
        <f>N16</f>
        <v>Residential Space Heating Detached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 t="shared" si="1"/>
        <v>5.0800166374851484E-2</v>
      </c>
      <c r="W18" s="853">
        <f>AC18/S18/Y18</f>
        <v>0.10160033274970297</v>
      </c>
      <c r="X18" s="431">
        <v>20</v>
      </c>
      <c r="Y18" s="429">
        <f>31.536*(AE18/1000)</f>
        <v>0.94608000000000003</v>
      </c>
      <c r="Z18" s="431"/>
      <c r="AA18" s="431"/>
      <c r="AB18" s="431"/>
      <c r="AC18" s="432">
        <f>AD18*U18</f>
        <v>0.20364501851913508</v>
      </c>
      <c r="AD18" s="432">
        <f>IF(((D17+I17)+D18+I18*$B$2)&lt;=0,0,((D17+I17+D18+I18)*T18*$B$2))</f>
        <v>0.37312009179012207</v>
      </c>
      <c r="AE18" s="431">
        <v>30</v>
      </c>
      <c r="AF18" s="315"/>
      <c r="AG18" s="329" t="s">
        <v>264</v>
      </c>
      <c r="AH18" s="329" t="str">
        <f>_xlfn.TEXTJOIN(",",TRUE,IF(LEFT(Regions!$C$3,1)&lt;&gt;"*",Regions!$C$3,""),IF(LEFT(Regions!$D$3,1)&lt;&gt;"*",Regions!$D$3,""))</f>
        <v>IE</v>
      </c>
      <c r="AI18" s="329" t="str">
        <f>M18</f>
        <v>R-SH_Det_PEA_X0</v>
      </c>
      <c r="AJ18" s="329" t="str">
        <f>N18</f>
        <v>Residential Space Heating Detached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 t="shared" si="1"/>
        <v>6.7418666937767061E-2</v>
      </c>
      <c r="W20" s="855">
        <f>SUM(AC20:AC22)/S20/Y20</f>
        <v>0.13483733387553412</v>
      </c>
      <c r="X20" s="437">
        <v>20</v>
      </c>
      <c r="Y20" s="851">
        <f>31.536*(AE20/1000)</f>
        <v>0.94608000000000003</v>
      </c>
      <c r="Z20" s="559">
        <f>RSD_Balance!$H$2</f>
        <v>0.19400000000000001</v>
      </c>
      <c r="AA20" s="437">
        <v>5</v>
      </c>
      <c r="AB20" s="437"/>
      <c r="AC20" s="438">
        <f>AD20*$U$20</f>
        <v>0.79122965645773691</v>
      </c>
      <c r="AD20" s="439">
        <f>IF(((D19+I19)*$B$2)&lt;=0,0,((D19+I19)*T20*$B$2))*Z20</f>
        <v>1.2870916766124514</v>
      </c>
      <c r="AE20" s="846">
        <v>30</v>
      </c>
      <c r="AF20" s="315"/>
      <c r="AG20" s="329" t="s">
        <v>264</v>
      </c>
      <c r="AH20" s="329" t="str">
        <f>_xlfn.TEXTJOIN(",",TRUE,IF(LEFT(Regions!$C$3,1)&lt;&gt;"*",Regions!$C$3,""),IF(LEFT(Regions!$D$3,1)&lt;&gt;"*",Regions!$D$3,""))</f>
        <v>IE</v>
      </c>
      <c r="AI20" s="329" t="str">
        <f>M20</f>
        <v>R-SH_Det_SMF_X0</v>
      </c>
      <c r="AJ20" s="329" t="str">
        <f>N20</f>
        <v>Residential Space Heating Detached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3.0344065175492592</v>
      </c>
      <c r="AD21" s="432">
        <f>IF(((D19+I19)*$B$2)&lt;=0,0,((D19+I19)*T20*$B$2))*Z21</f>
        <v>4.9360629247405354</v>
      </c>
      <c r="AE21" s="431">
        <v>30</v>
      </c>
      <c r="AF21" s="315"/>
      <c r="AG21" s="42" t="s">
        <v>264</v>
      </c>
      <c r="AH21" s="42" t="str">
        <f>_xlfn.TEXTJOIN(",",TRUE,IF(LEFT(Regions!$C$3,1)&lt;&gt;"*",Regions!$C$3,""),IF(LEFT(Regions!$D$3,1)&lt;&gt;"*",Regions!$D$3,""))</f>
        <v>IE</v>
      </c>
      <c r="AI21" s="42" t="str">
        <f>M23</f>
        <v>R-SH_Det_WOO_X0</v>
      </c>
      <c r="AJ21" s="42" t="str">
        <f>N23</f>
        <v>Residential Space Heating Detached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0.2528672097957716</v>
      </c>
      <c r="AD22" s="439">
        <f>IF(((D19+I19)*$B$2)&lt;=0,0,((D19+I19)*T20*$B$2))*Z22</f>
        <v>0.41133857706171129</v>
      </c>
      <c r="AE22" s="846">
        <v>30</v>
      </c>
      <c r="AF22" s="315"/>
      <c r="AG22" s="329" t="s">
        <v>264</v>
      </c>
      <c r="AH22" s="329" t="str">
        <f>_xlfn.TEXTJOIN(",",TRUE,IF(LEFT(Regions!$C$3,1)&lt;&gt;"*",Regions!$C$3,""),IF(LEFT(Regions!$D$3,1)&lt;&gt;"*",Regions!$D$3,""))</f>
        <v>IE</v>
      </c>
      <c r="AI22" s="329" t="str">
        <f>M24</f>
        <v>R-SH_Det_HET_X0</v>
      </c>
      <c r="AJ22" s="329" t="str">
        <f>N24</f>
        <v>Residential Space Heating Detached Heat to Residential Existing 00</v>
      </c>
      <c r="AK22" s="329" t="s">
        <v>13</v>
      </c>
      <c r="AL22" s="329" t="s">
        <v>273</v>
      </c>
      <c r="AM22" s="1213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 t="shared" ref="V23:V24" si="3">$AP$4*W23</f>
        <v>4.737629657130403E-2</v>
      </c>
      <c r="W23" s="853">
        <f>AC23/S23/Y23</f>
        <v>9.475259314260806E-2</v>
      </c>
      <c r="X23" s="431">
        <v>20</v>
      </c>
      <c r="Y23" s="429">
        <f t="shared" ref="Y23:Y24" si="4">31.536*(AE23/1000)</f>
        <v>0.94608000000000003</v>
      </c>
      <c r="Z23" s="431"/>
      <c r="AA23" s="431"/>
      <c r="AB23" s="431"/>
      <c r="AC23" s="432">
        <f>AD23*U23</f>
        <v>0.32441517590242908</v>
      </c>
      <c r="AD23" s="432">
        <f>IF(((D20+I20+D21+I21+D22+I22+D23+I23)*$B$2)&lt;=0,0,((D20+I20+D21+I21+D22+I22+D23+I23)*T23*$B$2))</f>
        <v>0.44483938096692227</v>
      </c>
      <c r="AE23" s="431">
        <v>30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v>0.98</v>
      </c>
      <c r="V24" s="855">
        <f t="shared" si="3"/>
        <v>0.15138685262679319</v>
      </c>
      <c r="W24" s="855">
        <f>AC24/S24/Y24</f>
        <v>0.30277370525358638</v>
      </c>
      <c r="X24" s="437">
        <v>20</v>
      </c>
      <c r="Y24" s="851">
        <f t="shared" si="4"/>
        <v>0.94608000000000003</v>
      </c>
      <c r="Z24" s="437"/>
      <c r="AA24" s="437"/>
      <c r="AB24" s="437"/>
      <c r="AC24" s="438">
        <f>AD24*U24</f>
        <v>0.1495533133502652</v>
      </c>
      <c r="AD24" s="439">
        <f>IF(((D24+I24)*$B$2)&lt;=0,0,((D24+I24)*T24*$B$2))</f>
        <v>0.15260542178598491</v>
      </c>
      <c r="AE24" s="846">
        <v>30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37.237988459509275</v>
      </c>
      <c r="AD27" s="420">
        <f>SUM(AD6:AD25)</f>
        <v>47.05153246028982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 t="shared" ref="V33:V46" si="5">$AP$4*W33</f>
        <v>3.5420540630131572E-2</v>
      </c>
      <c r="W33" s="853">
        <f>IFERROR(AC33/S33/Y33,0)</f>
        <v>7.0841081260263145E-2</v>
      </c>
      <c r="X33" s="431">
        <v>20</v>
      </c>
      <c r="Y33" s="429">
        <f t="shared" ref="Y33:Y38" si="6">31.536*(AE33/1000)</f>
        <v>0.25228800000000001</v>
      </c>
      <c r="Z33" s="431"/>
      <c r="AA33" s="431"/>
      <c r="AB33" s="431"/>
      <c r="AC33" s="432">
        <f>AD33*U33</f>
        <v>5.5737692953445911E-2</v>
      </c>
      <c r="AD33" s="432">
        <f>IF(((D31+I31+D38+I38+D40+I40)*$B$2)&lt;=0,0,((D31+I31+D38+I38+D40+I40)*T33*$B$2))</f>
        <v>8.9919331309012807E-2</v>
      </c>
      <c r="AE33" s="431">
        <v>8</v>
      </c>
      <c r="AF33" s="297"/>
      <c r="AG33" s="329" t="s">
        <v>264</v>
      </c>
      <c r="AH33" s="329" t="str">
        <f>_xlfn.TEXTJOIN(",",TRUE,IF(LEFT(Regions!$C$3,1)&lt;&gt;"*",Regions!$C$3,""),IF(LEFT(Regions!$D$3,1)&lt;&gt;"*",Regions!$D$3,""))</f>
        <v>IE</v>
      </c>
      <c r="AI33" s="329" t="str">
        <f t="shared" ref="AI33:AJ38" si="7">M33</f>
        <v>R-WH_Det_COA_X0</v>
      </c>
      <c r="AJ33" s="329" t="str">
        <f t="shared" si="7"/>
        <v>Residential Water Heating Detached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 t="shared" si="5"/>
        <v>2.1164383561643837E-2</v>
      </c>
      <c r="W34" s="855">
        <f>AC34/S34/Y34</f>
        <v>4.2328767123287675E-2</v>
      </c>
      <c r="X34" s="437">
        <v>20</v>
      </c>
      <c r="Y34" s="851">
        <f t="shared" si="6"/>
        <v>0.25228800000000001</v>
      </c>
      <c r="Z34" s="437"/>
      <c r="AA34" s="437"/>
      <c r="AB34" s="437"/>
      <c r="AC34" s="438">
        <f>AD34*U34</f>
        <v>5.9283934451653719E-5</v>
      </c>
      <c r="AD34" s="439">
        <f>IF(((D32+I32)*$B$2)&lt;=0,0,((D32+I32)*T34*$B$2))</f>
        <v>6.5871038279615243E-5</v>
      </c>
      <c r="AE34" s="846">
        <v>8</v>
      </c>
      <c r="AF34" s="297"/>
      <c r="AG34" s="42" t="s">
        <v>264</v>
      </c>
      <c r="AH34" s="42" t="str">
        <f>_xlfn.TEXTJOIN(",",TRUE,IF(LEFT(Regions!$C$3,1)&lt;&gt;"*",Regions!$C$3,""),IF(LEFT(Regions!$D$3,1)&lt;&gt;"*",Regions!$D$3,""))</f>
        <v>IE</v>
      </c>
      <c r="AI34" s="42" t="str">
        <f t="shared" si="7"/>
        <v>R-WH_Det_BDL_X0</v>
      </c>
      <c r="AJ34" s="42" t="str">
        <f t="shared" si="7"/>
        <v>Residential Water Heating Detached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 t="shared" si="5"/>
        <v>2.3973672945205481E-2</v>
      </c>
      <c r="W35" s="853">
        <f>IFERROR(AC35/S35/Y35,0)</f>
        <v>4.7947345890410963E-2</v>
      </c>
      <c r="X35" s="431">
        <v>20</v>
      </c>
      <c r="Y35" s="429">
        <f t="shared" si="6"/>
        <v>0.25228800000000001</v>
      </c>
      <c r="Z35" s="431"/>
      <c r="AA35" s="431"/>
      <c r="AB35" s="431"/>
      <c r="AC35" s="432">
        <f>IFERROR(AD35*U35,0)</f>
        <v>6.7153085338364426E-5</v>
      </c>
      <c r="AD35" s="432">
        <f>IF(((D33+I33)*$B$2)&lt;=0,0,((D33+I33)*T35*$B$2))</f>
        <v>7.4614539264849356E-5</v>
      </c>
      <c r="AE35" s="431">
        <v>8</v>
      </c>
      <c r="AF35" s="297"/>
      <c r="AG35" s="329" t="s">
        <v>264</v>
      </c>
      <c r="AH35" s="329" t="str">
        <f>_xlfn.TEXTJOIN(",",TRUE,IF(LEFT(Regions!$C$3,1)&lt;&gt;"*",Regions!$C$3,""),IF(LEFT(Regions!$D$3,1)&lt;&gt;"*",Regions!$D$3,""))</f>
        <v>IE</v>
      </c>
      <c r="AI35" s="329" t="str">
        <f t="shared" si="7"/>
        <v>R-WH_Det_ETH_X0</v>
      </c>
      <c r="AJ35" s="329" t="str">
        <f t="shared" si="7"/>
        <v>Residential Water Heating Detached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si="5"/>
        <v>3.3747121956413703E-2</v>
      </c>
      <c r="W36" s="855">
        <f>AC36/S36/Y36</f>
        <v>6.7494243912827406E-2</v>
      </c>
      <c r="X36" s="437">
        <v>20</v>
      </c>
      <c r="Y36" s="851">
        <f t="shared" si="6"/>
        <v>0.25228800000000001</v>
      </c>
      <c r="Z36" s="437"/>
      <c r="AA36" s="437"/>
      <c r="AB36" s="437"/>
      <c r="AC36" s="438">
        <f>AD36*U36</f>
        <v>0.25804472633350495</v>
      </c>
      <c r="AD36" s="439">
        <f>IF(((D34+I34+D35+I35)*$B$2)&lt;=0,0,((D34+I34+D35+I35)*T36*$B$2))</f>
        <v>0.31216935164322918</v>
      </c>
      <c r="AE36" s="846">
        <v>8</v>
      </c>
      <c r="AF36" s="297"/>
      <c r="AG36" s="42" t="s">
        <v>264</v>
      </c>
      <c r="AH36" s="42" t="str">
        <f>_xlfn.TEXTJOIN(",",TRUE,IF(LEFT(Regions!$C$3,1)&lt;&gt;"*",Regions!$C$3,""),IF(LEFT(Regions!$D$3,1)&lt;&gt;"*",Regions!$D$3,""))</f>
        <v>IE</v>
      </c>
      <c r="AI36" s="42" t="str">
        <f t="shared" si="7"/>
        <v>R-WH_Det_LPG_X0</v>
      </c>
      <c r="AJ36" s="42" t="str">
        <f t="shared" si="7"/>
        <v>Residential Water Heating Detached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5"/>
        <v>2.2341675372700414E-2</v>
      </c>
      <c r="W37" s="853">
        <f>AC37/S37/Y37</f>
        <v>4.4683350745400828E-2</v>
      </c>
      <c r="X37" s="431">
        <v>20</v>
      </c>
      <c r="Y37" s="429">
        <f t="shared" si="6"/>
        <v>0.25228800000000001</v>
      </c>
      <c r="Z37" s="431"/>
      <c r="AA37" s="431"/>
      <c r="AB37" s="431"/>
      <c r="AC37" s="432">
        <f>AD37*U37</f>
        <v>0.37866133198346114</v>
      </c>
      <c r="AD37" s="432">
        <f>IF(((D49+I49)*$B$2)&lt;=0,0,((D49+I49)*T37*$B$2))</f>
        <v>0.37884281357080046</v>
      </c>
      <c r="AE37" s="431">
        <v>8</v>
      </c>
      <c r="AF37" s="297"/>
      <c r="AG37" s="329" t="s">
        <v>264</v>
      </c>
      <c r="AH37" s="329" t="str">
        <f>_xlfn.TEXTJOIN(",",TRUE,IF(LEFT(Regions!$C$3,1)&lt;&gt;"*",Regions!$C$3,""),IF(LEFT(Regions!$D$3,1)&lt;&gt;"*",Regions!$D$3,""))</f>
        <v>IE</v>
      </c>
      <c r="AI37" s="329" t="str">
        <f t="shared" si="7"/>
        <v>R-WH_Det_ELC_X0</v>
      </c>
      <c r="AJ37" s="329" t="str">
        <f t="shared" si="7"/>
        <v>Residential Water Heating Detached Electricity to Residential Existing 00</v>
      </c>
      <c r="AK37" s="329" t="s">
        <v>13</v>
      </c>
      <c r="AL37" s="329" t="s">
        <v>273</v>
      </c>
      <c r="AM37" s="1213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5"/>
        <v>5.7380413222349359E-2</v>
      </c>
      <c r="W38" s="855">
        <f>AC38/S38/Y38</f>
        <v>0.11476082644469872</v>
      </c>
      <c r="X38" s="437">
        <v>20</v>
      </c>
      <c r="Y38" s="851">
        <f t="shared" si="6"/>
        <v>0.25228800000000001</v>
      </c>
      <c r="Z38" s="437"/>
      <c r="AA38" s="437"/>
      <c r="AB38" s="437"/>
      <c r="AC38" s="438">
        <f>AD38*U38</f>
        <v>0.39955296055783723</v>
      </c>
      <c r="AD38" s="439">
        <f>IF(((D49+I49)*$B$2)&lt;=0,0,((D49+I49)*T38*$B$2))</f>
        <v>0.12931421371774443</v>
      </c>
      <c r="AE38" s="846">
        <v>8</v>
      </c>
      <c r="AF38" s="297"/>
      <c r="AG38" s="42" t="s">
        <v>264</v>
      </c>
      <c r="AH38" s="42" t="str">
        <f>_xlfn.TEXTJOIN(",",TRUE,IF(LEFT(Regions!$C$3,1)&lt;&gt;"*",Regions!$C$3,""),IF(LEFT(Regions!$D$3,1)&lt;&gt;"*",Regions!$D$3,""))</f>
        <v>IE</v>
      </c>
      <c r="AI38" s="42" t="str">
        <f t="shared" si="7"/>
        <v>R-WH_Det_ELC_X1</v>
      </c>
      <c r="AJ38" s="42" t="str">
        <f t="shared" si="7"/>
        <v>Residential Water Heating Detached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0.25228800000000001</v>
      </c>
      <c r="Z39" s="437"/>
      <c r="AA39" s="437"/>
      <c r="AB39" s="437">
        <f>AD39/AC38</f>
        <v>0.21155551771388859</v>
      </c>
      <c r="AC39" s="438"/>
      <c r="AD39" s="439">
        <f>RSD_Balance!K22</f>
        <v>8.4527633424930165E-2</v>
      </c>
      <c r="AE39" s="846">
        <v>8</v>
      </c>
      <c r="AF39" s="297"/>
      <c r="AG39" s="329" t="s">
        <v>264</v>
      </c>
      <c r="AH39" s="329" t="str">
        <f>_xlfn.TEXTJOIN(",",TRUE,IF(LEFT(Regions!$C$3,1)&lt;&gt;"*",Regions!$C$3,""),IF(LEFT(Regions!$D$3,1)&lt;&gt;"*",Regions!$D$3,""))</f>
        <v>IE</v>
      </c>
      <c r="AI39" s="329" t="str">
        <f>M40</f>
        <v>R-WH_Det_KER_X0</v>
      </c>
      <c r="AJ39" s="329" t="str">
        <f>N40</f>
        <v>Residential Water Heating Detached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5"/>
        <v>2.6841401392523473E-2</v>
      </c>
      <c r="W40" s="853">
        <f>AC40/S40/Y40</f>
        <v>5.3682802785046946E-2</v>
      </c>
      <c r="X40" s="431">
        <v>20</v>
      </c>
      <c r="Y40" s="429">
        <f>31.536*(AE36/1000)</f>
        <v>0.25228800000000001</v>
      </c>
      <c r="Z40" s="431"/>
      <c r="AA40" s="431"/>
      <c r="AB40" s="431"/>
      <c r="AC40" s="432">
        <f>AD40*U40</f>
        <v>6.8714508690962726</v>
      </c>
      <c r="AD40" s="432">
        <f>IF(((D37+I37)*$B$2)&lt;=0,0,((D37+I37)*T40*$B$2))</f>
        <v>8.3512635505827024</v>
      </c>
      <c r="AE40" s="431">
        <v>8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_xlfn.TEXTJOIN(",",TRUE,IF(LEFT(Regions!$C$3,1)&lt;&gt;"*",Regions!$C$3,""),IF(LEFT(Regions!$D$3,1)&lt;&gt;"*",Regions!$D$3,""))</f>
        <v>IE</v>
      </c>
      <c r="AI41" s="329" t="str">
        <f>M42</f>
        <v>R-WH_Det_GAS_X0</v>
      </c>
      <c r="AJ41" s="329" t="str">
        <f>N42</f>
        <v>Residential Water Heating Detached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5"/>
        <v>2.1222902236361404E-2</v>
      </c>
      <c r="W42" s="853">
        <f>AC42/S42/Y42</f>
        <v>4.2445804472722809E-2</v>
      </c>
      <c r="X42" s="431">
        <v>20</v>
      </c>
      <c r="Y42" s="429">
        <f>31.536*(AE38/1000)</f>
        <v>0.25228800000000001</v>
      </c>
      <c r="Z42" s="431"/>
      <c r="AA42" s="431"/>
      <c r="AB42" s="431"/>
      <c r="AC42" s="432">
        <f>AD42*U42</f>
        <v>1.2235720413399669</v>
      </c>
      <c r="AD42" s="432">
        <f>IF(((D39+I39)*$B$2)&lt;=0,0,((D39+I39)*T42*$B$2))</f>
        <v>1.4790165698203828</v>
      </c>
      <c r="AE42" s="431">
        <v>8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_xlfn.TEXTJOIN(",",TRUE,IF(LEFT(Regions!$C$3,1)&lt;&gt;"*",Regions!$C$3,""),IF(LEFT(Regions!$D$3,1)&lt;&gt;"*",Regions!$D$3,""))</f>
        <v>IE</v>
      </c>
      <c r="AI43" s="329" t="str">
        <f>M44</f>
        <v>R-WH_Det_PEA_X0</v>
      </c>
      <c r="AJ43" s="329" t="str">
        <f>N44</f>
        <v>Residential Water Heating Detached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5"/>
        <v>1.1806050790323853E-2</v>
      </c>
      <c r="W44" s="853">
        <f>AC44/S44/Y44</f>
        <v>2.3612101580647707E-2</v>
      </c>
      <c r="X44" s="431">
        <v>20</v>
      </c>
      <c r="Y44" s="429">
        <f>31.536*(AE40/1000)</f>
        <v>0.25228800000000001</v>
      </c>
      <c r="Z44" s="431"/>
      <c r="AA44" s="431"/>
      <c r="AB44" s="431"/>
      <c r="AC44" s="432">
        <f>AD44*U44</f>
        <v>1.3095775698005184E-2</v>
      </c>
      <c r="AD44" s="432">
        <f>IF(((D41+I41+D42+I42)*$B$2)&lt;=0,0,((D41+I41+D42+I42)*T44*$B$2))</f>
        <v>2.3994188839160893E-2</v>
      </c>
      <c r="AE44" s="431">
        <v>8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_xlfn.TEXTJOIN(",",TRUE,IF(LEFT(Regions!$C$3,1)&lt;&gt;"*",Regions!$C$3,""),IF(LEFT(Regions!$D$3,1)&lt;&gt;"*",Regions!$D$3,""))</f>
        <v>IE</v>
      </c>
      <c r="AI45" s="329" t="str">
        <f>M46</f>
        <v>R-WH_Det_SMF_X0</v>
      </c>
      <c r="AJ45" s="329" t="str">
        <f>N46</f>
        <v>Residential Water Heating Detached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 t="shared" si="5"/>
        <v>2.1862274394018312E-2</v>
      </c>
      <c r="W46" s="855">
        <f>SUM(AC46:AC48)/S46/Y46</f>
        <v>4.3724548788036624E-2</v>
      </c>
      <c r="X46" s="437">
        <v>20</v>
      </c>
      <c r="Y46" s="851">
        <f>31.536*(AE42/1000)</f>
        <v>0.25228800000000001</v>
      </c>
      <c r="Z46" s="559">
        <f>RSD_Balance!$H$2</f>
        <v>0.19400000000000001</v>
      </c>
      <c r="AA46" s="437">
        <v>5</v>
      </c>
      <c r="AB46" s="437"/>
      <c r="AC46" s="438">
        <f>AD46*$U$46</f>
        <v>6.1299824268655767E-2</v>
      </c>
      <c r="AD46" s="439">
        <f>IF(((D43+I43)*$B$2)&lt;=0,0,((D43+I43)*T46*$B$2))*Z46</f>
        <v>9.9716299749448428E-2</v>
      </c>
      <c r="AE46" s="846">
        <v>8</v>
      </c>
      <c r="AF46" s="561"/>
      <c r="AG46" s="42" t="s">
        <v>264</v>
      </c>
      <c r="AH46" s="42" t="str">
        <f>_xlfn.TEXTJOIN(",",TRUE,IF(LEFT(Regions!$C$3,1)&lt;&gt;"*",Regions!$C$3,""),IF(LEFT(Regions!$D$3,1)&lt;&gt;"*",Regions!$D$3,""))</f>
        <v>IE</v>
      </c>
      <c r="AI46" s="42" t="str">
        <f t="shared" ref="AI46:AJ48" si="8">M49</f>
        <v>R-WH_Det_WOO_X0</v>
      </c>
      <c r="AJ46" s="42" t="str">
        <f t="shared" si="8"/>
        <v>Residential Water Heating Detached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 t="shared" ref="AC47:AC48" si="9">AD47*$U$46</f>
        <v>0.235087985855051</v>
      </c>
      <c r="AD47" s="432">
        <f>IF(((D43+I43)*$B$2)&lt;=0,0,((D43+I43)*T46*$B$2))*Z47</f>
        <v>0.38241714955458572</v>
      </c>
      <c r="AE47" s="431">
        <v>8</v>
      </c>
      <c r="AF47" s="297"/>
      <c r="AG47" s="329" t="s">
        <v>264</v>
      </c>
      <c r="AH47" s="329" t="str">
        <f>_xlfn.TEXTJOIN(",",TRUE,IF(LEFT(Regions!$C$3,1)&lt;&gt;"*",Regions!$C$3,""),IF(LEFT(Regions!$D$3,1)&lt;&gt;"*",Regions!$D$3,""))</f>
        <v>IE</v>
      </c>
      <c r="AI47" s="329" t="str">
        <f t="shared" si="8"/>
        <v>R-WH_Det_HET_X0</v>
      </c>
      <c r="AJ47" s="329" t="str">
        <f t="shared" si="8"/>
        <v>Residential Water Heating Detached Heat to Residential Existing 00</v>
      </c>
      <c r="AK47" s="329" t="s">
        <v>13</v>
      </c>
      <c r="AL47" s="445" t="s">
        <v>273</v>
      </c>
      <c r="AM47" s="1213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si="9"/>
        <v>1.9590665487920916E-2</v>
      </c>
      <c r="AD48" s="439">
        <f>IF(((D43+I43)*$B$2)&lt;=0,0,((D43+I43)*T46*$B$2))*Z48</f>
        <v>3.1868095796215475E-2</v>
      </c>
      <c r="AE48" s="846">
        <v>8</v>
      </c>
      <c r="AF48" s="297"/>
      <c r="AG48" s="42" t="s">
        <v>264</v>
      </c>
      <c r="AH48" s="42" t="str">
        <f>_xlfn.TEXTJOIN(",",TRUE,IF(LEFT(Regions!$C$3,1)&lt;&gt;"*",Regions!$C$3,""),IF(LEFT(Regions!$D$3,1)&lt;&gt;"*",Regions!$D$3,""))</f>
        <v>IE</v>
      </c>
      <c r="AI48" s="42" t="str">
        <f t="shared" si="8"/>
        <v>R-WH_Det_SOL_X0</v>
      </c>
      <c r="AJ48" s="42" t="str">
        <f t="shared" si="8"/>
        <v>Residential Water Heating Detached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1" si="10">$AP$4*W49</f>
        <v>2.8301071477560637E-2</v>
      </c>
      <c r="W49" s="853">
        <f>AC49/S49/Y49</f>
        <v>5.6602142955121275E-2</v>
      </c>
      <c r="X49" s="431">
        <v>20</v>
      </c>
      <c r="Y49" s="429">
        <f t="shared" ref="Y49:Y51" si="11">31.536*(AE49/1000)</f>
        <v>0.25228800000000001</v>
      </c>
      <c r="Z49" s="431"/>
      <c r="AA49" s="431"/>
      <c r="AB49" s="431"/>
      <c r="AC49" s="432">
        <f>AD49*U49</f>
        <v>5.0537582358898145E-2</v>
      </c>
      <c r="AD49" s="432">
        <f>IF(((D44+I44+D45+I45+D46+I46+D47+I47)*$B$2)&lt;=0,0,((D44+I44+D45+I45+D46+I46+D47+I47)*T49*$B$2))</f>
        <v>6.9297334163117286E-2</v>
      </c>
      <c r="AE49" s="431">
        <v>8</v>
      </c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0.98</v>
      </c>
      <c r="V50" s="855">
        <f t="shared" si="10"/>
        <v>3.7964873281759177E-3</v>
      </c>
      <c r="W50" s="855">
        <f>AC50/S50/Y50</f>
        <v>7.5929746563518355E-3</v>
      </c>
      <c r="X50" s="437">
        <v>20</v>
      </c>
      <c r="Y50" s="851">
        <f t="shared" si="11"/>
        <v>0.25228800000000001</v>
      </c>
      <c r="Z50" s="437"/>
      <c r="AA50" s="437"/>
      <c r="AB50" s="437"/>
      <c r="AC50" s="438">
        <f>AD50*U50</f>
        <v>1.0102688320301927E-3</v>
      </c>
      <c r="AD50" s="439">
        <f>IF(((D48+I48)*$B$2)&lt;=0,0,((D48+I48)*T50*$B$2))</f>
        <v>1.030886563296115E-3</v>
      </c>
      <c r="AE50" s="846">
        <v>8</v>
      </c>
      <c r="AF50" s="315"/>
      <c r="AG50" s="297"/>
      <c r="AH50" s="297"/>
      <c r="AI50" s="297"/>
      <c r="AJ50" s="297"/>
      <c r="AK50" s="297"/>
      <c r="AL50" s="297"/>
      <c r="AM50" s="297"/>
      <c r="AN50" s="297"/>
      <c r="AO50" s="297"/>
      <c r="AP50" s="296"/>
    </row>
    <row r="51" spans="1:44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 t="shared" si="10"/>
        <v>7.2288150456288863E-2</v>
      </c>
      <c r="W51" s="853">
        <f>AC51/S51/Y51</f>
        <v>0.14457630091257773</v>
      </c>
      <c r="X51" s="431">
        <v>20</v>
      </c>
      <c r="Y51" s="429">
        <f t="shared" si="11"/>
        <v>0.25228800000000001</v>
      </c>
      <c r="Z51" s="431"/>
      <c r="AA51" s="431"/>
      <c r="AB51" s="431"/>
      <c r="AC51" s="432">
        <f>AD51*U51</f>
        <v>0.26608393894100396</v>
      </c>
      <c r="AD51" s="432">
        <f>RSD_Balance!K18</f>
        <v>0.26608393894100396</v>
      </c>
      <c r="AE51" s="431">
        <v>8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9.8338521007258421</v>
      </c>
      <c r="AD54" s="420">
        <f>SUM(AD31:AD52)</f>
        <v>11.699601843253173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R-LT_Det_X0</v>
      </c>
      <c r="AJ58" s="329" t="str">
        <f>N59</f>
        <v>Residential Lighting Detached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 t="shared" ref="V59:V60" si="12">$AP$4*W59</f>
        <v>0.2451831612927404</v>
      </c>
      <c r="W59" s="853">
        <f>AC59/S59/Y59</f>
        <v>0.4903663225854808</v>
      </c>
      <c r="X59" s="431">
        <v>10</v>
      </c>
      <c r="Y59" s="428">
        <f t="shared" ref="Y59:Y60" si="13">31.536*(AE59/1000)</f>
        <v>3.0747599999999997E-3</v>
      </c>
      <c r="Z59" s="431"/>
      <c r="AA59" s="431"/>
      <c r="AB59" s="431"/>
      <c r="AC59" s="432">
        <f>AD59*U59</f>
        <v>1.0999091549636648</v>
      </c>
      <c r="AD59" s="432">
        <f>IF(((D54+D55+D56+D57+D58+D59+D60+D61+D62)*$B$2)&lt;=0,0,((D54+D55+D56+D57+D58+D59+D60+D61+D62)*T59*$B$2))</f>
        <v>2.7497728874091618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R-PF_Det_X0</v>
      </c>
      <c r="AJ59" s="433" t="str">
        <f>N60</f>
        <v>Residential Pumps &amp; Fans Detached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si="12"/>
        <v>0.14927254897056585</v>
      </c>
      <c r="W60" s="860">
        <f>AC60/S60/Y60</f>
        <v>0.29854509794113171</v>
      </c>
      <c r="X60" s="861">
        <v>15</v>
      </c>
      <c r="Y60" s="862">
        <f t="shared" si="13"/>
        <v>1.5768000000000002E-3</v>
      </c>
      <c r="Z60" s="861"/>
      <c r="AA60" s="861"/>
      <c r="AB60" s="861"/>
      <c r="AC60" s="863">
        <f>AD60*U60</f>
        <v>0.34340887437240958</v>
      </c>
      <c r="AD60" s="439">
        <f>IF(((F54+F55+F56+F57+F58+F59+F60+F61+F62)*$B$2)&lt;=0,0,((F54+F55+F56+F57+F58+F59+F60+F61+F62)*T60*$B$2))</f>
        <v>0.57234812395401602</v>
      </c>
      <c r="AE60" s="845">
        <v>0.05</v>
      </c>
      <c r="AF60" s="297"/>
    </row>
    <row r="61" spans="1:44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1">
      <c r="AD70"/>
      <c r="AE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N62" zoomScale="55" zoomScaleNormal="55" workbookViewId="0">
      <selection activeCell="BF87" sqref="BF87:BH120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97" t="s">
        <v>631</v>
      </c>
      <c r="X16" s="1297"/>
      <c r="Y16" s="1297"/>
      <c r="Z16" s="1297" t="s">
        <v>632</v>
      </c>
      <c r="AA16" s="1297"/>
      <c r="AB16" s="1297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97" t="s">
        <v>1072</v>
      </c>
      <c r="I17" s="1297"/>
      <c r="J17" s="1297"/>
      <c r="K17" s="1297"/>
      <c r="L17" s="1297"/>
      <c r="M17" s="460"/>
      <c r="N17" s="1314" t="s">
        <v>1071</v>
      </c>
      <c r="O17" s="1315"/>
      <c r="P17" s="1315"/>
      <c r="Q17" s="1315"/>
      <c r="R17" s="1316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70" t="s">
        <v>284</v>
      </c>
      <c r="O18" s="258" t="s">
        <v>293</v>
      </c>
      <c r="P18" s="258" t="s">
        <v>44</v>
      </c>
      <c r="Q18" s="258" t="s">
        <v>46</v>
      </c>
      <c r="R18" s="1171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6">
        <f t="shared" ref="L19:L27" si="4">SUM(I19:K19)</f>
        <v>82980.678921539598</v>
      </c>
      <c r="M19" s="460"/>
      <c r="N19" s="1172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3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7">
        <f t="shared" si="4"/>
        <v>26430.9709418846</v>
      </c>
      <c r="M20" s="460"/>
      <c r="N20" s="1174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5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8">
        <f t="shared" si="4"/>
        <v>51677.889576076108</v>
      </c>
      <c r="M21" s="460"/>
      <c r="N21" s="1176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7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7">
        <f t="shared" si="4"/>
        <v>123159.54010496697</v>
      </c>
      <c r="M22" s="460"/>
      <c r="N22" s="1174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5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8">
        <f t="shared" si="4"/>
        <v>592375.26452582516</v>
      </c>
      <c r="M23" s="460"/>
      <c r="N23" s="1176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7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7">
        <f t="shared" si="4"/>
        <v>398034.15543850785</v>
      </c>
      <c r="M24" s="460"/>
      <c r="N24" s="1174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5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8">
        <f t="shared" si="4"/>
        <v>208583.47042416356</v>
      </c>
      <c r="M25" s="390" t="s">
        <v>566</v>
      </c>
      <c r="N25" s="1176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7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7">
        <f t="shared" si="4"/>
        <v>105695.98501717232</v>
      </c>
      <c r="M26" s="460"/>
      <c r="N26" s="1174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5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8">
        <f t="shared" si="4"/>
        <v>146353.38004986354</v>
      </c>
      <c r="M27" s="460"/>
      <c r="N27" s="1176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7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8">
        <f>SUM(K19:K27)</f>
        <v>735406.72899999993</v>
      </c>
      <c r="L28" s="1129">
        <f>SUM(I28:K28)</f>
        <v>1735291.3349999997</v>
      </c>
      <c r="M28" s="460"/>
      <c r="N28" s="1178" t="s">
        <v>216</v>
      </c>
      <c r="O28" s="1179">
        <f>SUM(O19:O27)</f>
        <v>211739.48952455298</v>
      </c>
      <c r="P28" s="1179">
        <f>SUM(P19:P27)</f>
        <v>776104.35365928081</v>
      </c>
      <c r="Q28" s="1180">
        <f>SUM(Q19:Q27)</f>
        <v>729499.43220136687</v>
      </c>
      <c r="R28" s="1181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13" t="s">
        <v>1073</v>
      </c>
      <c r="J31" s="1313"/>
      <c r="K31" s="1313"/>
      <c r="L31" s="1313"/>
      <c r="M31" s="1313"/>
      <c r="N31" s="1313"/>
      <c r="O31" s="1313"/>
      <c r="P31" s="1313"/>
      <c r="Q31" s="1313"/>
      <c r="R31" s="1313"/>
      <c r="S31" s="1313"/>
      <c r="T31" s="1313"/>
      <c r="U31" s="1313"/>
      <c r="V31" s="1313"/>
      <c r="W31" s="1313"/>
      <c r="X31" s="1313"/>
      <c r="Y31" s="1313"/>
      <c r="Z31" s="1313"/>
      <c r="AA31" s="1313"/>
      <c r="AB31" s="1313"/>
      <c r="AC31" s="1313"/>
      <c r="AD31" s="1313"/>
      <c r="AE31" s="1313"/>
      <c r="AF31" s="1313"/>
      <c r="AG31" s="1313"/>
      <c r="AH31" s="1313"/>
      <c r="AI31" s="1313"/>
      <c r="AJ31" s="1313"/>
      <c r="AK31" s="1313"/>
      <c r="AL31" s="1313"/>
      <c r="AM31" s="1313"/>
      <c r="AN31" s="1313"/>
      <c r="AO31" s="1313"/>
      <c r="AP31" s="1313"/>
      <c r="AQ31" s="1313"/>
      <c r="AR31" s="1313"/>
      <c r="AS31" s="1313"/>
      <c r="AT31" s="1313"/>
      <c r="AU31" s="1313"/>
      <c r="AV31" s="1313"/>
      <c r="AW31" s="1313"/>
      <c r="AX31" s="1313"/>
      <c r="AY31" s="1313"/>
      <c r="AZ31" s="1313"/>
      <c r="BA31" s="1313"/>
      <c r="BB31" s="1313"/>
      <c r="BC31" s="1313"/>
      <c r="BD31" s="1313"/>
      <c r="BE31" s="1313"/>
      <c r="BF31" s="1313"/>
      <c r="BG31" s="1313"/>
      <c r="BH31" s="1313"/>
      <c r="BI31" s="1313"/>
      <c r="BJ31" s="1313"/>
      <c r="BK31" s="1313"/>
      <c r="BL31" s="1313"/>
      <c r="BM31" s="1313"/>
      <c r="BN31" s="1313"/>
      <c r="BO31" s="1313"/>
      <c r="BP31" s="1313"/>
      <c r="BQ31" s="1313"/>
      <c r="BR31" s="1313"/>
      <c r="BS31" s="1313"/>
      <c r="BT31" s="1313"/>
      <c r="BU31" s="1313"/>
      <c r="BV31" s="1313"/>
      <c r="BW31" s="1313"/>
      <c r="BX31" s="1313"/>
      <c r="BY31" s="1313"/>
      <c r="BZ31" s="1313"/>
      <c r="CA31" s="1313"/>
      <c r="CB31" s="1313"/>
      <c r="CC31" s="1313"/>
      <c r="CD31" s="1313"/>
      <c r="CE31" s="1313"/>
      <c r="CF31" s="1313"/>
      <c r="CG31" s="1313"/>
      <c r="CH31" s="1313"/>
    </row>
    <row r="32" spans="1:102" ht="15.75" thickBot="1">
      <c r="C32" s="297"/>
      <c r="I32" s="257" t="s">
        <v>292</v>
      </c>
      <c r="J32" s="1049" t="s">
        <v>292</v>
      </c>
      <c r="K32" s="1051" t="s">
        <v>292</v>
      </c>
      <c r="L32" s="257" t="s">
        <v>334</v>
      </c>
      <c r="M32" s="1049" t="s">
        <v>334</v>
      </c>
      <c r="N32" s="1051" t="s">
        <v>334</v>
      </c>
      <c r="O32" s="257" t="s">
        <v>323</v>
      </c>
      <c r="P32" s="1049" t="s">
        <v>323</v>
      </c>
      <c r="Q32" s="1051" t="s">
        <v>323</v>
      </c>
      <c r="R32" s="257" t="s">
        <v>324</v>
      </c>
      <c r="S32" s="1049" t="s">
        <v>324</v>
      </c>
      <c r="T32" s="1051" t="s">
        <v>324</v>
      </c>
      <c r="U32" s="257" t="s">
        <v>325</v>
      </c>
      <c r="V32" s="1049" t="s">
        <v>325</v>
      </c>
      <c r="W32" s="1051" t="s">
        <v>325</v>
      </c>
      <c r="X32" s="257" t="s">
        <v>327</v>
      </c>
      <c r="Y32" s="1049" t="s">
        <v>327</v>
      </c>
      <c r="Z32" s="1051" t="s">
        <v>327</v>
      </c>
      <c r="AA32" s="257" t="s">
        <v>328</v>
      </c>
      <c r="AB32" s="1049" t="s">
        <v>328</v>
      </c>
      <c r="AC32" s="1051" t="s">
        <v>328</v>
      </c>
      <c r="AD32" s="257" t="s">
        <v>329</v>
      </c>
      <c r="AE32" s="1049" t="s">
        <v>329</v>
      </c>
      <c r="AF32" s="1051" t="s">
        <v>329</v>
      </c>
      <c r="AG32" s="257" t="s">
        <v>331</v>
      </c>
      <c r="AH32" s="1049" t="s">
        <v>331</v>
      </c>
      <c r="AI32" s="1051" t="s">
        <v>331</v>
      </c>
      <c r="AJ32" s="257" t="s">
        <v>332</v>
      </c>
      <c r="AK32" s="1049" t="s">
        <v>332</v>
      </c>
      <c r="AL32" s="1051" t="s">
        <v>332</v>
      </c>
      <c r="AM32" s="257" t="s">
        <v>333</v>
      </c>
      <c r="AN32" s="1049" t="s">
        <v>333</v>
      </c>
      <c r="AO32" s="1051" t="s">
        <v>333</v>
      </c>
      <c r="AP32" s="257" t="s">
        <v>335</v>
      </c>
      <c r="AQ32" s="1049" t="s">
        <v>335</v>
      </c>
      <c r="AR32" s="1051" t="s">
        <v>335</v>
      </c>
      <c r="AS32" s="257" t="s">
        <v>322</v>
      </c>
      <c r="AT32" s="1049" t="s">
        <v>322</v>
      </c>
      <c r="AU32" s="1051" t="s">
        <v>322</v>
      </c>
      <c r="AV32" s="257" t="s">
        <v>326</v>
      </c>
      <c r="AW32" s="1049" t="s">
        <v>326</v>
      </c>
      <c r="AX32" s="1051" t="s">
        <v>326</v>
      </c>
      <c r="AY32" s="257" t="s">
        <v>337</v>
      </c>
      <c r="AZ32" s="1049" t="s">
        <v>337</v>
      </c>
      <c r="BA32" s="1051" t="s">
        <v>337</v>
      </c>
      <c r="BB32" s="257" t="s">
        <v>338</v>
      </c>
      <c r="BC32" s="1049" t="s">
        <v>338</v>
      </c>
      <c r="BD32" s="1051" t="s">
        <v>338</v>
      </c>
      <c r="BE32" s="257" t="s">
        <v>339</v>
      </c>
      <c r="BF32" s="1049" t="s">
        <v>339</v>
      </c>
      <c r="BG32" s="1051" t="s">
        <v>339</v>
      </c>
      <c r="BH32" s="257" t="s">
        <v>340</v>
      </c>
      <c r="BI32" s="1049" t="s">
        <v>340</v>
      </c>
      <c r="BJ32" s="1051" t="s">
        <v>340</v>
      </c>
      <c r="BK32" s="257" t="s">
        <v>336</v>
      </c>
      <c r="BL32" s="1049" t="s">
        <v>336</v>
      </c>
      <c r="BM32" s="1051" t="s">
        <v>336</v>
      </c>
      <c r="BN32" s="257" t="s">
        <v>341</v>
      </c>
      <c r="BO32" s="1049" t="s">
        <v>341</v>
      </c>
      <c r="BP32" s="1051" t="s">
        <v>341</v>
      </c>
      <c r="BQ32" s="257" t="s">
        <v>342</v>
      </c>
      <c r="BR32" s="1049" t="s">
        <v>342</v>
      </c>
      <c r="BS32" s="1051" t="s">
        <v>342</v>
      </c>
      <c r="BT32" s="257" t="s">
        <v>343</v>
      </c>
      <c r="BU32" s="1049" t="s">
        <v>343</v>
      </c>
      <c r="BV32" s="1051" t="s">
        <v>343</v>
      </c>
      <c r="BW32" s="257" t="s">
        <v>344</v>
      </c>
      <c r="BX32" s="1049" t="s">
        <v>344</v>
      </c>
      <c r="BY32" s="1051" t="s">
        <v>344</v>
      </c>
      <c r="BZ32" s="257" t="s">
        <v>304</v>
      </c>
      <c r="CA32" s="1049" t="s">
        <v>304</v>
      </c>
      <c r="CB32" s="1051" t="s">
        <v>304</v>
      </c>
      <c r="CC32" s="257" t="s">
        <v>330</v>
      </c>
      <c r="CD32" s="1049" t="s">
        <v>330</v>
      </c>
      <c r="CE32" s="1051" t="s">
        <v>330</v>
      </c>
      <c r="CF32" s="257" t="s">
        <v>345</v>
      </c>
      <c r="CG32" s="1049" t="s">
        <v>345</v>
      </c>
      <c r="CH32" s="1051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2" t="s">
        <v>293</v>
      </c>
      <c r="J33" s="1042" t="s">
        <v>44</v>
      </c>
      <c r="K33" s="1053" t="s">
        <v>46</v>
      </c>
      <c r="L33" s="1052" t="s">
        <v>293</v>
      </c>
      <c r="M33" s="1042" t="s">
        <v>44</v>
      </c>
      <c r="N33" s="1053" t="s">
        <v>46</v>
      </c>
      <c r="O33" s="1052" t="s">
        <v>293</v>
      </c>
      <c r="P33" s="1042" t="s">
        <v>44</v>
      </c>
      <c r="Q33" s="1053" t="s">
        <v>46</v>
      </c>
      <c r="R33" s="1052" t="s">
        <v>293</v>
      </c>
      <c r="S33" s="1042" t="s">
        <v>44</v>
      </c>
      <c r="T33" s="1053" t="s">
        <v>46</v>
      </c>
      <c r="U33" s="1052" t="s">
        <v>293</v>
      </c>
      <c r="V33" s="1042" t="s">
        <v>44</v>
      </c>
      <c r="W33" s="1053" t="s">
        <v>46</v>
      </c>
      <c r="X33" s="1052" t="s">
        <v>293</v>
      </c>
      <c r="Y33" s="1042" t="s">
        <v>44</v>
      </c>
      <c r="Z33" s="1053" t="s">
        <v>46</v>
      </c>
      <c r="AA33" s="1052" t="s">
        <v>293</v>
      </c>
      <c r="AB33" s="1042" t="s">
        <v>44</v>
      </c>
      <c r="AC33" s="1053" t="s">
        <v>46</v>
      </c>
      <c r="AD33" s="1052" t="s">
        <v>293</v>
      </c>
      <c r="AE33" s="1042" t="s">
        <v>44</v>
      </c>
      <c r="AF33" s="1053" t="s">
        <v>46</v>
      </c>
      <c r="AG33" s="1052" t="s">
        <v>293</v>
      </c>
      <c r="AH33" s="1042" t="s">
        <v>44</v>
      </c>
      <c r="AI33" s="1053" t="s">
        <v>46</v>
      </c>
      <c r="AJ33" s="1052" t="s">
        <v>293</v>
      </c>
      <c r="AK33" s="1042" t="s">
        <v>44</v>
      </c>
      <c r="AL33" s="1053" t="s">
        <v>46</v>
      </c>
      <c r="AM33" s="1052" t="s">
        <v>293</v>
      </c>
      <c r="AN33" s="1042" t="s">
        <v>44</v>
      </c>
      <c r="AO33" s="1053" t="s">
        <v>46</v>
      </c>
      <c r="AP33" s="1052" t="s">
        <v>293</v>
      </c>
      <c r="AQ33" s="1042" t="s">
        <v>44</v>
      </c>
      <c r="AR33" s="1053" t="s">
        <v>46</v>
      </c>
      <c r="AS33" s="1052" t="s">
        <v>293</v>
      </c>
      <c r="AT33" s="1042" t="s">
        <v>44</v>
      </c>
      <c r="AU33" s="1053" t="s">
        <v>46</v>
      </c>
      <c r="AV33" s="1052" t="s">
        <v>293</v>
      </c>
      <c r="AW33" s="1042" t="s">
        <v>44</v>
      </c>
      <c r="AX33" s="1053" t="s">
        <v>46</v>
      </c>
      <c r="AY33" s="1052" t="s">
        <v>293</v>
      </c>
      <c r="AZ33" s="1042" t="s">
        <v>44</v>
      </c>
      <c r="BA33" s="1053" t="s">
        <v>46</v>
      </c>
      <c r="BB33" s="1052" t="s">
        <v>293</v>
      </c>
      <c r="BC33" s="1042" t="s">
        <v>44</v>
      </c>
      <c r="BD33" s="1053" t="s">
        <v>46</v>
      </c>
      <c r="BE33" s="1052" t="s">
        <v>293</v>
      </c>
      <c r="BF33" s="1042" t="s">
        <v>44</v>
      </c>
      <c r="BG33" s="1053" t="s">
        <v>46</v>
      </c>
      <c r="BH33" s="1052" t="s">
        <v>293</v>
      </c>
      <c r="BI33" s="1042" t="s">
        <v>44</v>
      </c>
      <c r="BJ33" s="1053" t="s">
        <v>46</v>
      </c>
      <c r="BK33" s="1052" t="s">
        <v>293</v>
      </c>
      <c r="BL33" s="1042" t="s">
        <v>44</v>
      </c>
      <c r="BM33" s="1053" t="s">
        <v>46</v>
      </c>
      <c r="BN33" s="1052" t="s">
        <v>293</v>
      </c>
      <c r="BO33" s="1042" t="s">
        <v>44</v>
      </c>
      <c r="BP33" s="1053" t="s">
        <v>46</v>
      </c>
      <c r="BQ33" s="1052" t="s">
        <v>293</v>
      </c>
      <c r="BR33" s="1042" t="s">
        <v>44</v>
      </c>
      <c r="BS33" s="1053" t="s">
        <v>46</v>
      </c>
      <c r="BT33" s="1052" t="s">
        <v>293</v>
      </c>
      <c r="BU33" s="1042" t="s">
        <v>44</v>
      </c>
      <c r="BV33" s="1053" t="s">
        <v>46</v>
      </c>
      <c r="BW33" s="1052" t="s">
        <v>293</v>
      </c>
      <c r="BX33" s="1042" t="s">
        <v>44</v>
      </c>
      <c r="BY33" s="1053" t="s">
        <v>46</v>
      </c>
      <c r="BZ33" s="1052" t="s">
        <v>293</v>
      </c>
      <c r="CA33" s="1042" t="s">
        <v>44</v>
      </c>
      <c r="CB33" s="1053" t="s">
        <v>46</v>
      </c>
      <c r="CC33" s="1052" t="s">
        <v>293</v>
      </c>
      <c r="CD33" s="1042" t="s">
        <v>44</v>
      </c>
      <c r="CE33" s="1053" t="s">
        <v>46</v>
      </c>
      <c r="CF33" s="1052" t="s">
        <v>293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216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307" t="s">
        <v>285</v>
      </c>
      <c r="C48" s="1308"/>
      <c r="D48" s="1308"/>
      <c r="E48" s="1308"/>
      <c r="F48" s="1308"/>
      <c r="G48" s="1308"/>
      <c r="H48" s="1308"/>
      <c r="I48" s="1308"/>
      <c r="J48" s="1308"/>
      <c r="K48" s="1308"/>
      <c r="L48" s="1309"/>
      <c r="M48" s="1300" t="s">
        <v>1074</v>
      </c>
      <c r="N48" s="1301"/>
      <c r="O48" s="1302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922</v>
      </c>
      <c r="AS49" s="460"/>
      <c r="BI49" s="1190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97" t="s">
        <v>1068</v>
      </c>
      <c r="AN50" s="1297"/>
      <c r="AO50" s="1297"/>
      <c r="AP50" s="1297"/>
      <c r="AQ50" s="1297"/>
      <c r="AR50" s="1297"/>
      <c r="AS50" s="1190"/>
      <c r="AT50" s="1190"/>
      <c r="AU50" s="1190"/>
      <c r="AV50" s="1190"/>
      <c r="AY50" s="1190"/>
      <c r="AZ50" s="1297" t="s">
        <v>1089</v>
      </c>
      <c r="BA50" s="1297"/>
      <c r="BB50" s="1297"/>
      <c r="BC50" s="1297"/>
      <c r="BD50" s="1297"/>
      <c r="BE50" s="1297"/>
      <c r="BF50" s="1297"/>
      <c r="BG50" s="1297"/>
      <c r="BH50" s="1297"/>
      <c r="BI50" s="1190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2" t="s">
        <v>924</v>
      </c>
      <c r="AN51" s="1043" t="s">
        <v>923</v>
      </c>
      <c r="AO51" s="1043" t="s">
        <v>889</v>
      </c>
      <c r="AP51" s="1043" t="s">
        <v>890</v>
      </c>
      <c r="AQ51" s="1043" t="s">
        <v>42</v>
      </c>
      <c r="AR51" s="1043" t="s">
        <v>216</v>
      </c>
      <c r="AS51" s="1190"/>
      <c r="AT51" s="1190"/>
      <c r="AU51" s="1190"/>
      <c r="AV51" s="1190"/>
      <c r="AX51" s="1190"/>
      <c r="AY51" s="1117" t="s">
        <v>923</v>
      </c>
      <c r="AZ51" s="1117" t="s">
        <v>923</v>
      </c>
      <c r="BA51" s="1117" t="s">
        <v>889</v>
      </c>
      <c r="BB51" s="1117" t="s">
        <v>890</v>
      </c>
      <c r="BC51" s="1117" t="s">
        <v>42</v>
      </c>
      <c r="BD51" s="1117" t="s">
        <v>216</v>
      </c>
      <c r="BE51" s="1197" t="s">
        <v>46</v>
      </c>
      <c r="BF51" s="1197" t="s">
        <v>44</v>
      </c>
      <c r="BG51" s="1198" t="s">
        <v>293</v>
      </c>
      <c r="BH51" s="1198" t="s">
        <v>1088</v>
      </c>
      <c r="BI51" s="1190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0"/>
      <c r="AT52" s="1190"/>
      <c r="AU52" s="1190"/>
      <c r="AV52" s="1190"/>
      <c r="AX52" s="1190"/>
      <c r="AY52" s="1193" t="s">
        <v>326</v>
      </c>
      <c r="AZ52" s="1195" t="s">
        <v>891</v>
      </c>
      <c r="BA52" s="1190">
        <v>5911</v>
      </c>
      <c r="BB52" s="1190">
        <v>7905</v>
      </c>
      <c r="BC52" s="1190">
        <v>983</v>
      </c>
      <c r="BD52" s="1190">
        <f>SUM(BA52:BC52)</f>
        <v>14799</v>
      </c>
      <c r="BE52" s="1192">
        <f>BA52/BD52</f>
        <v>0.39941887965403067</v>
      </c>
      <c r="BF52" s="1192">
        <f>BB52/BD52</f>
        <v>0.53415771335901074</v>
      </c>
      <c r="BG52" s="1192">
        <f>BC52/BD52</f>
        <v>6.6423406986958575E-2</v>
      </c>
      <c r="BH52" s="1192">
        <f>SUM(BE52:BG52)</f>
        <v>1</v>
      </c>
      <c r="BI52" s="1190"/>
      <c r="BJ52" s="1191"/>
      <c r="BK52" s="1191"/>
      <c r="BL52" s="1191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0"/>
      <c r="AT53" s="1190"/>
      <c r="AU53" s="1190"/>
      <c r="AV53" s="1190"/>
      <c r="AX53" s="1190"/>
      <c r="AY53" s="1194" t="s">
        <v>322</v>
      </c>
      <c r="AZ53" s="1196" t="s">
        <v>892</v>
      </c>
      <c r="BA53" s="1190">
        <v>1801</v>
      </c>
      <c r="BB53" s="1190">
        <v>962</v>
      </c>
      <c r="BC53" s="1190">
        <v>87</v>
      </c>
      <c r="BD53" s="1190">
        <f t="shared" ref="BD53:BD82" si="14">SUM(BA53:BC53)</f>
        <v>2850</v>
      </c>
      <c r="BE53" s="1192">
        <f t="shared" ref="BE53:BE82" si="15">BA53/BD53</f>
        <v>0.63192982456140356</v>
      </c>
      <c r="BF53" s="1192">
        <f t="shared" ref="BF53:BF82" si="16">BB53/BD53</f>
        <v>0.33754385964912281</v>
      </c>
      <c r="BG53" s="1192">
        <f t="shared" ref="BG53:BG82" si="17">BC53/BD53</f>
        <v>3.0526315789473683E-2</v>
      </c>
      <c r="BH53" s="1192">
        <f t="shared" ref="BH53:BH82" si="18">SUM(BE53:BG53)</f>
        <v>1</v>
      </c>
      <c r="BJ53" s="1191"/>
      <c r="BK53" s="1191"/>
      <c r="BL53" s="1191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0"/>
      <c r="AT54" s="1190"/>
      <c r="AU54" s="1190"/>
      <c r="AV54" s="1190"/>
      <c r="AX54" s="1190"/>
      <c r="AY54" s="1193" t="s">
        <v>304</v>
      </c>
      <c r="AZ54" s="1195" t="s">
        <v>893</v>
      </c>
      <c r="BA54" s="1190">
        <v>1125</v>
      </c>
      <c r="BB54" s="1190">
        <v>362</v>
      </c>
      <c r="BC54" s="1190">
        <v>78</v>
      </c>
      <c r="BD54" s="1190">
        <f t="shared" si="14"/>
        <v>1565</v>
      </c>
      <c r="BE54" s="1192">
        <f t="shared" si="15"/>
        <v>0.71884984025559107</v>
      </c>
      <c r="BF54" s="1192">
        <f t="shared" si="16"/>
        <v>0.23130990415335465</v>
      </c>
      <c r="BG54" s="1192">
        <f t="shared" si="17"/>
        <v>4.984025559105431E-2</v>
      </c>
      <c r="BH54" s="1192">
        <f t="shared" si="18"/>
        <v>1</v>
      </c>
      <c r="BJ54" s="1191"/>
      <c r="BK54" s="1191"/>
      <c r="BL54" s="1191"/>
      <c r="BM54" s="1191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0"/>
      <c r="AT55" s="1190"/>
      <c r="AU55" s="1190"/>
      <c r="AV55" s="1190"/>
      <c r="AX55" s="1190"/>
      <c r="AY55" s="1194"/>
      <c r="AZ55" s="1196" t="s">
        <v>894</v>
      </c>
      <c r="BA55" s="1190">
        <v>5419</v>
      </c>
      <c r="BB55" s="1190">
        <v>4367</v>
      </c>
      <c r="BC55" s="1190">
        <v>370</v>
      </c>
      <c r="BD55" s="1190">
        <f t="shared" si="14"/>
        <v>10156</v>
      </c>
      <c r="BE55" s="1192">
        <f t="shared" si="15"/>
        <v>0.53357621110673492</v>
      </c>
      <c r="BF55" s="1192">
        <f t="shared" si="16"/>
        <v>0.4299921228830248</v>
      </c>
      <c r="BG55" s="1192">
        <f t="shared" si="17"/>
        <v>3.6431666010240255E-2</v>
      </c>
      <c r="BH55" s="1192">
        <f t="shared" si="18"/>
        <v>1</v>
      </c>
      <c r="BJ55" s="1191"/>
      <c r="BK55" s="1191"/>
      <c r="BL55" s="1191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0"/>
      <c r="AT56" s="1190"/>
      <c r="AU56" s="1190"/>
      <c r="AV56" s="1190"/>
      <c r="AX56" s="1190"/>
      <c r="AY56" s="1193" t="s">
        <v>292</v>
      </c>
      <c r="AZ56" s="1195" t="s">
        <v>895</v>
      </c>
      <c r="BA56" s="1190">
        <v>652</v>
      </c>
      <c r="BB56" s="1190">
        <v>797</v>
      </c>
      <c r="BC56" s="1190">
        <v>31</v>
      </c>
      <c r="BD56" s="1190">
        <f t="shared" si="14"/>
        <v>1480</v>
      </c>
      <c r="BE56" s="1192">
        <f t="shared" si="15"/>
        <v>0.44054054054054054</v>
      </c>
      <c r="BF56" s="1192">
        <f t="shared" si="16"/>
        <v>0.53851351351351351</v>
      </c>
      <c r="BG56" s="1192">
        <f t="shared" si="17"/>
        <v>2.0945945945945947E-2</v>
      </c>
      <c r="BH56" s="1192">
        <f t="shared" si="18"/>
        <v>0.99999999999999989</v>
      </c>
      <c r="BJ56" s="1191"/>
      <c r="BK56" s="1191"/>
      <c r="BL56" s="1191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0"/>
      <c r="AT57" s="1190"/>
      <c r="AU57" s="1190"/>
      <c r="AV57" s="1190"/>
      <c r="AX57" s="1190"/>
      <c r="AY57" s="1194" t="s">
        <v>334</v>
      </c>
      <c r="AZ57" s="1196" t="s">
        <v>896</v>
      </c>
      <c r="BA57" s="1190">
        <v>2477</v>
      </c>
      <c r="BB57" s="1190">
        <v>23832</v>
      </c>
      <c r="BC57" s="1190">
        <v>17183</v>
      </c>
      <c r="BD57" s="1190">
        <f t="shared" si="14"/>
        <v>43492</v>
      </c>
      <c r="BE57" s="1192">
        <f t="shared" si="15"/>
        <v>5.6953002851099055E-2</v>
      </c>
      <c r="BF57" s="1192">
        <f t="shared" si="16"/>
        <v>0.54796284374137771</v>
      </c>
      <c r="BG57" s="1192">
        <f t="shared" si="17"/>
        <v>0.39508415340752323</v>
      </c>
      <c r="BH57" s="1192">
        <f t="shared" si="18"/>
        <v>1</v>
      </c>
      <c r="BJ57" s="1191"/>
      <c r="BK57" s="1191"/>
      <c r="BL57" s="1191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0"/>
      <c r="AT58" s="1190"/>
      <c r="AU58" s="1190"/>
      <c r="AV58" s="1190"/>
      <c r="AX58" s="1190"/>
      <c r="AY58" s="1193"/>
      <c r="AZ58" s="1195" t="s">
        <v>897</v>
      </c>
      <c r="BA58" s="1190">
        <v>603</v>
      </c>
      <c r="BB58" s="1190">
        <v>3337</v>
      </c>
      <c r="BC58" s="1190">
        <v>4600</v>
      </c>
      <c r="BD58" s="1190">
        <f t="shared" si="14"/>
        <v>8540</v>
      </c>
      <c r="BE58" s="1192">
        <f t="shared" si="15"/>
        <v>7.0608899297423894E-2</v>
      </c>
      <c r="BF58" s="1192">
        <f t="shared" si="16"/>
        <v>0.3907494145199063</v>
      </c>
      <c r="BG58" s="1192">
        <f t="shared" si="17"/>
        <v>0.53864168618266983</v>
      </c>
      <c r="BH58" s="1192">
        <f t="shared" si="18"/>
        <v>1</v>
      </c>
      <c r="BJ58" s="1191"/>
      <c r="BK58" s="1191"/>
      <c r="BL58" s="1191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0"/>
      <c r="AT59" s="1190"/>
      <c r="AU59" s="1190"/>
      <c r="AV59" s="1190"/>
      <c r="AX59" s="1190"/>
      <c r="AY59" s="1194" t="s">
        <v>330</v>
      </c>
      <c r="AZ59" s="1196" t="s">
        <v>898</v>
      </c>
      <c r="BA59" s="1190">
        <v>3124</v>
      </c>
      <c r="BB59" s="1190">
        <v>898</v>
      </c>
      <c r="BC59" s="1190">
        <v>248</v>
      </c>
      <c r="BD59" s="1190">
        <f t="shared" si="14"/>
        <v>4270</v>
      </c>
      <c r="BE59" s="1192">
        <f t="shared" si="15"/>
        <v>0.731615925058548</v>
      </c>
      <c r="BF59" s="1192">
        <f t="shared" si="16"/>
        <v>0.21030444964871195</v>
      </c>
      <c r="BG59" s="1192">
        <f t="shared" si="17"/>
        <v>5.807962529274005E-2</v>
      </c>
      <c r="BH59" s="1192">
        <f t="shared" si="18"/>
        <v>1</v>
      </c>
      <c r="BJ59" s="1191"/>
      <c r="BK59" s="1191"/>
      <c r="BL59" s="1191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899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0"/>
      <c r="AT60" s="1190"/>
      <c r="AU60" s="1190"/>
      <c r="AV60" s="1190"/>
      <c r="AX60" s="1190"/>
      <c r="AY60" s="1193"/>
      <c r="AZ60" s="1195" t="s">
        <v>899</v>
      </c>
      <c r="BA60" s="1190">
        <v>830</v>
      </c>
      <c r="BB60" s="1190">
        <v>9873</v>
      </c>
      <c r="BC60" s="1190">
        <v>2556</v>
      </c>
      <c r="BD60" s="1190">
        <f t="shared" si="14"/>
        <v>13259</v>
      </c>
      <c r="BE60" s="1192">
        <f t="shared" si="15"/>
        <v>6.2598989365713856E-2</v>
      </c>
      <c r="BF60" s="1192">
        <f t="shared" si="16"/>
        <v>0.74462629157553362</v>
      </c>
      <c r="BG60" s="1192">
        <f t="shared" si="17"/>
        <v>0.19277471905875254</v>
      </c>
      <c r="BH60" s="1192">
        <f t="shared" si="18"/>
        <v>1</v>
      </c>
      <c r="BJ60" s="1191"/>
      <c r="BK60" s="1191"/>
      <c r="BL60" s="1191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0"/>
      <c r="AT61" s="1190"/>
      <c r="AU61" s="1190"/>
      <c r="AV61" s="1190"/>
      <c r="AX61" s="1190"/>
      <c r="AY61" s="1194" t="s">
        <v>336</v>
      </c>
      <c r="AZ61" s="1196" t="s">
        <v>900</v>
      </c>
      <c r="BA61" s="1190">
        <v>4147</v>
      </c>
      <c r="BB61" s="1190">
        <v>2251</v>
      </c>
      <c r="BC61" s="1190">
        <v>576</v>
      </c>
      <c r="BD61" s="1190">
        <f t="shared" si="14"/>
        <v>6974</v>
      </c>
      <c r="BE61" s="1192">
        <f t="shared" si="15"/>
        <v>0.59463722397476337</v>
      </c>
      <c r="BF61" s="1192">
        <f t="shared" si="16"/>
        <v>0.32277028964726123</v>
      </c>
      <c r="BG61" s="1192">
        <f t="shared" si="17"/>
        <v>8.2592486377975338E-2</v>
      </c>
      <c r="BH61" s="1192">
        <f t="shared" si="18"/>
        <v>0.99999999999999989</v>
      </c>
      <c r="BJ61" s="1191"/>
      <c r="BK61" s="1191"/>
      <c r="BL61" s="1191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0"/>
      <c r="AT62" s="1190"/>
      <c r="AU62" s="1190"/>
      <c r="AV62" s="1190"/>
      <c r="AX62" s="1190"/>
      <c r="AY62" s="1193"/>
      <c r="AZ62" s="1195" t="s">
        <v>901</v>
      </c>
      <c r="BA62" s="1190">
        <v>201</v>
      </c>
      <c r="BB62" s="1190">
        <v>862</v>
      </c>
      <c r="BC62" s="1190">
        <v>337</v>
      </c>
      <c r="BD62" s="1190">
        <f t="shared" si="14"/>
        <v>1400</v>
      </c>
      <c r="BE62" s="1192">
        <f t="shared" si="15"/>
        <v>0.14357142857142857</v>
      </c>
      <c r="BF62" s="1192">
        <f t="shared" si="16"/>
        <v>0.61571428571428577</v>
      </c>
      <c r="BG62" s="1192">
        <f t="shared" si="17"/>
        <v>0.24071428571428571</v>
      </c>
      <c r="BH62" s="1192">
        <f t="shared" si="18"/>
        <v>1</v>
      </c>
      <c r="BJ62" s="1191"/>
      <c r="BK62" s="1191"/>
      <c r="BL62" s="1191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0"/>
      <c r="AT63" s="1190"/>
      <c r="AU63" s="1190"/>
      <c r="AV63" s="1190"/>
      <c r="AX63" s="1190"/>
      <c r="AY63" s="1194" t="s">
        <v>323</v>
      </c>
      <c r="AZ63" s="1196" t="s">
        <v>902</v>
      </c>
      <c r="BA63" s="1190">
        <v>1626</v>
      </c>
      <c r="BB63" s="1190">
        <v>8161</v>
      </c>
      <c r="BC63" s="1190">
        <v>516</v>
      </c>
      <c r="BD63" s="1190">
        <f t="shared" si="14"/>
        <v>10303</v>
      </c>
      <c r="BE63" s="1192">
        <f t="shared" si="15"/>
        <v>0.15781811122973891</v>
      </c>
      <c r="BF63" s="1192">
        <f t="shared" si="16"/>
        <v>0.7920993885276133</v>
      </c>
      <c r="BG63" s="1192">
        <f t="shared" si="17"/>
        <v>5.0082500242647772E-2</v>
      </c>
      <c r="BH63" s="1192">
        <f t="shared" si="18"/>
        <v>1</v>
      </c>
      <c r="BJ63" s="1191"/>
      <c r="BK63" s="1191"/>
      <c r="BL63" s="1191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0"/>
      <c r="AT64" s="1190"/>
      <c r="AU64" s="1190"/>
      <c r="AV64" s="1190"/>
      <c r="AX64" s="1190"/>
      <c r="AY64" s="1193" t="s">
        <v>324</v>
      </c>
      <c r="AZ64" s="1195" t="s">
        <v>903</v>
      </c>
      <c r="BA64" s="1190">
        <v>1454</v>
      </c>
      <c r="BB64" s="1190">
        <v>641</v>
      </c>
      <c r="BC64" s="1190">
        <v>191</v>
      </c>
      <c r="BD64" s="1190">
        <f t="shared" si="14"/>
        <v>2286</v>
      </c>
      <c r="BE64" s="1192">
        <f t="shared" si="15"/>
        <v>0.63604549431321089</v>
      </c>
      <c r="BF64" s="1192">
        <f t="shared" si="16"/>
        <v>0.2804024496937883</v>
      </c>
      <c r="BG64" s="1192">
        <f t="shared" si="17"/>
        <v>8.3552055993000876E-2</v>
      </c>
      <c r="BH64" s="1192">
        <f t="shared" si="18"/>
        <v>1.0000000000000002</v>
      </c>
      <c r="BJ64" s="1191"/>
      <c r="BK64" s="1191"/>
      <c r="BL64" s="1191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0"/>
      <c r="AT65" s="1190"/>
      <c r="AU65" s="1190"/>
      <c r="AV65" s="1190"/>
      <c r="AX65" s="1190"/>
      <c r="AY65" s="1194" t="s">
        <v>337</v>
      </c>
      <c r="AZ65" s="1196" t="s">
        <v>904</v>
      </c>
      <c r="BA65" s="1190">
        <v>2223</v>
      </c>
      <c r="BB65" s="1190">
        <v>1163</v>
      </c>
      <c r="BC65" s="1190">
        <v>220</v>
      </c>
      <c r="BD65" s="1190">
        <f t="shared" si="14"/>
        <v>3606</v>
      </c>
      <c r="BE65" s="1192">
        <f t="shared" si="15"/>
        <v>0.61647254575707155</v>
      </c>
      <c r="BF65" s="1192">
        <f t="shared" si="16"/>
        <v>0.32251802551303382</v>
      </c>
      <c r="BG65" s="1192">
        <f t="shared" si="17"/>
        <v>6.1009428729894621E-2</v>
      </c>
      <c r="BH65" s="1192">
        <f t="shared" si="18"/>
        <v>1</v>
      </c>
      <c r="BJ65" s="1191"/>
      <c r="BK65" s="1191"/>
      <c r="BL65" s="1191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0"/>
      <c r="AT66" s="1190"/>
      <c r="AU66" s="1190"/>
      <c r="AV66" s="1190"/>
      <c r="AX66" s="1190"/>
      <c r="AY66" s="1193" t="s">
        <v>327</v>
      </c>
      <c r="AZ66" s="1195" t="s">
        <v>905</v>
      </c>
      <c r="BA66" s="1190">
        <v>495</v>
      </c>
      <c r="BB66" s="1190">
        <v>302</v>
      </c>
      <c r="BC66" s="1190">
        <v>52</v>
      </c>
      <c r="BD66" s="1190">
        <f t="shared" si="14"/>
        <v>849</v>
      </c>
      <c r="BE66" s="1192">
        <f t="shared" si="15"/>
        <v>0.58303886925795056</v>
      </c>
      <c r="BF66" s="1192">
        <f t="shared" si="16"/>
        <v>0.35571260306242636</v>
      </c>
      <c r="BG66" s="1192">
        <f t="shared" si="17"/>
        <v>6.1248527679623084E-2</v>
      </c>
      <c r="BH66" s="1192">
        <f t="shared" si="18"/>
        <v>1</v>
      </c>
      <c r="BJ66" s="1191"/>
      <c r="BK66" s="1191"/>
      <c r="BL66" s="1191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0"/>
      <c r="AT67" s="1190"/>
      <c r="AU67" s="1190"/>
      <c r="AV67" s="1190"/>
      <c r="AX67" s="1190"/>
      <c r="AY67" s="1194" t="s">
        <v>328</v>
      </c>
      <c r="AZ67" s="1196" t="s">
        <v>906</v>
      </c>
      <c r="BA67" s="1190">
        <v>1130</v>
      </c>
      <c r="BB67" s="1190">
        <v>2777</v>
      </c>
      <c r="BC67" s="1190">
        <v>296</v>
      </c>
      <c r="BD67" s="1190">
        <f t="shared" si="14"/>
        <v>4203</v>
      </c>
      <c r="BE67" s="1192">
        <f t="shared" si="15"/>
        <v>0.26885557934808468</v>
      </c>
      <c r="BF67" s="1192">
        <f t="shared" si="16"/>
        <v>0.66071853438020467</v>
      </c>
      <c r="BG67" s="1192">
        <f t="shared" si="17"/>
        <v>7.0425886271710689E-2</v>
      </c>
      <c r="BH67" s="1192">
        <f t="shared" si="18"/>
        <v>1</v>
      </c>
      <c r="BJ67" s="1191"/>
      <c r="BK67" s="1191"/>
      <c r="BL67" s="1191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0"/>
      <c r="AT68" s="1190"/>
      <c r="AU68" s="1190"/>
      <c r="AV68" s="1190"/>
      <c r="AX68" s="1190"/>
      <c r="AY68" s="1193" t="s">
        <v>338</v>
      </c>
      <c r="AZ68" s="1195" t="s">
        <v>907</v>
      </c>
      <c r="BA68" s="1190">
        <v>1734</v>
      </c>
      <c r="BB68" s="1190">
        <v>2040</v>
      </c>
      <c r="BC68" s="1190">
        <v>370</v>
      </c>
      <c r="BD68" s="1190">
        <f t="shared" si="14"/>
        <v>4144</v>
      </c>
      <c r="BE68" s="1192">
        <f t="shared" si="15"/>
        <v>0.41843629343629346</v>
      </c>
      <c r="BF68" s="1192">
        <f t="shared" si="16"/>
        <v>0.49227799227799229</v>
      </c>
      <c r="BG68" s="1192">
        <f t="shared" si="17"/>
        <v>8.9285714285714288E-2</v>
      </c>
      <c r="BH68" s="1192">
        <f t="shared" si="18"/>
        <v>1</v>
      </c>
      <c r="BJ68" s="1191"/>
      <c r="BK68" s="1191"/>
      <c r="BL68" s="1191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925</v>
      </c>
      <c r="AN69" s="187" t="s">
        <v>908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0"/>
      <c r="AT69" s="1190"/>
      <c r="AU69" s="1190"/>
      <c r="AV69" s="1190"/>
      <c r="AX69" s="1190"/>
      <c r="AY69" s="1194" t="s">
        <v>341</v>
      </c>
      <c r="AZ69" s="1196" t="s">
        <v>908</v>
      </c>
      <c r="BA69" s="1190">
        <v>455</v>
      </c>
      <c r="BB69" s="1190">
        <v>121</v>
      </c>
      <c r="BC69" s="1190">
        <v>61</v>
      </c>
      <c r="BD69" s="1190">
        <f t="shared" si="14"/>
        <v>637</v>
      </c>
      <c r="BE69" s="1192">
        <f t="shared" si="15"/>
        <v>0.7142857142857143</v>
      </c>
      <c r="BF69" s="1192">
        <f t="shared" si="16"/>
        <v>0.18995290423861852</v>
      </c>
      <c r="BG69" s="1192">
        <f t="shared" si="17"/>
        <v>9.5761381475667193E-2</v>
      </c>
      <c r="BH69" s="1192">
        <f t="shared" si="18"/>
        <v>1</v>
      </c>
      <c r="BJ69" s="1191"/>
      <c r="BK69" s="1191"/>
      <c r="BL69" s="1191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909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0"/>
      <c r="AT70" s="1190"/>
      <c r="AU70" s="1190"/>
      <c r="AV70" s="1190"/>
      <c r="AX70" s="1190"/>
      <c r="AY70" s="1193" t="s">
        <v>325</v>
      </c>
      <c r="AZ70" s="1195" t="s">
        <v>909</v>
      </c>
      <c r="BA70" s="1190">
        <v>1042</v>
      </c>
      <c r="BB70" s="1190">
        <v>860</v>
      </c>
      <c r="BC70" s="1190">
        <v>91</v>
      </c>
      <c r="BD70" s="1190">
        <f t="shared" si="14"/>
        <v>1993</v>
      </c>
      <c r="BE70" s="1192">
        <f t="shared" si="15"/>
        <v>0.52282990466633217</v>
      </c>
      <c r="BF70" s="1192">
        <f t="shared" si="16"/>
        <v>0.4315102860010035</v>
      </c>
      <c r="BG70" s="1192">
        <f t="shared" si="17"/>
        <v>4.5659809332664322E-2</v>
      </c>
      <c r="BH70" s="1192">
        <f t="shared" si="18"/>
        <v>1</v>
      </c>
      <c r="BJ70" s="1191"/>
      <c r="BK70" s="1191"/>
      <c r="BL70" s="1191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0"/>
      <c r="AT71" s="1190"/>
      <c r="AU71" s="1190"/>
      <c r="AV71" s="1190"/>
      <c r="AX71" s="1190"/>
      <c r="AY71" s="1194" t="s">
        <v>329</v>
      </c>
      <c r="AZ71" s="1196" t="s">
        <v>910</v>
      </c>
      <c r="BA71" s="1190">
        <v>2472</v>
      </c>
      <c r="BB71" s="1190">
        <v>6355</v>
      </c>
      <c r="BC71" s="1190">
        <v>264</v>
      </c>
      <c r="BD71" s="1190">
        <f t="shared" si="14"/>
        <v>9091</v>
      </c>
      <c r="BE71" s="1192">
        <f t="shared" si="15"/>
        <v>0.27191728082719174</v>
      </c>
      <c r="BF71" s="1192">
        <f t="shared" si="16"/>
        <v>0.69904300956990428</v>
      </c>
      <c r="BG71" s="1192">
        <f t="shared" si="17"/>
        <v>2.903970960290397E-2</v>
      </c>
      <c r="BH71" s="1192">
        <f t="shared" si="18"/>
        <v>0.99999999999999989</v>
      </c>
      <c r="BJ71" s="1191"/>
      <c r="BK71" s="1191"/>
      <c r="BL71" s="1191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0"/>
      <c r="AT72" s="1190"/>
      <c r="AU72" s="1190"/>
      <c r="AV72" s="1190"/>
      <c r="AX72" s="1190"/>
      <c r="AY72" s="1193" t="s">
        <v>345</v>
      </c>
      <c r="AZ72" s="1195" t="s">
        <v>911</v>
      </c>
      <c r="BA72" s="1190">
        <v>1104</v>
      </c>
      <c r="BB72" s="1190">
        <v>432</v>
      </c>
      <c r="BC72" s="1190">
        <v>75</v>
      </c>
      <c r="BD72" s="1190">
        <f t="shared" si="14"/>
        <v>1611</v>
      </c>
      <c r="BE72" s="1192">
        <f t="shared" si="15"/>
        <v>0.68528864059590322</v>
      </c>
      <c r="BF72" s="1192">
        <f t="shared" si="16"/>
        <v>0.26815642458100558</v>
      </c>
      <c r="BG72" s="1192">
        <f t="shared" si="17"/>
        <v>4.6554934823091247E-2</v>
      </c>
      <c r="BH72" s="1192">
        <f t="shared" si="18"/>
        <v>1</v>
      </c>
      <c r="BJ72" s="1191"/>
      <c r="BK72" s="1191"/>
      <c r="BL72" s="1191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0"/>
      <c r="AT73" s="1190"/>
      <c r="AU73" s="1190"/>
      <c r="AV73" s="1190"/>
      <c r="AX73" s="1190"/>
      <c r="AY73" s="1194" t="s">
        <v>342</v>
      </c>
      <c r="AZ73" s="1196" t="s">
        <v>912</v>
      </c>
      <c r="BA73" s="1190">
        <v>2359</v>
      </c>
      <c r="BB73" s="1190">
        <v>773</v>
      </c>
      <c r="BC73" s="1190">
        <v>123</v>
      </c>
      <c r="BD73" s="1190">
        <f t="shared" si="14"/>
        <v>3255</v>
      </c>
      <c r="BE73" s="1192">
        <f t="shared" si="15"/>
        <v>0.72473118279569892</v>
      </c>
      <c r="BF73" s="1192">
        <f t="shared" si="16"/>
        <v>0.23748079877112135</v>
      </c>
      <c r="BG73" s="1192">
        <f t="shared" si="17"/>
        <v>3.7788018433179721E-2</v>
      </c>
      <c r="BH73" s="1192">
        <f t="shared" si="18"/>
        <v>1</v>
      </c>
      <c r="BJ73" s="1191"/>
      <c r="BK73" s="1191"/>
      <c r="BL73" s="1191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0"/>
      <c r="AT74" s="1190"/>
      <c r="AU74" s="1190"/>
      <c r="AV74" s="1190"/>
      <c r="AX74" s="1190"/>
      <c r="AY74" s="1193" t="s">
        <v>331</v>
      </c>
      <c r="AZ74" s="1195" t="s">
        <v>913</v>
      </c>
      <c r="BA74" s="1190">
        <v>944</v>
      </c>
      <c r="BB74" s="1190">
        <v>566</v>
      </c>
      <c r="BC74" s="1190">
        <v>68</v>
      </c>
      <c r="BD74" s="1190">
        <f t="shared" si="14"/>
        <v>1578</v>
      </c>
      <c r="BE74" s="1192">
        <f t="shared" si="15"/>
        <v>0.59822560202788344</v>
      </c>
      <c r="BF74" s="1192">
        <f t="shared" si="16"/>
        <v>0.35868187579214195</v>
      </c>
      <c r="BG74" s="1192">
        <f t="shared" si="17"/>
        <v>4.3092522179974654E-2</v>
      </c>
      <c r="BH74" s="1192">
        <f t="shared" si="18"/>
        <v>1</v>
      </c>
      <c r="BJ74" s="1191"/>
      <c r="BK74" s="1191"/>
      <c r="BL74" s="1191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0"/>
      <c r="AT75" s="1190"/>
      <c r="AU75" s="1190"/>
      <c r="AV75" s="1190"/>
      <c r="AX75" s="1190"/>
      <c r="AY75" s="1194" t="s">
        <v>343</v>
      </c>
      <c r="AZ75" s="1196" t="s">
        <v>914</v>
      </c>
      <c r="BA75" s="1190">
        <v>969</v>
      </c>
      <c r="BB75" s="1190">
        <v>339</v>
      </c>
      <c r="BC75" s="1190">
        <v>58</v>
      </c>
      <c r="BD75" s="1190">
        <f t="shared" si="14"/>
        <v>1366</v>
      </c>
      <c r="BE75" s="1192">
        <f t="shared" si="15"/>
        <v>0.70937042459736455</v>
      </c>
      <c r="BF75" s="1192">
        <f t="shared" si="16"/>
        <v>0.24816983894582723</v>
      </c>
      <c r="BG75" s="1192">
        <f t="shared" si="17"/>
        <v>4.24597364568082E-2</v>
      </c>
      <c r="BH75" s="1192">
        <f t="shared" si="18"/>
        <v>1</v>
      </c>
      <c r="BJ75" s="1191"/>
      <c r="BK75" s="1191"/>
      <c r="BL75" s="1191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0"/>
      <c r="AT76" s="1190"/>
      <c r="AU76" s="1190"/>
      <c r="AV76" s="1190"/>
      <c r="AX76" s="1190"/>
      <c r="AY76" s="1193"/>
      <c r="AZ76" s="1195" t="s">
        <v>915</v>
      </c>
      <c r="BA76" s="1190">
        <v>429</v>
      </c>
      <c r="BB76" s="1190">
        <v>6911</v>
      </c>
      <c r="BC76" s="1190">
        <v>1165</v>
      </c>
      <c r="BD76" s="1190">
        <f t="shared" si="14"/>
        <v>8505</v>
      </c>
      <c r="BE76" s="1192">
        <f t="shared" si="15"/>
        <v>5.0440917107583777E-2</v>
      </c>
      <c r="BF76" s="1192">
        <f t="shared" si="16"/>
        <v>0.81258083480305698</v>
      </c>
      <c r="BG76" s="1192">
        <f t="shared" si="17"/>
        <v>0.13697824808935921</v>
      </c>
      <c r="BH76" s="1192">
        <f t="shared" si="18"/>
        <v>1</v>
      </c>
      <c r="BJ76" s="1191"/>
      <c r="BK76" s="1191"/>
      <c r="BL76" s="1191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0"/>
      <c r="AT77" s="1190"/>
      <c r="AU77" s="1190"/>
      <c r="AV77" s="1190"/>
      <c r="AX77" s="1190"/>
      <c r="AY77" s="1194" t="s">
        <v>344</v>
      </c>
      <c r="AZ77" s="1196" t="s">
        <v>916</v>
      </c>
      <c r="BA77" s="1190">
        <v>898</v>
      </c>
      <c r="BB77" s="1190">
        <v>332</v>
      </c>
      <c r="BC77" s="1190">
        <v>166</v>
      </c>
      <c r="BD77" s="1190">
        <f t="shared" si="14"/>
        <v>1396</v>
      </c>
      <c r="BE77" s="1192">
        <f t="shared" si="15"/>
        <v>0.64326647564469919</v>
      </c>
      <c r="BF77" s="1192">
        <f t="shared" si="16"/>
        <v>0.23782234957020057</v>
      </c>
      <c r="BG77" s="1192">
        <f t="shared" si="17"/>
        <v>0.11891117478510028</v>
      </c>
      <c r="BH77" s="1192">
        <f t="shared" si="18"/>
        <v>1</v>
      </c>
      <c r="BJ77" s="1191"/>
      <c r="BK77" s="1191"/>
      <c r="BL77" s="1191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0"/>
      <c r="AT78" s="1190"/>
      <c r="AU78" s="1190"/>
      <c r="AV78" s="1190"/>
      <c r="AW78" s="460"/>
      <c r="AX78" s="1190"/>
      <c r="AY78" s="1193" t="s">
        <v>339</v>
      </c>
      <c r="AZ78" s="1195" t="s">
        <v>917</v>
      </c>
      <c r="BA78" s="1190">
        <v>1778</v>
      </c>
      <c r="BB78" s="1190">
        <v>514</v>
      </c>
      <c r="BC78" s="1190">
        <v>180</v>
      </c>
      <c r="BD78" s="1190">
        <f t="shared" si="14"/>
        <v>2472</v>
      </c>
      <c r="BE78" s="1192">
        <f t="shared" si="15"/>
        <v>0.71925566343042069</v>
      </c>
      <c r="BF78" s="1192">
        <f t="shared" si="16"/>
        <v>0.20792880258899676</v>
      </c>
      <c r="BG78" s="1192">
        <f t="shared" si="17"/>
        <v>7.281553398058252E-2</v>
      </c>
      <c r="BH78" s="1192">
        <f t="shared" si="18"/>
        <v>1</v>
      </c>
      <c r="BJ78" s="1191"/>
      <c r="BK78" s="1191"/>
      <c r="BL78" s="1191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0"/>
      <c r="AT79" s="1190"/>
      <c r="AU79" s="1190"/>
      <c r="AV79" s="1190"/>
      <c r="AW79" s="460"/>
      <c r="AX79" s="1190"/>
      <c r="AY79" s="1194" t="s">
        <v>340</v>
      </c>
      <c r="AZ79" s="1196" t="s">
        <v>918</v>
      </c>
      <c r="BA79" s="1190">
        <v>1100</v>
      </c>
      <c r="BB79" s="1190">
        <v>1790</v>
      </c>
      <c r="BC79" s="1190">
        <v>265</v>
      </c>
      <c r="BD79" s="1190">
        <f t="shared" si="14"/>
        <v>3155</v>
      </c>
      <c r="BE79" s="1192">
        <f t="shared" si="15"/>
        <v>0.34865293185419971</v>
      </c>
      <c r="BF79" s="1192">
        <f t="shared" si="16"/>
        <v>0.56735340729001582</v>
      </c>
      <c r="BG79" s="1192">
        <f t="shared" si="17"/>
        <v>8.3993660855784469E-2</v>
      </c>
      <c r="BH79" s="1192">
        <f t="shared" si="18"/>
        <v>1</v>
      </c>
      <c r="BJ79" s="1191"/>
      <c r="BK79" s="1191"/>
      <c r="BL79" s="1191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919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0"/>
      <c r="AT80" s="1190"/>
      <c r="AU80" s="1190"/>
      <c r="AV80" s="1190"/>
      <c r="AW80" s="460"/>
      <c r="AX80" s="1190"/>
      <c r="AY80" s="1193" t="s">
        <v>332</v>
      </c>
      <c r="AZ80" s="1195" t="s">
        <v>919</v>
      </c>
      <c r="BA80" s="1190">
        <v>1096</v>
      </c>
      <c r="BB80" s="1190">
        <v>501</v>
      </c>
      <c r="BC80" s="1190">
        <v>111</v>
      </c>
      <c r="BD80" s="1190">
        <f t="shared" si="14"/>
        <v>1708</v>
      </c>
      <c r="BE80" s="1192">
        <f t="shared" si="15"/>
        <v>0.64168618266978927</v>
      </c>
      <c r="BF80" s="1192">
        <f t="shared" si="16"/>
        <v>0.2933255269320843</v>
      </c>
      <c r="BG80" s="1192">
        <f t="shared" si="17"/>
        <v>6.4988290398126466E-2</v>
      </c>
      <c r="BH80" s="1192">
        <f t="shared" si="18"/>
        <v>1</v>
      </c>
      <c r="BJ80" s="1191"/>
      <c r="BK80" s="1191"/>
      <c r="BL80" s="1191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0"/>
      <c r="AT81" s="1190"/>
      <c r="AU81" s="1190"/>
      <c r="AV81" s="1190"/>
      <c r="AW81" s="460"/>
      <c r="AX81" s="1190"/>
      <c r="AY81" s="1194" t="s">
        <v>335</v>
      </c>
      <c r="AZ81" s="1196" t="s">
        <v>920</v>
      </c>
      <c r="BA81" s="1190">
        <v>1277</v>
      </c>
      <c r="BB81" s="1190">
        <v>3726</v>
      </c>
      <c r="BC81" s="1190">
        <v>544</v>
      </c>
      <c r="BD81" s="1190">
        <f t="shared" si="14"/>
        <v>5547</v>
      </c>
      <c r="BE81" s="1192">
        <f t="shared" si="15"/>
        <v>0.23021453037678025</v>
      </c>
      <c r="BF81" s="1192">
        <f t="shared" si="16"/>
        <v>0.67171444023796645</v>
      </c>
      <c r="BG81" s="1192">
        <f t="shared" si="17"/>
        <v>9.8071029385253292E-2</v>
      </c>
      <c r="BH81" s="1192">
        <f t="shared" si="18"/>
        <v>0.99999999999999989</v>
      </c>
      <c r="BI81" s="1189"/>
      <c r="BJ81" s="1191"/>
      <c r="BK81" s="1191"/>
      <c r="BL81" s="1191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10" t="s">
        <v>346</v>
      </c>
      <c r="T82" s="1311"/>
      <c r="U82" s="1311"/>
      <c r="V82" s="1311"/>
      <c r="W82" s="1311"/>
      <c r="X82" s="1311"/>
      <c r="Y82" s="1311"/>
      <c r="Z82" s="1312"/>
      <c r="AB82" s="1298" t="s">
        <v>347</v>
      </c>
      <c r="AC82" s="1298"/>
      <c r="AD82" s="1298"/>
      <c r="AE82" s="1298"/>
      <c r="AF82" s="1299"/>
      <c r="AG82" s="123" t="s">
        <v>300</v>
      </c>
      <c r="AM82" s="473" t="s">
        <v>333</v>
      </c>
      <c r="AN82" s="186" t="s">
        <v>921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0"/>
      <c r="AT82" s="1190"/>
      <c r="AU82" s="1190"/>
      <c r="AV82" s="1190"/>
      <c r="AW82" s="460"/>
      <c r="AX82" s="1190"/>
      <c r="AY82" s="1193" t="s">
        <v>333</v>
      </c>
      <c r="AZ82" s="1195" t="s">
        <v>921</v>
      </c>
      <c r="BA82" s="1190">
        <v>2462</v>
      </c>
      <c r="BB82" s="1190">
        <v>1716</v>
      </c>
      <c r="BC82" s="1190">
        <v>174</v>
      </c>
      <c r="BD82" s="1190">
        <f t="shared" si="14"/>
        <v>4352</v>
      </c>
      <c r="BE82" s="1192">
        <f t="shared" si="15"/>
        <v>0.56571691176470584</v>
      </c>
      <c r="BF82" s="1192">
        <f t="shared" si="16"/>
        <v>0.39430147058823528</v>
      </c>
      <c r="BG82" s="1192">
        <f t="shared" si="17"/>
        <v>3.998161764705882E-2</v>
      </c>
      <c r="BH82" s="1192">
        <f t="shared" si="18"/>
        <v>1</v>
      </c>
      <c r="BI82" s="1189"/>
      <c r="BJ82" s="1191"/>
      <c r="BK82" s="1191"/>
      <c r="BL82" s="1191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98"/>
      <c r="AC83" s="1298"/>
      <c r="AD83" s="1298"/>
      <c r="AE83" s="1298"/>
      <c r="AF83" s="1299"/>
      <c r="AG83" s="124"/>
      <c r="AS83" s="1190"/>
      <c r="AT83" s="1190"/>
      <c r="AU83" s="1190"/>
      <c r="AV83" s="1190"/>
      <c r="AW83" s="460"/>
      <c r="AX83" s="1190"/>
      <c r="AY83" s="1190"/>
      <c r="AZ83" s="460"/>
      <c r="BA83" s="460"/>
      <c r="BB83" s="460"/>
      <c r="BD83" s="460"/>
      <c r="BE83" s="460"/>
      <c r="BF83" s="460"/>
      <c r="BG83" s="1189"/>
      <c r="BH83" s="1189"/>
      <c r="BI83" s="1189"/>
      <c r="BJ83" s="1191"/>
      <c r="BK83" s="1191"/>
      <c r="BL83" s="1191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9"/>
      <c r="BH84" s="1189"/>
      <c r="BI84" s="1189"/>
      <c r="BK84" s="1191"/>
      <c r="BL84" s="1191"/>
      <c r="BP84" s="1190">
        <f t="shared" ref="BP84:CA84" si="22">SUM(BP88:BP243)</f>
        <v>6994</v>
      </c>
      <c r="BQ84" s="1190">
        <f t="shared" si="22"/>
        <v>4911</v>
      </c>
      <c r="BR84" s="1190">
        <f t="shared" si="22"/>
        <v>4575</v>
      </c>
      <c r="BS84" s="1190">
        <f t="shared" si="22"/>
        <v>5518</v>
      </c>
      <c r="BT84" s="1190">
        <f t="shared" si="22"/>
        <v>7219</v>
      </c>
      <c r="BU84" s="1190">
        <f t="shared" si="22"/>
        <v>9842</v>
      </c>
      <c r="BV84" s="1190">
        <f t="shared" si="22"/>
        <v>14321</v>
      </c>
      <c r="BW84" s="1190">
        <f t="shared" si="22"/>
        <v>17899</v>
      </c>
      <c r="BX84" s="1190">
        <f t="shared" si="22"/>
        <v>21047</v>
      </c>
      <c r="BY84" s="1190">
        <f t="shared" si="22"/>
        <v>20514</v>
      </c>
      <c r="BZ84" s="1190">
        <f t="shared" si="22"/>
        <v>20473</v>
      </c>
      <c r="CA84" s="32">
        <f t="shared" si="22"/>
        <v>23759</v>
      </c>
      <c r="CB84" s="1190">
        <f t="shared" ref="CB84:CI84" si="23">SUM(CB88:CB243)</f>
        <v>26865</v>
      </c>
      <c r="CC84" s="1190">
        <f t="shared" si="23"/>
        <v>31143</v>
      </c>
      <c r="CD84" s="1190">
        <f t="shared" si="23"/>
        <v>37095</v>
      </c>
      <c r="CE84" s="1190">
        <f t="shared" si="23"/>
        <v>45403</v>
      </c>
      <c r="CF84" s="1190">
        <f t="shared" si="23"/>
        <v>56992</v>
      </c>
      <c r="CG84" s="1190">
        <f t="shared" si="23"/>
        <v>23076</v>
      </c>
      <c r="CH84" s="1190">
        <f t="shared" si="23"/>
        <v>23058</v>
      </c>
      <c r="CI84" s="1190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0"/>
      <c r="AL85" s="1190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9"/>
      <c r="BJ85" s="1189"/>
      <c r="BK85" s="1189"/>
      <c r="BM85" s="473" t="s">
        <v>922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0"/>
      <c r="AL86" s="1190"/>
      <c r="AM86" s="1190"/>
      <c r="AO86" s="473" t="s">
        <v>1036</v>
      </c>
      <c r="AQ86" s="460"/>
      <c r="AR86" s="460"/>
      <c r="AS86" s="460"/>
      <c r="AT86" s="460"/>
      <c r="AW86" s="32" t="s">
        <v>1090</v>
      </c>
      <c r="AZ86" s="1289" t="s">
        <v>1075</v>
      </c>
      <c r="BA86" s="1290"/>
      <c r="BB86" s="1290"/>
      <c r="BC86" s="1290"/>
      <c r="BD86" s="1290"/>
      <c r="BE86" s="1290"/>
      <c r="BF86" s="1290" t="s">
        <v>1076</v>
      </c>
      <c r="BG86" s="1290"/>
      <c r="BH86" s="1290"/>
      <c r="BI86" s="1290" t="s">
        <v>1076</v>
      </c>
      <c r="BJ86" s="1290"/>
      <c r="BK86" s="1290"/>
      <c r="BM86" s="1297" t="s">
        <v>1069</v>
      </c>
      <c r="BN86" s="1297"/>
      <c r="BO86" s="1297"/>
      <c r="BP86" s="1297"/>
      <c r="BQ86" s="1297"/>
      <c r="BR86" s="1297"/>
      <c r="BS86" s="1297"/>
      <c r="BT86" s="1297"/>
      <c r="BU86" s="1297"/>
      <c r="BV86" s="1297"/>
      <c r="BW86" s="1297"/>
      <c r="BX86" s="1297"/>
      <c r="BY86" s="1297"/>
      <c r="BZ86" s="1297"/>
      <c r="CA86" s="1297"/>
      <c r="CB86" s="1297"/>
      <c r="CC86" s="1297"/>
      <c r="CD86" s="1297"/>
      <c r="CE86" s="1297"/>
      <c r="CF86" s="1297"/>
      <c r="CG86" s="1297"/>
      <c r="CH86" s="1297"/>
      <c r="CI86" s="1297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0"/>
      <c r="AL87" s="1190"/>
      <c r="AM87" s="1190"/>
      <c r="AO87" s="1108"/>
      <c r="AP87" s="1303" t="s">
        <v>1035</v>
      </c>
      <c r="AQ87" s="1304"/>
      <c r="AR87" s="1304"/>
      <c r="AS87" s="1304"/>
      <c r="AT87" s="1304"/>
      <c r="AV87" s="1109" t="s">
        <v>1039</v>
      </c>
      <c r="AW87" s="1305" t="s">
        <v>1040</v>
      </c>
      <c r="AX87" s="1306"/>
      <c r="AY87" s="1306"/>
      <c r="AZ87" s="1289">
        <v>2018</v>
      </c>
      <c r="BA87" s="1290"/>
      <c r="BB87" s="1290"/>
      <c r="BC87" s="1290"/>
      <c r="BD87" s="1290"/>
      <c r="BE87" s="1291"/>
      <c r="BF87" s="1289">
        <v>2040</v>
      </c>
      <c r="BG87" s="1290"/>
      <c r="BH87" s="1291"/>
      <c r="BI87" s="1289">
        <v>2070</v>
      </c>
      <c r="BJ87" s="1290"/>
      <c r="BK87" s="1291"/>
      <c r="BM87" s="1116" t="s">
        <v>1041</v>
      </c>
      <c r="BN87" s="1117" t="s">
        <v>1042</v>
      </c>
      <c r="BO87" s="1117" t="s">
        <v>1043</v>
      </c>
      <c r="BP87" s="1117" t="s">
        <v>1044</v>
      </c>
      <c r="BQ87" s="1116" t="s">
        <v>1045</v>
      </c>
      <c r="BR87" s="1117" t="s">
        <v>1046</v>
      </c>
      <c r="BS87" s="1117" t="s">
        <v>1047</v>
      </c>
      <c r="BT87" s="1117" t="s">
        <v>1048</v>
      </c>
      <c r="BU87" s="1116" t="s">
        <v>1049</v>
      </c>
      <c r="BV87" s="1117" t="s">
        <v>1050</v>
      </c>
      <c r="BW87" s="1117" t="s">
        <v>1051</v>
      </c>
      <c r="BX87" s="1117" t="s">
        <v>1052</v>
      </c>
      <c r="BY87" s="1116" t="s">
        <v>1053</v>
      </c>
      <c r="BZ87" s="1117" t="s">
        <v>1054</v>
      </c>
      <c r="CA87" s="1117" t="s">
        <v>1055</v>
      </c>
      <c r="CB87" s="1117" t="s">
        <v>1056</v>
      </c>
      <c r="CC87" s="1116" t="s">
        <v>1057</v>
      </c>
      <c r="CD87" s="1117" t="s">
        <v>1058</v>
      </c>
      <c r="CE87" s="1117" t="s">
        <v>1059</v>
      </c>
      <c r="CF87" s="1117" t="s">
        <v>1060</v>
      </c>
      <c r="CG87" s="1116" t="s">
        <v>1061</v>
      </c>
      <c r="CH87" s="1117" t="s">
        <v>1062</v>
      </c>
      <c r="CI87" s="1117" t="s">
        <v>1063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5"/>
      <c r="AK88" s="1190"/>
      <c r="AL88" s="1190"/>
      <c r="AM88" s="1190"/>
      <c r="AO88" s="1108"/>
      <c r="AP88" s="1109">
        <v>2017</v>
      </c>
      <c r="AQ88" s="1109">
        <v>2021</v>
      </c>
      <c r="AR88" s="1109">
        <v>2026</v>
      </c>
      <c r="AS88" s="1109">
        <v>2031</v>
      </c>
      <c r="AT88" s="1109">
        <v>2040</v>
      </c>
      <c r="AU88" s="1109" t="s">
        <v>1037</v>
      </c>
      <c r="AV88" s="1109">
        <v>2030</v>
      </c>
      <c r="AW88" s="1109" t="s">
        <v>293</v>
      </c>
      <c r="AX88" s="1109" t="s">
        <v>44</v>
      </c>
      <c r="AY88" s="1132" t="s">
        <v>46</v>
      </c>
      <c r="AZ88" s="1130" t="s">
        <v>293</v>
      </c>
      <c r="BA88" s="1119" t="s">
        <v>44</v>
      </c>
      <c r="BB88" s="1119" t="s">
        <v>46</v>
      </c>
      <c r="BC88" s="1119" t="s">
        <v>293</v>
      </c>
      <c r="BD88" s="1119" t="s">
        <v>44</v>
      </c>
      <c r="BE88" s="1131" t="s">
        <v>46</v>
      </c>
      <c r="BF88" s="1130" t="s">
        <v>293</v>
      </c>
      <c r="BG88" s="1119" t="s">
        <v>44</v>
      </c>
      <c r="BH88" s="1131" t="s">
        <v>46</v>
      </c>
      <c r="BI88" s="1130" t="s">
        <v>293</v>
      </c>
      <c r="BJ88" s="1119" t="s">
        <v>44</v>
      </c>
      <c r="BK88" s="1131" t="s">
        <v>46</v>
      </c>
      <c r="BM88" s="1295" t="s">
        <v>895</v>
      </c>
      <c r="BN88" s="1295" t="s">
        <v>42</v>
      </c>
      <c r="BO88" s="1113" t="s">
        <v>1064</v>
      </c>
      <c r="BP88" s="1114">
        <v>0</v>
      </c>
      <c r="BQ88" s="1114">
        <v>0</v>
      </c>
      <c r="BR88" s="1114">
        <v>1</v>
      </c>
      <c r="BS88" s="1114">
        <v>0</v>
      </c>
      <c r="BT88" s="1114">
        <v>6</v>
      </c>
      <c r="BU88" s="1114">
        <v>0</v>
      </c>
      <c r="BV88" s="1114">
        <v>2</v>
      </c>
      <c r="BW88" s="1114">
        <v>5</v>
      </c>
      <c r="BX88" s="1114">
        <v>10</v>
      </c>
      <c r="BY88" s="1114">
        <v>5</v>
      </c>
      <c r="BZ88" s="1114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5"/>
      <c r="AK89" s="1190"/>
      <c r="AL89" s="1190"/>
      <c r="AM89" s="1190"/>
      <c r="AO89" s="1110" t="s">
        <v>1038</v>
      </c>
      <c r="AP89" s="1111">
        <v>27721</v>
      </c>
      <c r="AQ89" s="1111">
        <v>30852</v>
      </c>
      <c r="AR89" s="1111">
        <v>27398</v>
      </c>
      <c r="AS89" s="1111">
        <v>27821</v>
      </c>
      <c r="AT89" s="1111">
        <v>24291</v>
      </c>
      <c r="AU89" s="344">
        <f>SUM(AU90:AU120)</f>
        <v>1.0000144840422065</v>
      </c>
      <c r="AV89" s="1111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96"/>
      <c r="BN89" s="1296"/>
      <c r="BO89" s="1113" t="s">
        <v>1065</v>
      </c>
      <c r="BP89" s="460"/>
      <c r="CA89" s="1114">
        <v>3</v>
      </c>
      <c r="CB89" s="1114">
        <v>4</v>
      </c>
      <c r="CC89" s="1114">
        <v>4</v>
      </c>
      <c r="CD89" s="1114">
        <v>4</v>
      </c>
      <c r="CE89" s="1114">
        <v>4</v>
      </c>
      <c r="CF89" s="1114">
        <v>4</v>
      </c>
      <c r="CG89" s="1114">
        <v>4</v>
      </c>
      <c r="CH89" s="1114">
        <v>4</v>
      </c>
      <c r="CI89" s="1114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5"/>
      <c r="AK90" s="1190"/>
      <c r="AL90" s="1190"/>
      <c r="AM90" s="1190"/>
      <c r="AN90" s="460"/>
      <c r="AO90" s="1104" t="s">
        <v>1007</v>
      </c>
      <c r="AP90" s="1104">
        <v>328</v>
      </c>
      <c r="AQ90" s="1104">
        <v>395</v>
      </c>
      <c r="AR90" s="1104">
        <v>398</v>
      </c>
      <c r="AS90" s="1104">
        <v>423</v>
      </c>
      <c r="AT90" s="1104">
        <v>392</v>
      </c>
      <c r="AU90" s="1122">
        <f t="shared" ref="AU90:AU120" si="27">SUM(AP90:AT90)/SUM($AP$89:$AT$89)</f>
        <v>1.4020552855891022E-2</v>
      </c>
      <c r="AV90" s="1104">
        <f t="shared" ref="AV90:AV120" si="28">AR90+4/5*(AS90-AR90)</f>
        <v>418</v>
      </c>
      <c r="AW90" s="1200">
        <f>AVERAGE(SUM(CA89:CI89)/SUM(CA89:CI93),INDEX(BE52:BG82,MATCH(AO90,AY52:AY82,0),MATCH(AW88,BE51:BG51,0)))</f>
        <v>1.6572659274820309E-2</v>
      </c>
      <c r="AX90" s="1120">
        <f>AVERAGE(SUM(CA91:CI91)/SUM(CA89:CI93),INDEX(BE52:BG82,MATCH(AO90,AY52:AY82,0),MATCH(AX88,BE51:BG51,0)))</f>
        <v>0.65475693103350818</v>
      </c>
      <c r="AY90" s="1120">
        <f>AVERAGE(SUM(CA93:CI93)/SUM(CA89:CI93),INDEX(BE52:BG82,MATCH(AO90,AY52:AY82,0),MATCH(AY88,BE51:BG51,0)))</f>
        <v>0.32867040969167144</v>
      </c>
      <c r="AZ90" s="1133" cm="1">
        <f t="array" ref="AZ90">INDEX($I$43:$CH$43,MATCH(AZ$88&amp;AO90,$I$33:$CH$33&amp;$I$32:$CH$32,0))</f>
        <v>1272.084432974631</v>
      </c>
      <c r="BA90" s="1124" cm="1">
        <f t="array" ref="BA90">INDEX($I$43:$CH$43,MATCH(BA$88&amp;AO90,$I$33:$CH$33&amp;$I$32:$CH$32,0))</f>
        <v>9017.3696255538798</v>
      </c>
      <c r="BB90" s="1124" cm="1">
        <f t="array" ref="BB90">INDEX($I$43:$CH$43,MATCH(BB$88&amp;AO90,$I$33:$CH$33&amp;$I$32:$CH$32,0))</f>
        <v>10817.00516141598</v>
      </c>
      <c r="BC90" s="1133">
        <f>(AZ90*(1+AW90))</f>
        <v>1293.1662548511226</v>
      </c>
      <c r="BD90" s="1124">
        <f t="shared" ref="BD90:BE90" si="29">(BA90*(1+AX90))</f>
        <v>14921.554887576312</v>
      </c>
      <c r="BE90" s="1124">
        <f t="shared" si="29"/>
        <v>14372.234679455496</v>
      </c>
      <c r="BF90" s="1133">
        <f>BC90*(BF123/$BC$122)</f>
        <v>2147.2393448382686</v>
      </c>
      <c r="BG90" s="1124">
        <f t="shared" ref="BG90:BG96" si="30">BD90*($BG$123/$BD$122)</f>
        <v>13306.39232706811</v>
      </c>
      <c r="BH90" s="1137">
        <f t="shared" ref="BH90:BH96" si="31">BE90*($BH$123/$BE$122)</f>
        <v>12190.632162909209</v>
      </c>
      <c r="BI90" s="1133">
        <f>BC90*($BI$123/$BC$122)</f>
        <v>4018.6603783691717</v>
      </c>
      <c r="BJ90" s="1124">
        <f>BD90*($BJ$123/$BD$122)</f>
        <v>14882.390276614156</v>
      </c>
      <c r="BK90" s="1137">
        <f t="shared" ref="BK90:BK120" si="32">BE90*($BK$123/$BE$122)</f>
        <v>12032.722707781786</v>
      </c>
      <c r="BL90" s="460"/>
      <c r="BM90" s="1296"/>
      <c r="BN90" s="1295" t="s">
        <v>1066</v>
      </c>
      <c r="BO90" s="1113" t="s">
        <v>1064</v>
      </c>
      <c r="BP90" s="1114">
        <v>15</v>
      </c>
      <c r="BQ90" s="1114">
        <v>3</v>
      </c>
      <c r="BR90" s="1114">
        <v>2</v>
      </c>
      <c r="BS90" s="1114">
        <v>32</v>
      </c>
      <c r="BT90" s="1114">
        <v>33</v>
      </c>
      <c r="BU90" s="1114">
        <v>33</v>
      </c>
      <c r="BV90" s="1114">
        <v>47</v>
      </c>
      <c r="BW90" s="1114">
        <v>161</v>
      </c>
      <c r="BX90" s="1114">
        <v>127</v>
      </c>
      <c r="BY90" s="1114">
        <v>117</v>
      </c>
      <c r="BZ90" s="1114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5"/>
      <c r="AK91" s="1190"/>
      <c r="AL91" s="1190"/>
      <c r="AM91" s="1190"/>
      <c r="AO91" s="1105" t="s">
        <v>1008</v>
      </c>
      <c r="AP91" s="1105">
        <v>364</v>
      </c>
      <c r="AQ91" s="1105">
        <v>451</v>
      </c>
      <c r="AR91" s="1105">
        <v>454</v>
      </c>
      <c r="AS91" s="1105">
        <v>496</v>
      </c>
      <c r="AT91" s="1105">
        <v>448</v>
      </c>
      <c r="AU91" s="1123">
        <f t="shared" si="27"/>
        <v>1.6026592701491132E-2</v>
      </c>
      <c r="AV91" s="1105">
        <f t="shared" si="28"/>
        <v>487.6</v>
      </c>
      <c r="AW91" s="1201">
        <f>AVERAGE(SUM(CA95:CI95)/SUM($CA$95:$CI$99),INDEX($BE$52:$BG$82,MATCH(AO91,$AY$52:$AY$82,0),MATCH($AW$88,$BE$51:$BG$51,0)))</f>
        <v>4.488590075616606E-2</v>
      </c>
      <c r="AX91" s="1121">
        <f>AVERAGE(SUM(CA97:CI97)/SUM($CA$95:$CI$99),INDEX($BE$52:$BG$82,MATCH($AO$91,$AY$52:$AY$82,0),MATCH(AX88,$BE$51:$BG$51,0)))</f>
        <v>0.28850150085020843</v>
      </c>
      <c r="AY91" s="1121">
        <f>AVERAGE(SUM(CA99:CI99)/SUM($CA$95:$CI$99),INDEX($BE$52:$BG$82,MATCH($AO$91,$AY$52:$AY$82,0),MATCH(AY88,$BE$51:$BG$51,0)))</f>
        <v>0.66661259839362552</v>
      </c>
      <c r="AZ91" s="1134" cm="1">
        <f t="array" ref="AZ91">INDEX($I$43:$CH$43,MATCH(AZ$88&amp;AO91,$I$33:$CH$33&amp;$I$32:$CH$32,0))</f>
        <v>1271.052567009926</v>
      </c>
      <c r="BA91" s="1125" cm="1">
        <f t="array" ref="BA91">INDEX($I$43:$CH$43,MATCH(BA$88&amp;AO91,$I$33:$CH$33&amp;$I$32:$CH$32,0))</f>
        <v>7706.8792520168045</v>
      </c>
      <c r="BB91" s="1125" cm="1">
        <f t="array" ref="BB91">INDEX($I$43:$CH$43,MATCH(BB$88&amp;AO91,$I$33:$CH$33&amp;$I$32:$CH$32,0))</f>
        <v>18119.875348525962</v>
      </c>
      <c r="BC91" s="1134">
        <f t="shared" ref="BC91:BC120" si="33">(AZ91*(1+AW91))</f>
        <v>1328.1049063886037</v>
      </c>
      <c r="BD91" s="1125">
        <f t="shared" ref="BD91:BD120" si="34">(BA91*(1+AX91))</f>
        <v>9930.3254830949845</v>
      </c>
      <c r="BE91" s="1125">
        <f t="shared" ref="BE91:BE120" si="35">(BB91*(1+AY91))</f>
        <v>30198.812537175454</v>
      </c>
      <c r="BF91" s="1134">
        <f t="shared" ref="BF91:BF96" si="36">BC91*($BF$123/$BC$122)</f>
        <v>2205.2532676076271</v>
      </c>
      <c r="BG91" s="1125">
        <f t="shared" si="30"/>
        <v>8855.43147541287</v>
      </c>
      <c r="BH91" s="1138">
        <f t="shared" si="31"/>
        <v>25614.848602743827</v>
      </c>
      <c r="BI91" s="1134">
        <f t="shared" ref="BI91:BI120" si="37">BC91*($BI$123/$BC$122)</f>
        <v>4127.2361891596311</v>
      </c>
      <c r="BJ91" s="1125">
        <f t="shared" ref="BJ91:BJ120" si="38">BD91*($BJ$123/$BD$122)</f>
        <v>9904.2613539071608</v>
      </c>
      <c r="BK91" s="1138">
        <f t="shared" si="32"/>
        <v>25283.050650678848</v>
      </c>
      <c r="BL91" s="460"/>
      <c r="BM91" s="1296"/>
      <c r="BN91" s="1296"/>
      <c r="BO91" s="1113" t="s">
        <v>1065</v>
      </c>
      <c r="BP91" s="460"/>
      <c r="CA91" s="1114">
        <v>182</v>
      </c>
      <c r="CB91" s="1114">
        <v>200</v>
      </c>
      <c r="CC91" s="1114">
        <v>216</v>
      </c>
      <c r="CD91" s="1114">
        <v>231</v>
      </c>
      <c r="CE91" s="1114">
        <v>246</v>
      </c>
      <c r="CF91" s="1114">
        <v>261</v>
      </c>
      <c r="CG91" s="1114">
        <v>277</v>
      </c>
      <c r="CH91" s="1114">
        <v>292</v>
      </c>
      <c r="CI91" s="1114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5"/>
      <c r="AK92" s="1190"/>
      <c r="AL92" s="1190"/>
      <c r="AM92" s="1190"/>
      <c r="AO92" s="1104" t="s">
        <v>1009</v>
      </c>
      <c r="AP92" s="1104">
        <v>482</v>
      </c>
      <c r="AQ92" s="1104">
        <v>591</v>
      </c>
      <c r="AR92" s="1104">
        <v>567</v>
      </c>
      <c r="AS92" s="1104">
        <v>583</v>
      </c>
      <c r="AT92" s="1104">
        <v>458</v>
      </c>
      <c r="AU92" s="1122">
        <f t="shared" si="27"/>
        <v>1.9415858577811897E-2</v>
      </c>
      <c r="AV92" s="1104">
        <f t="shared" si="28"/>
        <v>579.79999999999995</v>
      </c>
      <c r="AW92" s="1200">
        <f>AVERAGE(SUM(CA101:CI101)/SUM($CA$101:$CI$105),INDEX($BE$52:$BG$82,MATCH(AO92,$AY$52:$AY$82,0),MATCH($AW$88,$BE$51:$BG$51,0)))</f>
        <v>2.5361077111383107E-2</v>
      </c>
      <c r="AX92" s="1120">
        <f>AVERAGE(SUM(CA103:CI103)/SUM($CA$101:$CI$105),INDEX($BE$52:$BG$82,MATCH(AO92,$AY$52:$AY$82,0),MATCH($AX$88,$BE$51:$BG$51,0)))</f>
        <v>0.52120461036311716</v>
      </c>
      <c r="AY92" s="1120">
        <f>AVERAGE(SUM(CA105:CI105)/SUM($CA$101:$CI$105),INDEX($BE$52:$BG$82,MATCH(AO92,$AY$52:$AY$82,0),MATCH($AY$88,$BE$51:$BG$51,0)))</f>
        <v>0.45343431252549982</v>
      </c>
      <c r="AZ92" s="1133" cm="1">
        <f t="array" ref="AZ92">INDEX($I$43:$CH$43,MATCH(AZ$88&amp;AO92,$I$33:$CH$33&amp;$I$32:$CH$32,0))</f>
        <v>2491.2235846235253</v>
      </c>
      <c r="BA92" s="1124" cm="1">
        <f t="array" ref="BA92">INDEX($I$43:$CH$43,MATCH(BA$88&amp;AO92,$I$33:$CH$33&amp;$I$32:$CH$32,0))</f>
        <v>15118.989670799881</v>
      </c>
      <c r="BB92" s="1124" cm="1">
        <f t="array" ref="BB92">INDEX($I$43:$CH$43,MATCH(BB$88&amp;AO92,$I$33:$CH$33&amp;$I$32:$CH$32,0))</f>
        <v>26221.499459384846</v>
      </c>
      <c r="BC92" s="1133">
        <f>(AZ92*(1+AW92))</f>
        <v>2554.4036980548585</v>
      </c>
      <c r="BD92" s="1124">
        <f t="shared" si="34"/>
        <v>22999.076791253126</v>
      </c>
      <c r="BE92" s="1124">
        <f t="shared" si="35"/>
        <v>38111.22704013878</v>
      </c>
      <c r="BF92" s="1133">
        <f t="shared" si="36"/>
        <v>4241.4624588972301</v>
      </c>
      <c r="BG92" s="1124">
        <f t="shared" si="30"/>
        <v>20509.574320541178</v>
      </c>
      <c r="BH92" s="1137">
        <f t="shared" si="31"/>
        <v>32326.215128366712</v>
      </c>
      <c r="BI92" s="1133">
        <f t="shared" si="37"/>
        <v>7938.0983637827385</v>
      </c>
      <c r="BJ92" s="1124">
        <f t="shared" si="38"/>
        <v>22938.711105384278</v>
      </c>
      <c r="BK92" s="1137">
        <f t="shared" si="32"/>
        <v>31907.48253525449</v>
      </c>
      <c r="BL92" s="460"/>
      <c r="BM92" s="1296"/>
      <c r="BN92" s="1295" t="s">
        <v>1067</v>
      </c>
      <c r="BO92" s="1113" t="s">
        <v>1064</v>
      </c>
      <c r="BP92" s="1114">
        <v>88</v>
      </c>
      <c r="BQ92" s="1114">
        <v>52</v>
      </c>
      <c r="BR92" s="1114">
        <v>39</v>
      </c>
      <c r="BS92" s="1114">
        <v>41</v>
      </c>
      <c r="BT92" s="1114">
        <v>60</v>
      </c>
      <c r="BU92" s="1114">
        <v>50</v>
      </c>
      <c r="BV92" s="1114">
        <v>51</v>
      </c>
      <c r="BW92" s="1114">
        <v>62</v>
      </c>
      <c r="BX92" s="1114">
        <v>53</v>
      </c>
      <c r="BY92" s="1114">
        <v>73</v>
      </c>
      <c r="BZ92" s="1114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5"/>
      <c r="AK93" s="1190"/>
      <c r="AL93" s="1190"/>
      <c r="AM93" s="1190"/>
      <c r="AO93" s="1105" t="s">
        <v>326</v>
      </c>
      <c r="AP93" s="1105">
        <v>833</v>
      </c>
      <c r="AQ93" s="1105">
        <v>962</v>
      </c>
      <c r="AR93" s="1105">
        <v>900</v>
      </c>
      <c r="AS93" s="1105">
        <v>998</v>
      </c>
      <c r="AT93" s="1105">
        <v>696</v>
      </c>
      <c r="AU93" s="1123">
        <f t="shared" si="27"/>
        <v>3.1785230622162035E-2</v>
      </c>
      <c r="AV93" s="1105">
        <f t="shared" si="28"/>
        <v>978.4</v>
      </c>
      <c r="AW93" s="1201">
        <f>AVERAGE(SUM(CA107:CI107)/SUM($CA$107:$CI$111),INDEX($BE$52:$BG$82,MATCH($AO$93,$AY$52:$AY$82,0),MATCH(AW88,$BE$51:$BG$51,0)))</f>
        <v>0.12411850830160684</v>
      </c>
      <c r="AX93" s="1121">
        <f>AVERAGE(SUM(CA109:CI109)/SUM($CA$107:$CI$111),INDEX($BE$52:$BG$82,MATCH($AO$93,$AY$52:$AY$82,0),MATCH(AX88,$BE$51:$BG$51,0)))</f>
        <v>0.54269118882254208</v>
      </c>
      <c r="AY93" s="1121">
        <f>AVERAGE(SUM(CA111:CI111)/SUM($CA$107:$CI$111),INDEX($BE$52:$BG$82,MATCH($AO$93,$AY$52:$AY$82,0),MATCH(AY88,$BE$51:$BG$51,0)))</f>
        <v>0.33319030287585105</v>
      </c>
      <c r="AZ93" s="1134" cm="1">
        <f t="array" ref="AZ93">INDEX($I$43:$CH$43,MATCH(AZ$88&amp;AO93,$I$33:$CH$33&amp;$I$32:$CH$32,0))</f>
        <v>18164.569738528382</v>
      </c>
      <c r="BA93" s="1125" cm="1">
        <f t="array" ref="BA93">INDEX($I$43:$CH$43,MATCH(BA$88&amp;AO93,$I$33:$CH$33&amp;$I$32:$CH$32,0))</f>
        <v>91446.903647123108</v>
      </c>
      <c r="BB93" s="1125" cm="1">
        <f t="array" ref="BB93">INDEX($I$43:$CH$43,MATCH(BB$88&amp;AO93,$I$33:$CH$33&amp;$I$32:$CH$32,0))</f>
        <v>88706.618668082694</v>
      </c>
      <c r="BC93" s="1134">
        <f t="shared" si="33"/>
        <v>20419.129038415031</v>
      </c>
      <c r="BD93" s="1125">
        <f t="shared" si="34"/>
        <v>141074.33250152081</v>
      </c>
      <c r="BE93" s="1125">
        <f t="shared" si="35"/>
        <v>118262.80380919381</v>
      </c>
      <c r="BF93" s="1134">
        <f t="shared" si="36"/>
        <v>33904.965501641578</v>
      </c>
      <c r="BG93" s="1125">
        <f t="shared" si="30"/>
        <v>125803.94132433481</v>
      </c>
      <c r="BH93" s="1138">
        <f t="shared" si="31"/>
        <v>100311.35532827243</v>
      </c>
      <c r="BI93" s="1134">
        <f t="shared" si="37"/>
        <v>63454.752642716354</v>
      </c>
      <c r="BJ93" s="1125">
        <f t="shared" si="38"/>
        <v>140704.0546457078</v>
      </c>
      <c r="BK93" s="1138">
        <f t="shared" si="32"/>
        <v>99011.98780973017</v>
      </c>
      <c r="BL93" s="460"/>
      <c r="BM93" s="1296"/>
      <c r="BN93" s="1296"/>
      <c r="BO93" s="1113" t="s">
        <v>1065</v>
      </c>
      <c r="BP93" s="460"/>
      <c r="CA93" s="1114">
        <v>70</v>
      </c>
      <c r="CB93" s="1114">
        <v>69</v>
      </c>
      <c r="CC93" s="1114">
        <v>69</v>
      </c>
      <c r="CD93" s="1114">
        <v>69</v>
      </c>
      <c r="CE93" s="1114">
        <v>69</v>
      </c>
      <c r="CF93" s="1114">
        <v>69</v>
      </c>
      <c r="CG93" s="1114">
        <v>69</v>
      </c>
      <c r="CH93" s="1114">
        <v>69</v>
      </c>
      <c r="CI93" s="1114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5"/>
      <c r="AK94" s="1190"/>
      <c r="AL94" s="1190"/>
      <c r="AM94" s="1190"/>
      <c r="AO94" s="1104" t="s">
        <v>1010</v>
      </c>
      <c r="AP94" s="1106">
        <v>2320</v>
      </c>
      <c r="AQ94" s="1106">
        <v>2583</v>
      </c>
      <c r="AR94" s="1106">
        <v>2259</v>
      </c>
      <c r="AS94" s="1106">
        <v>2206</v>
      </c>
      <c r="AT94" s="1106">
        <v>2040</v>
      </c>
      <c r="AU94" s="1122">
        <f t="shared" si="27"/>
        <v>8.2616976745870235E-2</v>
      </c>
      <c r="AV94" s="1106">
        <f t="shared" si="28"/>
        <v>2216.6</v>
      </c>
      <c r="AW94" s="1200"/>
      <c r="AX94" s="1120"/>
      <c r="AY94" s="1120"/>
      <c r="AZ94" s="1133"/>
      <c r="BA94" s="1124"/>
      <c r="BB94" s="1124"/>
      <c r="BC94" s="1133">
        <f t="shared" si="33"/>
        <v>0</v>
      </c>
      <c r="BD94" s="1124">
        <f t="shared" si="34"/>
        <v>0</v>
      </c>
      <c r="BE94" s="1124">
        <f t="shared" si="35"/>
        <v>0</v>
      </c>
      <c r="BF94" s="1133">
        <f t="shared" si="36"/>
        <v>0</v>
      </c>
      <c r="BG94" s="1124">
        <f t="shared" si="30"/>
        <v>0</v>
      </c>
      <c r="BH94" s="1137">
        <f t="shared" si="31"/>
        <v>0</v>
      </c>
      <c r="BI94" s="1133">
        <f t="shared" si="37"/>
        <v>0</v>
      </c>
      <c r="BJ94" s="1124">
        <f t="shared" si="38"/>
        <v>0</v>
      </c>
      <c r="BK94" s="1137">
        <f t="shared" si="32"/>
        <v>0</v>
      </c>
      <c r="BL94" s="460"/>
      <c r="BM94" s="1295" t="s">
        <v>893</v>
      </c>
      <c r="BN94" s="1295" t="s">
        <v>42</v>
      </c>
      <c r="BO94" s="1113" t="s">
        <v>1064</v>
      </c>
      <c r="BP94" s="1114">
        <v>1</v>
      </c>
      <c r="BQ94" s="1114">
        <v>2</v>
      </c>
      <c r="BR94" s="1114">
        <v>0</v>
      </c>
      <c r="BS94" s="1114">
        <v>2</v>
      </c>
      <c r="BT94" s="1114">
        <v>5</v>
      </c>
      <c r="BU94" s="1114">
        <v>6</v>
      </c>
      <c r="BV94" s="1114">
        <v>27</v>
      </c>
      <c r="BW94" s="1114">
        <v>5</v>
      </c>
      <c r="BX94" s="1114">
        <v>9</v>
      </c>
      <c r="BY94" s="1114">
        <v>10</v>
      </c>
      <c r="BZ94" s="1114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5"/>
      <c r="AK95" s="1190"/>
      <c r="AL95" s="1190"/>
      <c r="AM95" s="1115"/>
      <c r="AO95" s="1105" t="s">
        <v>1011</v>
      </c>
      <c r="AP95" s="1105">
        <v>668</v>
      </c>
      <c r="AQ95" s="1105">
        <v>875</v>
      </c>
      <c r="AR95" s="1105">
        <v>892</v>
      </c>
      <c r="AS95" s="1105">
        <v>979</v>
      </c>
      <c r="AT95" s="1105">
        <v>827</v>
      </c>
      <c r="AU95" s="1123">
        <f t="shared" si="27"/>
        <v>3.0713411498881106E-2</v>
      </c>
      <c r="AV95" s="1105">
        <f t="shared" si="28"/>
        <v>961.6</v>
      </c>
      <c r="AW95" s="1201">
        <f>AVERAGE(SUM(CA113:CI113)/SUM($CA$113:$CI$117),INDEX($BE$52:$BG$82,MATCH($AO$95,$AY$52:$AY$82,0),MATCH(AW88,$BE$51:$BG$51,0)))</f>
        <v>6.4791324007637485E-2</v>
      </c>
      <c r="AX95" s="1121">
        <f>AVERAGE(SUM(CA115:CI115)/SUM($CA$113:$CI$117),INDEX($BE$52:$BG$82,MATCH($AO$95,$AY$52:$AY$82,0),MATCH(AX88,$BE$51:$BG$51,0)))</f>
        <v>0.26660730091357843</v>
      </c>
      <c r="AY95" s="1121">
        <f>AVERAGE(SUM(CA117:CI117)/SUM($CA$113:$CI$117),INDEX($BE$52:$BG$82,MATCH($AO$95,$AY$52:$AY$82,0),MATCH(AY88,$BE$51:$BG$51,0)))</f>
        <v>0.66860137507878403</v>
      </c>
      <c r="AZ95" s="1134" cm="1">
        <f t="array" ref="AZ95">INDEX($I$43:$CH$43,MATCH(AZ$88&amp;AO95,$I$33:$CH$33&amp;$I$32:$CH$32,0))</f>
        <v>2392.9923596273825</v>
      </c>
      <c r="BA95" s="1125" cm="1">
        <f t="array" ref="BA95">INDEX($I$43:$CH$43,MATCH(BA$88&amp;AO95,$I$33:$CH$33&amp;$I$32:$CH$32,0))</f>
        <v>15881.582138278784</v>
      </c>
      <c r="BB95" s="1125" cm="1">
        <f t="array" ref="BB95">INDEX($I$43:$CH$43,MATCH(BB$88&amp;AO95,$I$33:$CH$33&amp;$I$32:$CH$32,0))</f>
        <v>40738.467908725754</v>
      </c>
      <c r="BC95" s="1134">
        <f t="shared" si="33"/>
        <v>2548.0375029478009</v>
      </c>
      <c r="BD95" s="1125">
        <f t="shared" si="34"/>
        <v>20115.72788640259</v>
      </c>
      <c r="BE95" s="1125">
        <f t="shared" si="35"/>
        <v>67976.263571102711</v>
      </c>
      <c r="BF95" s="1134">
        <f t="shared" si="36"/>
        <v>4230.8917031575793</v>
      </c>
      <c r="BG95" s="1125">
        <f t="shared" si="30"/>
        <v>17938.329431330083</v>
      </c>
      <c r="BH95" s="1138">
        <f t="shared" si="31"/>
        <v>57657.952537390192</v>
      </c>
      <c r="BI95" s="1134">
        <f t="shared" si="37"/>
        <v>7918.3146925481024</v>
      </c>
      <c r="BJ95" s="1125">
        <f t="shared" si="38"/>
        <v>20062.930127534477</v>
      </c>
      <c r="BK95" s="1138">
        <f t="shared" si="32"/>
        <v>56911.089228968514</v>
      </c>
      <c r="BL95" s="460"/>
      <c r="BM95" s="1296"/>
      <c r="BN95" s="1296"/>
      <c r="BO95" s="1113" t="s">
        <v>1065</v>
      </c>
      <c r="BP95" s="460"/>
      <c r="CA95" s="1114">
        <v>6</v>
      </c>
      <c r="CB95" s="1114">
        <v>8</v>
      </c>
      <c r="CC95" s="1114">
        <v>8</v>
      </c>
      <c r="CD95" s="1114">
        <v>8</v>
      </c>
      <c r="CE95" s="1114">
        <v>8</v>
      </c>
      <c r="CF95" s="1114">
        <v>8</v>
      </c>
      <c r="CG95" s="1114">
        <v>8</v>
      </c>
      <c r="CH95" s="1114">
        <v>8</v>
      </c>
      <c r="CI95" s="1114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5"/>
      <c r="AK96" s="1190"/>
      <c r="AL96" s="1190"/>
      <c r="AM96" s="1115"/>
      <c r="AO96" s="1104" t="s">
        <v>334</v>
      </c>
      <c r="AP96" s="1106">
        <v>4190</v>
      </c>
      <c r="AQ96" s="1106">
        <v>4333</v>
      </c>
      <c r="AR96" s="1106">
        <v>3278</v>
      </c>
      <c r="AS96" s="1106">
        <v>3415</v>
      </c>
      <c r="AT96" s="1106">
        <v>3293</v>
      </c>
      <c r="AU96" s="1122">
        <f t="shared" si="27"/>
        <v>0.1340425686000449</v>
      </c>
      <c r="AV96" s="1106">
        <f t="shared" si="28"/>
        <v>3387.6</v>
      </c>
      <c r="AW96" s="1200">
        <f>AVERAGE(SUM(CA119:CI119)/SUM($CA$119:$CI$123),INDEX($BE$52:$BG$82,MATCH($AO$96,$AY$52:$AY$82,0),MATCH(AW88,$BE$51:$BG$51,0)))</f>
        <v>0.61920361303689897</v>
      </c>
      <c r="AX96" s="1120">
        <f>AVERAGE(SUM(CA121:CI121)/SUM($CA$119:$CI$123),INDEX($BE$52:$BG$82,MATCH($AO$96,$AY$52:$AY$82,0),MATCH(AX88,$BE$51:$BG$51,0)))</f>
        <v>0.34480423513807723</v>
      </c>
      <c r="AY96" s="1120">
        <f>AVERAGE(SUM(CA123:CI123)/SUM($CA$119:$CI$123),INDEX($BE$52:$BG$82,MATCH($AO$96,$AY$52:$AY$82,0),MATCH(AY88,$BE$51:$BG$51,0)))</f>
        <v>3.5992151825023813E-2</v>
      </c>
      <c r="AZ96" s="1133" cm="1">
        <f t="array" ref="AZ96">INDEX($I$43:$CH$43,MATCH(AZ$88&amp;AO96,$I$33:$CH$33&amp;$I$32:$CH$32,0))</f>
        <v>123314.67820831671</v>
      </c>
      <c r="BA96" s="1124" cm="1">
        <f t="array" ref="BA96">INDEX($I$43:$CH$43,MATCH(BA$88&amp;AO96,$I$33:$CH$33&amp;$I$32:$CH$32,0))</f>
        <v>299739.87494657928</v>
      </c>
      <c r="BB96" s="1124" cm="1">
        <f t="array" ref="BB96">INDEX($I$43:$CH$43,MATCH(BB$88&amp;AO96,$I$33:$CH$33&amp;$I$32:$CH$32,0))</f>
        <v>56159.174425610254</v>
      </c>
      <c r="BC96" s="1133">
        <f>(AZ96*(1+AW96))</f>
        <v>199671.57249538897</v>
      </c>
      <c r="BD96" s="1124">
        <f t="shared" si="34"/>
        <v>403091.4532679175</v>
      </c>
      <c r="BE96" s="1124">
        <f t="shared" si="35"/>
        <v>58180.463957904816</v>
      </c>
      <c r="BF96" s="1133">
        <f t="shared" si="36"/>
        <v>331544.88442569622</v>
      </c>
      <c r="BG96" s="1124">
        <f t="shared" si="30"/>
        <v>359459.39020984754</v>
      </c>
      <c r="BH96" s="1137">
        <f t="shared" si="31"/>
        <v>49349.085302097592</v>
      </c>
      <c r="BI96" s="1133">
        <f t="shared" si="37"/>
        <v>620501.99196256173</v>
      </c>
      <c r="BJ96" s="1124">
        <f t="shared" si="38"/>
        <v>402033.45897252724</v>
      </c>
      <c r="BK96" s="1137">
        <f t="shared" si="32"/>
        <v>48709.849611367732</v>
      </c>
      <c r="BL96" s="460"/>
      <c r="BM96" s="1296"/>
      <c r="BN96" s="1295" t="s">
        <v>1066</v>
      </c>
      <c r="BO96" s="1113" t="s">
        <v>1064</v>
      </c>
      <c r="BP96" s="1114">
        <v>56</v>
      </c>
      <c r="BQ96" s="1114">
        <v>1</v>
      </c>
      <c r="BR96" s="1114">
        <v>4</v>
      </c>
      <c r="BS96" s="1114">
        <v>13</v>
      </c>
      <c r="BT96" s="1114">
        <v>15</v>
      </c>
      <c r="BU96" s="1114">
        <v>30</v>
      </c>
      <c r="BV96" s="1114">
        <v>24</v>
      </c>
      <c r="BW96" s="1114">
        <v>49</v>
      </c>
      <c r="BX96" s="1114">
        <v>21</v>
      </c>
      <c r="BY96" s="1114">
        <v>68</v>
      </c>
      <c r="BZ96" s="1114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5"/>
      <c r="AK97" s="1190"/>
      <c r="AL97" s="1190"/>
      <c r="AM97" s="1115"/>
      <c r="AO97" s="1105" t="s">
        <v>1012</v>
      </c>
      <c r="AP97" s="1107">
        <v>1756</v>
      </c>
      <c r="AQ97" s="1107">
        <v>1930</v>
      </c>
      <c r="AR97" s="1107">
        <v>1636</v>
      </c>
      <c r="AS97" s="1107">
        <v>1550</v>
      </c>
      <c r="AT97" s="1107">
        <v>1296</v>
      </c>
      <c r="AU97" s="1123">
        <f t="shared" si="27"/>
        <v>5.9152828371341871E-2</v>
      </c>
      <c r="AV97" s="1107">
        <f t="shared" si="28"/>
        <v>1567.2</v>
      </c>
      <c r="AW97" s="1201"/>
      <c r="AX97" s="1121"/>
      <c r="AY97" s="1121"/>
      <c r="AZ97" s="1134"/>
      <c r="BA97" s="1125"/>
      <c r="BB97" s="1125"/>
      <c r="BC97" s="1134"/>
      <c r="BD97" s="1125"/>
      <c r="BE97" s="1125"/>
      <c r="BF97" s="1134"/>
      <c r="BG97" s="1125"/>
      <c r="BH97" s="1138"/>
      <c r="BI97" s="1134">
        <f t="shared" si="37"/>
        <v>0</v>
      </c>
      <c r="BJ97" s="1125">
        <f t="shared" si="38"/>
        <v>0</v>
      </c>
      <c r="BK97" s="1138">
        <f t="shared" si="32"/>
        <v>0</v>
      </c>
      <c r="BL97" s="460"/>
      <c r="BM97" s="1296"/>
      <c r="BN97" s="1296"/>
      <c r="BO97" s="1113" t="s">
        <v>1065</v>
      </c>
      <c r="BP97" s="460"/>
      <c r="CA97" s="1114">
        <v>70</v>
      </c>
      <c r="CB97" s="1114">
        <v>67</v>
      </c>
      <c r="CC97" s="1114">
        <v>67</v>
      </c>
      <c r="CD97" s="1114">
        <v>67</v>
      </c>
      <c r="CE97" s="1114">
        <v>67</v>
      </c>
      <c r="CF97" s="1114">
        <v>67</v>
      </c>
      <c r="CG97" s="1114">
        <v>67</v>
      </c>
      <c r="CH97" s="1114">
        <v>67</v>
      </c>
      <c r="CI97" s="1114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5"/>
      <c r="AK98" s="1190"/>
      <c r="AL98" s="1190"/>
      <c r="AM98" s="1115"/>
      <c r="AO98" s="1104" t="s">
        <v>1013</v>
      </c>
      <c r="AP98" s="1106">
        <v>2034</v>
      </c>
      <c r="AQ98" s="1106">
        <v>2152</v>
      </c>
      <c r="AR98" s="1106">
        <v>1381</v>
      </c>
      <c r="AS98" s="1104">
        <v>977</v>
      </c>
      <c r="AT98" s="1104">
        <v>743</v>
      </c>
      <c r="AU98" s="1122">
        <f t="shared" si="27"/>
        <v>5.2772607779379067E-2</v>
      </c>
      <c r="AV98" s="1106">
        <f t="shared" si="28"/>
        <v>1057.8</v>
      </c>
      <c r="AW98" s="1200"/>
      <c r="AX98" s="1120"/>
      <c r="AY98" s="1120"/>
      <c r="AZ98" s="1133"/>
      <c r="BA98" s="1124"/>
      <c r="BB98" s="1124"/>
      <c r="BC98" s="1133"/>
      <c r="BD98" s="1124"/>
      <c r="BE98" s="1124"/>
      <c r="BF98" s="1133"/>
      <c r="BG98" s="1124"/>
      <c r="BH98" s="1137"/>
      <c r="BI98" s="1133">
        <f t="shared" si="37"/>
        <v>0</v>
      </c>
      <c r="BJ98" s="1124">
        <f t="shared" si="38"/>
        <v>0</v>
      </c>
      <c r="BK98" s="1137">
        <f t="shared" si="32"/>
        <v>0</v>
      </c>
      <c r="BL98" s="460"/>
      <c r="BM98" s="1296"/>
      <c r="BN98" s="1295" t="s">
        <v>1067</v>
      </c>
      <c r="BO98" s="1113" t="s">
        <v>1064</v>
      </c>
      <c r="BP98" s="1114">
        <v>114</v>
      </c>
      <c r="BQ98" s="1114">
        <v>96</v>
      </c>
      <c r="BR98" s="1114">
        <v>65</v>
      </c>
      <c r="BS98" s="1114">
        <v>87</v>
      </c>
      <c r="BT98" s="1114">
        <v>71</v>
      </c>
      <c r="BU98" s="1114">
        <v>109</v>
      </c>
      <c r="BV98" s="1114">
        <v>93</v>
      </c>
      <c r="BW98" s="1114">
        <v>106</v>
      </c>
      <c r="BX98" s="1114">
        <v>109</v>
      </c>
      <c r="BY98" s="1114">
        <v>120</v>
      </c>
      <c r="BZ98" s="1114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5"/>
      <c r="AK99" s="1190"/>
      <c r="AL99" s="1190"/>
      <c r="AM99" s="1115"/>
      <c r="AO99" s="1105" t="s">
        <v>1014</v>
      </c>
      <c r="AP99" s="1107">
        <v>1952</v>
      </c>
      <c r="AQ99" s="1107">
        <v>2058</v>
      </c>
      <c r="AR99" s="1107">
        <v>1491</v>
      </c>
      <c r="AS99" s="1107">
        <v>1233</v>
      </c>
      <c r="AT99" s="1107">
        <v>1087</v>
      </c>
      <c r="AU99" s="1123">
        <f t="shared" si="27"/>
        <v>5.6639847048514297E-2</v>
      </c>
      <c r="AV99" s="1107">
        <f t="shared" si="28"/>
        <v>1284.5999999999999</v>
      </c>
      <c r="AW99" s="1201"/>
      <c r="AX99" s="1121"/>
      <c r="AY99" s="1121"/>
      <c r="AZ99" s="1134"/>
      <c r="BA99" s="1125"/>
      <c r="BB99" s="1125"/>
      <c r="BC99" s="1134"/>
      <c r="BD99" s="1125"/>
      <c r="BE99" s="1125"/>
      <c r="BF99" s="1134"/>
      <c r="BG99" s="1125"/>
      <c r="BH99" s="1138"/>
      <c r="BI99" s="1134">
        <f t="shared" si="37"/>
        <v>0</v>
      </c>
      <c r="BJ99" s="1125">
        <f t="shared" si="38"/>
        <v>0</v>
      </c>
      <c r="BK99" s="1138">
        <f t="shared" si="32"/>
        <v>0</v>
      </c>
      <c r="BL99" s="460"/>
      <c r="BM99" s="1296"/>
      <c r="BN99" s="1296"/>
      <c r="BO99" s="1113" t="s">
        <v>1065</v>
      </c>
      <c r="BP99" s="460"/>
      <c r="CA99" s="1114">
        <v>117</v>
      </c>
      <c r="CB99" s="1114">
        <v>120</v>
      </c>
      <c r="CC99" s="1114">
        <v>120</v>
      </c>
      <c r="CD99" s="1114">
        <v>120</v>
      </c>
      <c r="CE99" s="1114">
        <v>120</v>
      </c>
      <c r="CF99" s="1114">
        <v>120</v>
      </c>
      <c r="CG99" s="1114">
        <v>120</v>
      </c>
      <c r="CH99" s="1114">
        <v>120</v>
      </c>
      <c r="CI99" s="1114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5"/>
      <c r="AK100" s="1190"/>
      <c r="AL100" s="1190"/>
      <c r="AM100" s="1115"/>
      <c r="AO100" s="1104" t="s">
        <v>336</v>
      </c>
      <c r="AP100" s="1104">
        <v>296</v>
      </c>
      <c r="AQ100" s="1104">
        <v>297</v>
      </c>
      <c r="AR100" s="1104">
        <v>284</v>
      </c>
      <c r="AS100" s="1104">
        <v>341</v>
      </c>
      <c r="AT100" s="1104">
        <v>185</v>
      </c>
      <c r="AU100" s="1122">
        <f t="shared" si="27"/>
        <v>1.0160555607859041E-2</v>
      </c>
      <c r="AV100" s="1104">
        <f t="shared" si="28"/>
        <v>329.6</v>
      </c>
      <c r="AW100" s="1200">
        <f>AVERAGE(SUM(CA125:CI125)/SUM($CA$125:$CI$129),INDEX($BE$52:$BG$82,MATCH($AO$100,$AY$52:$AY$82,0),MATCH(AW88,$BE$51:$BG$51,0)))</f>
        <v>0.11988193565932714</v>
      </c>
      <c r="AX100" s="1120">
        <f>AVERAGE(SUM(CA127:CI127)/SUM($CA$125:$CI$129),INDEX($BE$52:$BG$82,MATCH($AO$100,$AY$52:$AY$82,0),MATCH(AX88,$BE$51:$BG$51,0)))</f>
        <v>0.34281354844162659</v>
      </c>
      <c r="AY100" s="1120">
        <f>AVERAGE(SUM(CA129:CI129)/SUM($CA$125:$CI$129),INDEX($BE$52:$BG$82,MATCH($AO$100,$AY$52:$AY$82,0),MATCH(AY88,$BE$51:$BG$51,0)))</f>
        <v>0.53730451589904615</v>
      </c>
      <c r="AZ100" s="1133" cm="1">
        <f t="array" ref="AZ100">INDEX($I$43:$CH$43,MATCH(AZ$88&amp;AO100,$I$33:$CH$33&amp;$I$32:$CH$32,0))</f>
        <v>9881.5892011882625</v>
      </c>
      <c r="BA100" s="1124" cm="1">
        <f t="array" ref="BA100">INDEX($I$43:$CH$43,MATCH(BA$88&amp;AO100,$I$33:$CH$33&amp;$I$32:$CH$32,0))</f>
        <v>27589.465054026703</v>
      </c>
      <c r="BB100" s="1124" cm="1">
        <f t="array" ref="BB100">INDEX($I$43:$CH$43,MATCH(BB$88&amp;AO100,$I$33:$CH$33&amp;$I$32:$CH$32,0))</f>
        <v>55372.585087977008</v>
      </c>
      <c r="BC100" s="1133">
        <f t="shared" si="33"/>
        <v>11066.213242017016</v>
      </c>
      <c r="BD100" s="1124">
        <f t="shared" si="34"/>
        <v>37047.507468803851</v>
      </c>
      <c r="BE100" s="1124">
        <f t="shared" si="35"/>
        <v>85124.525112751231</v>
      </c>
      <c r="BF100" s="1133">
        <f t="shared" ref="BF100:BF120" si="39">BC100*($BF$123/$BC$122)</f>
        <v>18374.90607452079</v>
      </c>
      <c r="BG100" s="1124">
        <f t="shared" ref="BG100:BG120" si="40">BD100*($BG$123/$BD$122)</f>
        <v>33037.352530220276</v>
      </c>
      <c r="BH100" s="1137">
        <f t="shared" ref="BH100:BH120" si="41">BE100*($BH$123/$BE$122)</f>
        <v>72203.230523034625</v>
      </c>
      <c r="BI100" s="1133">
        <f t="shared" si="37"/>
        <v>34389.509104069424</v>
      </c>
      <c r="BJ100" s="1124">
        <f t="shared" si="38"/>
        <v>36950.26886142914</v>
      </c>
      <c r="BK100" s="1137">
        <f t="shared" si="32"/>
        <v>71267.95722153825</v>
      </c>
      <c r="BL100" s="460"/>
      <c r="BM100" s="1295" t="s">
        <v>892</v>
      </c>
      <c r="BN100" s="1295" t="s">
        <v>42</v>
      </c>
      <c r="BO100" s="1113" t="s">
        <v>1064</v>
      </c>
      <c r="BP100" s="1114">
        <v>7</v>
      </c>
      <c r="BQ100" s="1114">
        <v>2</v>
      </c>
      <c r="BR100" s="1114">
        <v>2</v>
      </c>
      <c r="BS100" s="1114">
        <v>3</v>
      </c>
      <c r="BT100" s="1114">
        <v>2</v>
      </c>
      <c r="BU100" s="1114">
        <v>6</v>
      </c>
      <c r="BV100" s="1114">
        <v>12</v>
      </c>
      <c r="BW100" s="1114">
        <v>2</v>
      </c>
      <c r="BX100" s="1114">
        <v>16</v>
      </c>
      <c r="BY100" s="1114">
        <v>20</v>
      </c>
      <c r="BZ100" s="1114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5"/>
      <c r="AK101" s="1190"/>
      <c r="AL101" s="1190"/>
      <c r="AM101" s="1115"/>
      <c r="AO101" s="1105" t="s">
        <v>1015</v>
      </c>
      <c r="AP101" s="1107">
        <v>1030</v>
      </c>
      <c r="AQ101" s="1107">
        <v>1144</v>
      </c>
      <c r="AR101" s="1107">
        <v>1021</v>
      </c>
      <c r="AS101" s="1105">
        <v>953</v>
      </c>
      <c r="AT101" s="1105">
        <v>843</v>
      </c>
      <c r="AU101" s="1123">
        <f t="shared" si="27"/>
        <v>3.614492732631823E-2</v>
      </c>
      <c r="AV101" s="1107">
        <f t="shared" si="28"/>
        <v>966.6</v>
      </c>
      <c r="AW101" s="1201"/>
      <c r="AX101" s="1121"/>
      <c r="AY101" s="1121"/>
      <c r="AZ101" s="1134"/>
      <c r="BA101" s="1125"/>
      <c r="BB101" s="1125"/>
      <c r="BC101" s="1134">
        <f t="shared" si="33"/>
        <v>0</v>
      </c>
      <c r="BD101" s="1125">
        <f t="shared" si="34"/>
        <v>0</v>
      </c>
      <c r="BE101" s="1125">
        <f t="shared" si="35"/>
        <v>0</v>
      </c>
      <c r="BF101" s="1134">
        <f t="shared" si="39"/>
        <v>0</v>
      </c>
      <c r="BG101" s="1125">
        <f t="shared" si="40"/>
        <v>0</v>
      </c>
      <c r="BH101" s="1138">
        <f t="shared" si="41"/>
        <v>0</v>
      </c>
      <c r="BI101" s="1134">
        <f t="shared" si="37"/>
        <v>0</v>
      </c>
      <c r="BJ101" s="1125">
        <f t="shared" si="38"/>
        <v>0</v>
      </c>
      <c r="BK101" s="1138">
        <f t="shared" si="32"/>
        <v>0</v>
      </c>
      <c r="BL101" s="460"/>
      <c r="BM101" s="1296"/>
      <c r="BN101" s="1296"/>
      <c r="BO101" s="1113" t="s">
        <v>1065</v>
      </c>
      <c r="BP101" s="460"/>
      <c r="CA101" s="1114">
        <v>20</v>
      </c>
      <c r="CB101" s="1114">
        <v>14</v>
      </c>
      <c r="CC101" s="1114">
        <v>14</v>
      </c>
      <c r="CD101" s="1114">
        <v>14</v>
      </c>
      <c r="CE101" s="1114">
        <v>14</v>
      </c>
      <c r="CF101" s="1114">
        <v>14</v>
      </c>
      <c r="CG101" s="1114">
        <v>14</v>
      </c>
      <c r="CH101" s="1114">
        <v>14</v>
      </c>
      <c r="CI101" s="1114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5"/>
      <c r="AK102" s="1190"/>
      <c r="AL102" s="1190"/>
      <c r="AM102" s="1115"/>
      <c r="AO102" s="1104" t="s">
        <v>1016</v>
      </c>
      <c r="AP102" s="1104">
        <v>779</v>
      </c>
      <c r="AQ102" s="1104">
        <v>929</v>
      </c>
      <c r="AR102" s="1104">
        <v>879</v>
      </c>
      <c r="AS102" s="1104">
        <v>926</v>
      </c>
      <c r="AT102" s="1104">
        <v>833</v>
      </c>
      <c r="AU102" s="1122">
        <f t="shared" si="27"/>
        <v>3.1473823714722307E-2</v>
      </c>
      <c r="AV102" s="1104">
        <f t="shared" si="28"/>
        <v>916.6</v>
      </c>
      <c r="AW102" s="1200">
        <f>AVERAGE(SUM(CA131:CI131)/SUM($CA$131:$CI$135),INDEX($BE$52:$BG$82,MATCH($AO$102,$AY$52:$AY$82,0),MATCH(AW88,$BE$51:$BG$51,0)))</f>
        <v>6.5655683269859433E-2</v>
      </c>
      <c r="AX102" s="1120">
        <f>AVERAGE(SUM(CA133:CI133)/SUM($CA$131:$CI$135),INDEX($BE$52:$BG$82,MATCH($AO$102,$AY$52:$AY$82,0),MATCH(AX88,$BE$51:$BG$51,0)))</f>
        <v>0.41554022050775619</v>
      </c>
      <c r="AY102" s="1120">
        <f>AVERAGE(SUM(CA135:CI135)/SUM($CA$131:$CI$135),INDEX($BE$52:$BG$82,MATCH($AO$102,$AY$52:$AY$82,0),MATCH(AY88,$BE$51:$BG$51,0)))</f>
        <v>0.51880409622238433</v>
      </c>
      <c r="AZ102" s="1133" cm="1">
        <f t="array" ref="AZ102">INDEX($I$43:$CH$43,MATCH(AZ$88&amp;AO102,$I$33:$CH$33&amp;$I$32:$CH$32,0))</f>
        <v>2906.0721193547802</v>
      </c>
      <c r="BA102" s="1124" cm="1">
        <f t="array" ref="BA102">INDEX($I$43:$CH$43,MATCH(BA$88&amp;AO102,$I$33:$CH$33&amp;$I$32:$CH$32,0))</f>
        <v>15686.699374231552</v>
      </c>
      <c r="BB102" s="1124" cm="1">
        <f t="array" ref="BB102">INDEX($I$43:$CH$43,MATCH(BB$88&amp;AO102,$I$33:$CH$33&amp;$I$32:$CH$32,0))</f>
        <v>36376.580790193235</v>
      </c>
      <c r="BC102" s="1133">
        <f t="shared" si="33"/>
        <v>3096.8722699825066</v>
      </c>
      <c r="BD102" s="1124">
        <f t="shared" si="34"/>
        <v>22205.15389123861</v>
      </c>
      <c r="BE102" s="1124">
        <f t="shared" si="35"/>
        <v>55248.899910709981</v>
      </c>
      <c r="BF102" s="1133">
        <f t="shared" si="39"/>
        <v>5142.2050019474082</v>
      </c>
      <c r="BG102" s="1124">
        <f t="shared" si="40"/>
        <v>19801.58847961299</v>
      </c>
      <c r="BH102" s="1137">
        <f t="shared" si="41"/>
        <v>46862.511727533922</v>
      </c>
      <c r="BI102" s="1133">
        <f t="shared" si="37"/>
        <v>9623.8807976640819</v>
      </c>
      <c r="BJ102" s="1124">
        <f t="shared" si="38"/>
        <v>22146.87201511662</v>
      </c>
      <c r="BK102" s="1137">
        <f t="shared" si="32"/>
        <v>46255.485480337942</v>
      </c>
      <c r="BL102" s="460"/>
      <c r="BM102" s="1296"/>
      <c r="BN102" s="1295" t="s">
        <v>1066</v>
      </c>
      <c r="BO102" s="1113" t="s">
        <v>1064</v>
      </c>
      <c r="BP102" s="1114">
        <v>15</v>
      </c>
      <c r="BQ102" s="1114">
        <v>12</v>
      </c>
      <c r="BR102" s="1114">
        <v>9</v>
      </c>
      <c r="BS102" s="1114">
        <v>42</v>
      </c>
      <c r="BT102" s="1114">
        <v>29</v>
      </c>
      <c r="BU102" s="1114">
        <v>73</v>
      </c>
      <c r="BV102" s="1114">
        <v>102</v>
      </c>
      <c r="BW102" s="1114">
        <v>71</v>
      </c>
      <c r="BX102" s="1114">
        <v>158</v>
      </c>
      <c r="BY102" s="1114">
        <v>156</v>
      </c>
      <c r="BZ102" s="1114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5"/>
      <c r="AK103" s="1190"/>
      <c r="AL103" s="1190"/>
      <c r="AM103" s="1115"/>
      <c r="AO103" s="1105" t="s">
        <v>1017</v>
      </c>
      <c r="AP103" s="1107">
        <v>1397</v>
      </c>
      <c r="AQ103" s="1107">
        <v>1494</v>
      </c>
      <c r="AR103" s="1107">
        <v>1464</v>
      </c>
      <c r="AS103" s="1107">
        <v>1517</v>
      </c>
      <c r="AT103" s="1107">
        <v>1281</v>
      </c>
      <c r="AU103" s="1123">
        <f t="shared" si="27"/>
        <v>5.1802176951543634E-2</v>
      </c>
      <c r="AV103" s="1107">
        <f t="shared" si="28"/>
        <v>1506.4</v>
      </c>
      <c r="AW103" s="1201">
        <f>AVERAGE(SUM(CA137:CI137)/SUM($CA$137:$CI$141),INDEX($BE$52:$BG$82,MATCH($AO$103,$AY$52:$AY$82,0),MATCH(AW88,$BE$51:$BG$51,0)))</f>
        <v>0.10582727632219724</v>
      </c>
      <c r="AX103" s="1121">
        <f>AVERAGE(SUM(CA139:CI139)/SUM($CA$137:$CI$141),INDEX($BE$52:$BG$82,MATCH($AO$103,$AY$52:$AY$82,0),MATCH(AX88,$BE$51:$BG$51,0)))</f>
        <v>0.78236125118369082</v>
      </c>
      <c r="AY103" s="1121">
        <f>AVERAGE(SUM(CA141:CI141)/SUM($CA$137:$CI$141),INDEX($BE$52:$BG$82,MATCH($AO$103,$AY$52:$AY$82,0),MATCH(AY88,$BE$51:$BG$51,0)))</f>
        <v>0.11181147249411197</v>
      </c>
      <c r="AZ103" s="1134" cm="1">
        <f t="array" ref="AZ103">INDEX($I$43:$CH$43,MATCH(AZ$88&amp;AO103,$I$33:$CH$33&amp;$I$32:$CH$32,0))</f>
        <v>7363.7968231969135</v>
      </c>
      <c r="BA103" s="1125" cm="1">
        <f t="array" ref="BA103">INDEX($I$43:$CH$43,MATCH(BA$88&amp;AO103,$I$33:$CH$33&amp;$I$32:$CH$32,0))</f>
        <v>38144.204386107944</v>
      </c>
      <c r="BB103" s="1125" cm="1">
        <f t="array" ref="BB103">INDEX($I$43:$CH$43,MATCH(BB$88&amp;AO103,$I$33:$CH$33&amp;$I$32:$CH$32,0))</f>
        <v>30304.517514538838</v>
      </c>
      <c r="BC103" s="1134">
        <f t="shared" si="33"/>
        <v>8143.0873843858917</v>
      </c>
      <c r="BD103" s="1125">
        <f t="shared" si="34"/>
        <v>67986.751855029783</v>
      </c>
      <c r="BE103" s="1125">
        <f t="shared" si="35"/>
        <v>33692.910241063029</v>
      </c>
      <c r="BF103" s="1134">
        <f t="shared" si="39"/>
        <v>13521.198496029834</v>
      </c>
      <c r="BG103" s="1125">
        <f t="shared" si="40"/>
        <v>60627.622258004121</v>
      </c>
      <c r="BH103" s="1138">
        <f t="shared" si="41"/>
        <v>28578.567244928763</v>
      </c>
      <c r="BI103" s="1134">
        <f t="shared" si="37"/>
        <v>25305.564931399218</v>
      </c>
      <c r="BJ103" s="1125">
        <f t="shared" si="38"/>
        <v>67808.307000787419</v>
      </c>
      <c r="BK103" s="1138">
        <f t="shared" si="32"/>
        <v>28208.379225008048</v>
      </c>
      <c r="BL103" s="460"/>
      <c r="BM103" s="1296"/>
      <c r="BN103" s="1296"/>
      <c r="BO103" s="1113" t="s">
        <v>1065</v>
      </c>
      <c r="BP103" s="460"/>
      <c r="CA103" s="1114">
        <v>291</v>
      </c>
      <c r="CB103" s="1114">
        <v>326</v>
      </c>
      <c r="CC103" s="1114">
        <v>387</v>
      </c>
      <c r="CD103" s="1114">
        <v>448</v>
      </c>
      <c r="CE103" s="1114">
        <v>509</v>
      </c>
      <c r="CF103" s="1114">
        <v>570</v>
      </c>
      <c r="CG103" s="1114">
        <v>631</v>
      </c>
      <c r="CH103" s="1114">
        <v>692</v>
      </c>
      <c r="CI103" s="1114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5"/>
      <c r="AK104" s="1190"/>
      <c r="AL104" s="1190"/>
      <c r="AM104" s="1115"/>
      <c r="AO104" s="1104" t="s">
        <v>1018</v>
      </c>
      <c r="AP104" s="1104">
        <v>529</v>
      </c>
      <c r="AQ104" s="1104">
        <v>574</v>
      </c>
      <c r="AR104" s="1104">
        <v>600</v>
      </c>
      <c r="AS104" s="1104">
        <v>663</v>
      </c>
      <c r="AT104" s="1104">
        <v>675</v>
      </c>
      <c r="AU104" s="1122">
        <f t="shared" si="27"/>
        <v>2.2022986174981714E-2</v>
      </c>
      <c r="AV104" s="1104">
        <f t="shared" si="28"/>
        <v>650.4</v>
      </c>
      <c r="AW104" s="1200">
        <f>AVERAGE(SUM(CA143:CI143)/SUM($CA$143:$CI$147),INDEX($BE$52:$BG$82,MATCH($AO$104,$AY$52:$AY$82,0),MATCH(AW88,$BE$51:$BG$51,0)))</f>
        <v>8.780490886292644E-2</v>
      </c>
      <c r="AX104" s="1120">
        <f>AVERAGE(SUM(CA145:CI145)/SUM($CA$143:$CI$147),INDEX($BE$52:$BG$82,MATCH($AO$104,$AY$52:$AY$82,0),MATCH(AX88,$BE$51:$BG$51,0)))</f>
        <v>0.33767414903461979</v>
      </c>
      <c r="AY104" s="1120">
        <f>AVERAGE(SUM(CA147:CI147)/SUM($CA$143:$CI$147),INDEX($BE$52:$BG$82,MATCH($AO$104,$AY$52:$AY$82,0),MATCH(AY88,$BE$51:$BG$51,0)))</f>
        <v>0.57452094210245375</v>
      </c>
      <c r="AZ104" s="1133" cm="1">
        <f t="array" ref="AZ104">INDEX($I$43:$CH$43,MATCH(AZ$88&amp;AO104,$I$33:$CH$33&amp;$I$32:$CH$32,0))</f>
        <v>1751.3817529766175</v>
      </c>
      <c r="BA104" s="1124" cm="1">
        <f t="array" ref="BA104">INDEX($I$43:$CH$43,MATCH(BA$88&amp;AO104,$I$33:$CH$33&amp;$I$32:$CH$32,0))</f>
        <v>12508.441600918088</v>
      </c>
      <c r="BB104" s="1124" cm="1">
        <f t="array" ref="BB104">INDEX($I$43:$CH$43,MATCH(BB$88&amp;AO104,$I$33:$CH$33&amp;$I$32:$CH$32,0))</f>
        <v>20891.382011189213</v>
      </c>
      <c r="BC104" s="1133">
        <f t="shared" si="33"/>
        <v>1905.1616681809217</v>
      </c>
      <c r="BD104" s="1124">
        <f t="shared" si="34"/>
        <v>16732.218974257339</v>
      </c>
      <c r="BE104" s="1124">
        <f t="shared" si="35"/>
        <v>32893.918486079892</v>
      </c>
      <c r="BF104" s="1133">
        <f t="shared" si="39"/>
        <v>3163.4278089531094</v>
      </c>
      <c r="BG104" s="1124">
        <f t="shared" si="40"/>
        <v>14921.063645937858</v>
      </c>
      <c r="BH104" s="1137">
        <f t="shared" si="41"/>
        <v>27900.856728545397</v>
      </c>
      <c r="BI104" s="1133">
        <f t="shared" si="37"/>
        <v>5920.5053345502074</v>
      </c>
      <c r="BJ104" s="1124">
        <f t="shared" si="38"/>
        <v>16688.301912557152</v>
      </c>
      <c r="BK104" s="1137">
        <f t="shared" si="32"/>
        <v>27539.447326250585</v>
      </c>
      <c r="BL104" s="460"/>
      <c r="BM104" s="1296"/>
      <c r="BN104" s="1295" t="s">
        <v>1067</v>
      </c>
      <c r="BO104" s="1113" t="s">
        <v>1064</v>
      </c>
      <c r="BP104" s="1114">
        <v>183</v>
      </c>
      <c r="BQ104" s="1114">
        <v>146</v>
      </c>
      <c r="BR104" s="1114">
        <v>112</v>
      </c>
      <c r="BS104" s="1114">
        <v>116</v>
      </c>
      <c r="BT104" s="1114">
        <v>115</v>
      </c>
      <c r="BU104" s="1114">
        <v>147</v>
      </c>
      <c r="BV104" s="1114">
        <v>142</v>
      </c>
      <c r="BW104" s="1114">
        <v>170</v>
      </c>
      <c r="BX104" s="1114">
        <v>209</v>
      </c>
      <c r="BY104" s="1114">
        <v>218</v>
      </c>
      <c r="BZ104" s="1114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5"/>
      <c r="AK105" s="1190"/>
      <c r="AL105" s="1190"/>
      <c r="AM105" s="1115"/>
      <c r="AO105" s="1105" t="s">
        <v>1019</v>
      </c>
      <c r="AP105" s="1105">
        <v>548</v>
      </c>
      <c r="AQ105" s="1105">
        <v>613</v>
      </c>
      <c r="AR105" s="1105">
        <v>611</v>
      </c>
      <c r="AS105" s="1105">
        <v>659</v>
      </c>
      <c r="AT105" s="1105">
        <v>631</v>
      </c>
      <c r="AU105" s="1123">
        <f t="shared" si="27"/>
        <v>2.2175068618149954E-2</v>
      </c>
      <c r="AV105" s="1105">
        <f t="shared" si="28"/>
        <v>649.4</v>
      </c>
      <c r="AW105" s="1201">
        <f>AVERAGE(SUM(CA149:CI149)/SUM($CA$149:$CI$153),INDEX($BE$52:$BG$82,MATCH($AO$105,$AY$52:$AY$82,0),MATCH(AW88,$BE$51:$BG$51,0)))</f>
        <v>4.05964021282611E-2</v>
      </c>
      <c r="AX105" s="1121">
        <f>AVERAGE(SUM(CA151:CI151)/SUM($CA$149:$CI$153),INDEX($BE$52:$BG$82,MATCH($AO$105,$AY$52:$AY$82,0),MATCH(AX88,$BE$51:$BG$51,0)))</f>
        <v>0.50238796871962188</v>
      </c>
      <c r="AY105" s="1121">
        <f>AVERAGE(SUM(CA153:CI153)/SUM($CA$149:$CI$153),INDEX($BE$52:$BG$82,MATCH($AO$105,$AY$52:$AY$82,0),MATCH(AY88,$BE$51:$BG$51,0)))</f>
        <v>0.45701562915211702</v>
      </c>
      <c r="AZ105" s="1134" cm="1">
        <f t="array" ref="AZ105">INDEX($I$43:$CH$43,MATCH(AZ$88&amp;AO105,$I$33:$CH$33&amp;$I$32:$CH$32,0))</f>
        <v>1434.9997251520253</v>
      </c>
      <c r="BA105" s="1125" cm="1">
        <f t="array" ref="BA105">INDEX($I$43:$CH$43,MATCH(BA$88&amp;AO105,$I$33:$CH$33&amp;$I$32:$CH$32,0))</f>
        <v>11510.58391452228</v>
      </c>
      <c r="BB105" s="1125" cm="1">
        <f t="array" ref="BB105">INDEX($I$43:$CH$43,MATCH(BB$88&amp;AO105,$I$33:$CH$33&amp;$I$32:$CH$32,0))</f>
        <v>16295.614216511489</v>
      </c>
      <c r="BC105" s="1134">
        <f t="shared" si="33"/>
        <v>1493.2555510482414</v>
      </c>
      <c r="BD105" s="1125">
        <f t="shared" si="34"/>
        <v>17293.362786115882</v>
      </c>
      <c r="BE105" s="1125">
        <f t="shared" si="35"/>
        <v>23742.964600090669</v>
      </c>
      <c r="BF105" s="1134">
        <f t="shared" si="39"/>
        <v>2479.4778390486781</v>
      </c>
      <c r="BG105" s="1125">
        <f t="shared" si="40"/>
        <v>15421.467241190063</v>
      </c>
      <c r="BH105" s="1138">
        <f t="shared" si="41"/>
        <v>20138.952247309524</v>
      </c>
      <c r="BI105" s="1134">
        <f t="shared" si="37"/>
        <v>4640.4604939743431</v>
      </c>
      <c r="BJ105" s="1125">
        <f t="shared" si="38"/>
        <v>17247.972890032761</v>
      </c>
      <c r="BK105" s="1138">
        <f t="shared" si="32"/>
        <v>19878.085465856992</v>
      </c>
      <c r="BL105" s="460"/>
      <c r="BM105" s="1296"/>
      <c r="BN105" s="1296"/>
      <c r="BO105" s="1113" t="s">
        <v>1065</v>
      </c>
      <c r="BP105" s="460"/>
      <c r="CA105" s="1114">
        <v>197</v>
      </c>
      <c r="CB105" s="1114">
        <v>200</v>
      </c>
      <c r="CC105" s="1114">
        <v>200</v>
      </c>
      <c r="CD105" s="1114">
        <v>200</v>
      </c>
      <c r="CE105" s="1114">
        <v>200</v>
      </c>
      <c r="CF105" s="1114">
        <v>200</v>
      </c>
      <c r="CG105" s="1114">
        <v>200</v>
      </c>
      <c r="CH105" s="1114">
        <v>200</v>
      </c>
      <c r="CI105" s="1114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5"/>
      <c r="AK106" s="1190"/>
      <c r="AL106" s="1190"/>
      <c r="AM106" s="1115"/>
      <c r="AO106" s="1104" t="s">
        <v>1020</v>
      </c>
      <c r="AP106" s="1104">
        <v>113</v>
      </c>
      <c r="AQ106" s="1104">
        <v>161</v>
      </c>
      <c r="AR106" s="1104">
        <v>171</v>
      </c>
      <c r="AS106" s="1104">
        <v>192</v>
      </c>
      <c r="AT106" s="1104">
        <v>173</v>
      </c>
      <c r="AU106" s="1122">
        <f t="shared" si="27"/>
        <v>5.866037093632091E-3</v>
      </c>
      <c r="AV106" s="1104">
        <f t="shared" si="28"/>
        <v>187.8</v>
      </c>
      <c r="AW106" s="1120">
        <f>AVERAGE(SUM(CA155:CI155)/SUM($CA$155:$CI$159),INDEX($BE$52:$BG$82,MATCH($AO$106,$AY$52:$AY$82,0),MATCH(AW88,$BE$51:$BG$51,0)))</f>
        <v>6.9053329174315684E-2</v>
      </c>
      <c r="AX106" s="1120">
        <f>AVERAGE(SUM(CA157:CI157)/SUM($CA$155:$CI$159),INDEX($BE$52:$BG$82,MATCH($AO$106,$AY$52:$AY$82,0),MATCH(AX88,$BE$51:$BG$51,0)))</f>
        <v>0.28878752703787602</v>
      </c>
      <c r="AY106" s="1120">
        <f>AVERAGE(SUM(CA159:CI159)/SUM($CA$155:$CI$159),INDEX($BE$52:$BG$82,MATCH($AO$106,$AY$52:$AY$82,0),MATCH(AY88,$BE$51:$BG$51,0)))</f>
        <v>0.64215914378780825</v>
      </c>
      <c r="AZ106" s="1133" cm="1">
        <f t="array" ref="AZ106">INDEX($I$43:$CH$43,MATCH(AZ$88&amp;AO106,$I$33:$CH$33&amp;$I$32:$CH$32,0))</f>
        <v>543.02409251525864</v>
      </c>
      <c r="BA106" s="1124" cm="1">
        <f t="array" ref="BA106">INDEX($I$43:$CH$43,MATCH(BA$88&amp;AO106,$I$33:$CH$33&amp;$I$32:$CH$32,0))</f>
        <v>2737.7793125602311</v>
      </c>
      <c r="BB106" s="1124" cm="1">
        <f t="array" ref="BB106">INDEX($I$43:$CH$43,MATCH(BB$88&amp;AO106,$I$33:$CH$33&amp;$I$32:$CH$32,0))</f>
        <v>9101.1608576935432</v>
      </c>
      <c r="BC106" s="1133">
        <f t="shared" si="33"/>
        <v>580.52171392529885</v>
      </c>
      <c r="BD106" s="1124">
        <f t="shared" si="34"/>
        <v>3528.4158298099569</v>
      </c>
      <c r="BE106" s="1124">
        <f t="shared" si="35"/>
        <v>14945.554521545144</v>
      </c>
      <c r="BF106" s="1133">
        <f t="shared" si="39"/>
        <v>963.92792496495713</v>
      </c>
      <c r="BG106" s="1124">
        <f t="shared" si="40"/>
        <v>3146.487459130673</v>
      </c>
      <c r="BH106" s="1137">
        <f t="shared" si="41"/>
        <v>12676.926150065066</v>
      </c>
      <c r="BI106" s="1133">
        <f t="shared" si="37"/>
        <v>1804.0368759878766</v>
      </c>
      <c r="BJ106" s="1124">
        <f t="shared" si="38"/>
        <v>3519.1547953984373</v>
      </c>
      <c r="BK106" s="1137">
        <f t="shared" si="32"/>
        <v>12512.717561511474</v>
      </c>
      <c r="BL106" s="460"/>
      <c r="BM106" s="1295" t="s">
        <v>326</v>
      </c>
      <c r="BN106" s="1295" t="s">
        <v>42</v>
      </c>
      <c r="BO106" s="1113" t="s">
        <v>1064</v>
      </c>
      <c r="BP106" s="1114">
        <v>78</v>
      </c>
      <c r="BQ106" s="1114">
        <v>20</v>
      </c>
      <c r="BR106" s="1114">
        <v>13</v>
      </c>
      <c r="BS106" s="1114">
        <v>26</v>
      </c>
      <c r="BT106" s="1114">
        <v>48</v>
      </c>
      <c r="BU106" s="1114">
        <v>79</v>
      </c>
      <c r="BV106" s="1114">
        <v>82</v>
      </c>
      <c r="BW106" s="1114">
        <v>168</v>
      </c>
      <c r="BX106" s="1114">
        <v>110</v>
      </c>
      <c r="BY106" s="1114">
        <v>210</v>
      </c>
      <c r="BZ106" s="1114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5"/>
      <c r="AK107" s="1190"/>
      <c r="AL107" s="1190"/>
      <c r="AM107" s="1115"/>
      <c r="AO107" s="1105" t="s">
        <v>1021</v>
      </c>
      <c r="AP107" s="1107">
        <v>1231</v>
      </c>
      <c r="AQ107" s="1107">
        <v>1263</v>
      </c>
      <c r="AR107" s="1107">
        <v>1110</v>
      </c>
      <c r="AS107" s="1107">
        <v>1101</v>
      </c>
      <c r="AT107" s="1105">
        <v>892</v>
      </c>
      <c r="AU107" s="1123">
        <f t="shared" si="27"/>
        <v>4.0533592114887426E-2</v>
      </c>
      <c r="AV107" s="1107">
        <f t="shared" si="28"/>
        <v>1102.8</v>
      </c>
      <c r="AW107" s="1121">
        <f>AVERAGE(SUM(CA161:CI161)/SUM($CA$161:$CI$165),INDEX($BE$52:$BG$82,MATCH($AO$107,$AY$52:$AY$82,0),MATCH(AW88,$BE$51:$BG$51,0)))</f>
        <v>0.15356458675424192</v>
      </c>
      <c r="AX107" s="1121">
        <f>AVERAGE(SUM(CA163:CI163)/SUM($CA$161:$CI$165),INDEX($BE$52:$BG$82,MATCH($AO$107,$AY$52:$AY$82,0),MATCH(AX88,$BE$51:$BG$51,0)))</f>
        <v>0.52247999230757847</v>
      </c>
      <c r="AY107" s="1121">
        <f>AVERAGE(SUM(CA165:CI165)/SUM($CA$161:$CI$165),INDEX($BE$52:$BG$82,MATCH($AO$107,$AY$52:$AY$82,0),MATCH(AY88,$BE$51:$BG$51,0)))</f>
        <v>0.32395542093817958</v>
      </c>
      <c r="AZ107" s="1134" cm="1">
        <f t="array" ref="AZ107">INDEX($I$43:$CH$43,MATCH(AZ$88&amp;AO107,$I$33:$CH$33&amp;$I$32:$CH$32,0))</f>
        <v>7461.1258002920376</v>
      </c>
      <c r="BA107" s="1125" cm="1">
        <f t="array" ref="BA107">INDEX($I$43:$CH$43,MATCH(BA$88&amp;AO107,$I$33:$CH$33&amp;$I$32:$CH$32,0))</f>
        <v>31695.949118274744</v>
      </c>
      <c r="BB107" s="1125" cm="1">
        <f t="array" ref="BB107">INDEX($I$43:$CH$43,MATCH(BB$88&amp;AO107,$I$33:$CH$33&amp;$I$32:$CH$32,0))</f>
        <v>32750.827361563519</v>
      </c>
      <c r="BC107" s="1134">
        <f t="shared" si="33"/>
        <v>8606.8905005352972</v>
      </c>
      <c r="BD107" s="1125">
        <f t="shared" si="34"/>
        <v>48256.448369772334</v>
      </c>
      <c r="BE107" s="1125">
        <f t="shared" si="35"/>
        <v>43360.635425552478</v>
      </c>
      <c r="BF107" s="1134">
        <f t="shared" si="39"/>
        <v>14291.320895619709</v>
      </c>
      <c r="BG107" s="1125">
        <f t="shared" si="40"/>
        <v>43032.997509778652</v>
      </c>
      <c r="BH107" s="1138">
        <f t="shared" si="41"/>
        <v>36778.800834537076</v>
      </c>
      <c r="BI107" s="1134">
        <f t="shared" si="37"/>
        <v>26746.885565340715</v>
      </c>
      <c r="BJ107" s="1125">
        <f t="shared" si="38"/>
        <v>48129.789650821331</v>
      </c>
      <c r="BK107" s="1138">
        <f t="shared" si="32"/>
        <v>36302.392365935084</v>
      </c>
      <c r="BL107" s="460"/>
      <c r="BM107" s="1296"/>
      <c r="BN107" s="1296"/>
      <c r="BO107" s="1113" t="s">
        <v>1065</v>
      </c>
      <c r="BP107" s="460"/>
      <c r="CA107" s="1114">
        <v>105</v>
      </c>
      <c r="CB107" s="1114">
        <v>110</v>
      </c>
      <c r="CC107" s="1199">
        <v>250</v>
      </c>
      <c r="CD107" s="1199">
        <v>300</v>
      </c>
      <c r="CE107" s="1199">
        <v>550</v>
      </c>
      <c r="CF107" s="1199">
        <v>550</v>
      </c>
      <c r="CG107" s="1199">
        <v>550</v>
      </c>
      <c r="CH107" s="1199">
        <v>550</v>
      </c>
      <c r="CI107" s="1199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5"/>
      <c r="AK108" s="1190"/>
      <c r="AL108" s="1190"/>
      <c r="AM108" s="1115"/>
      <c r="AO108" s="1104" t="s">
        <v>1022</v>
      </c>
      <c r="AP108" s="1104">
        <v>269</v>
      </c>
      <c r="AQ108" s="1104">
        <v>306</v>
      </c>
      <c r="AR108" s="1104">
        <v>312</v>
      </c>
      <c r="AS108" s="1104">
        <v>332</v>
      </c>
      <c r="AT108" s="1104">
        <v>302</v>
      </c>
      <c r="AU108" s="1122">
        <f t="shared" si="27"/>
        <v>1.1015114098042482E-2</v>
      </c>
      <c r="AV108" s="1104">
        <f t="shared" si="28"/>
        <v>328</v>
      </c>
      <c r="AW108" s="1120">
        <f>AVERAGE(SUM(CA167:CI167)/SUM($CA$167:$CI$171),INDEX($BE$52:$BG$82,MATCH($AO$108,$AY$52:$AY$82,0),MATCH(AW88,$BE$51:$BG$51,0)))</f>
        <v>5.2426589421206891E-2</v>
      </c>
      <c r="AX108" s="1120">
        <f>AVERAGE(SUM(CA169:CI169)/SUM($CA$167:$CI$171),INDEX($BE$52:$BG$82,MATCH($AO$108,$AY$52:$AY$82,0),MATCH(AX88,$BE$51:$BG$51,0)))</f>
        <v>0.37940668912811237</v>
      </c>
      <c r="AY108" s="1120">
        <f>AVERAGE(SUM(CA171:CI171)/SUM($CA$167:$CI$171),INDEX($BE$52:$BG$82,MATCH($AO$108,$AY$52:$AY$82,0),MATCH(AY88,$BE$51:$BG$51,0)))</f>
        <v>0.5681667214506807</v>
      </c>
      <c r="AZ108" s="1133" cm="1">
        <f t="array" ref="AZ108">INDEX($I$43:$CH$43,MATCH(AZ$88&amp;AO108,$I$33:$CH$33&amp;$I$32:$CH$32,0))</f>
        <v>691.43208570294928</v>
      </c>
      <c r="BA108" s="1124" cm="1">
        <f t="array" ref="BA108">INDEX($I$43:$CH$43,MATCH(BA$88&amp;AO108,$I$33:$CH$33&amp;$I$32:$CH$32,0))</f>
        <v>4746.2770797513549</v>
      </c>
      <c r="BB108" s="1124" cm="1">
        <f t="array" ref="BB108">INDEX($I$43:$CH$43,MATCH(BB$88&amp;AO108,$I$33:$CH$33&amp;$I$32:$CH$32,0))</f>
        <v>9718.9087422298653</v>
      </c>
      <c r="BC108" s="1133">
        <f t="shared" si="33"/>
        <v>727.68151177274649</v>
      </c>
      <c r="BD108" s="1124">
        <f t="shared" si="34"/>
        <v>6547.0463522644613</v>
      </c>
      <c r="BE108" s="1124">
        <f t="shared" si="35"/>
        <v>15240.869258380966</v>
      </c>
      <c r="BF108" s="1133">
        <f t="shared" si="39"/>
        <v>1208.2795748252174</v>
      </c>
      <c r="BG108" s="1124">
        <f t="shared" si="40"/>
        <v>5838.3705989826285</v>
      </c>
      <c r="BH108" s="1137">
        <f t="shared" si="41"/>
        <v>12927.414220246525</v>
      </c>
      <c r="BI108" s="1133">
        <f t="shared" si="37"/>
        <v>2261.352589787135</v>
      </c>
      <c r="BJ108" s="1124">
        <f t="shared" si="38"/>
        <v>6529.8623171374566</v>
      </c>
      <c r="BK108" s="1137">
        <f t="shared" si="32"/>
        <v>12759.960973487379</v>
      </c>
      <c r="BL108" s="460"/>
      <c r="BM108" s="1296"/>
      <c r="BN108" s="1295" t="s">
        <v>1066</v>
      </c>
      <c r="BO108" s="1113" t="s">
        <v>1064</v>
      </c>
      <c r="BP108" s="1114">
        <v>133</v>
      </c>
      <c r="BQ108" s="1114">
        <v>122</v>
      </c>
      <c r="BR108" s="1114">
        <v>186</v>
      </c>
      <c r="BS108" s="1114">
        <v>140</v>
      </c>
      <c r="BT108" s="1114">
        <v>304</v>
      </c>
      <c r="BU108" s="1114">
        <v>425</v>
      </c>
      <c r="BV108" s="1114">
        <v>756</v>
      </c>
      <c r="BW108" s="1114">
        <v>943</v>
      </c>
      <c r="BX108" s="1114">
        <v>1391</v>
      </c>
      <c r="BY108" s="1114">
        <v>1619</v>
      </c>
      <c r="BZ108" s="1114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5"/>
      <c r="AK109" s="1190"/>
      <c r="AL109" s="1190"/>
      <c r="AM109" s="1115"/>
      <c r="AO109" s="1105" t="s">
        <v>1023</v>
      </c>
      <c r="AP109" s="1105">
        <v>743</v>
      </c>
      <c r="AQ109" s="1105">
        <v>841</v>
      </c>
      <c r="AR109" s="1105">
        <v>812</v>
      </c>
      <c r="AS109" s="1105">
        <v>853</v>
      </c>
      <c r="AT109" s="1105">
        <v>744</v>
      </c>
      <c r="AU109" s="1123">
        <f t="shared" si="27"/>
        <v>2.8917390265275233E-2</v>
      </c>
      <c r="AV109" s="1105">
        <f t="shared" si="28"/>
        <v>844.8</v>
      </c>
      <c r="AW109" s="1121">
        <f>AVERAGE(SUM(CA173:CI173)/SUM($CA$173:$CI$177),INDEX($BE$52:$BG$82,MATCH($AO$109,$AY$52:$AY$82,0),MATCH(AW88,$BE$51:$BG$51,0)))</f>
        <v>7.4507497591300889E-2</v>
      </c>
      <c r="AX109" s="1121">
        <f>AVERAGE(SUM(CA175:CI175)/SUM($CA$173:$CI$177),INDEX($BE$52:$BG$82,MATCH($AO$109,$AY$52:$AY$82,0),MATCH(AX88,$BE$51:$BG$51,0)))</f>
        <v>0.70497250976435977</v>
      </c>
      <c r="AY109" s="1121">
        <f>AVERAGE(SUM(CA177:CI177)/SUM($CA$173:$CI$177),INDEX($BE$52:$BG$82,MATCH($AO$109,$AY$52:$AY$82,0),MATCH(AY88,$BE$51:$BG$51,0)))</f>
        <v>0.22051999264433936</v>
      </c>
      <c r="AZ109" s="1134" cm="1">
        <f t="array" ref="AZ109">INDEX($I$43:$CH$43,MATCH(AZ$88&amp;AO109,$I$33:$CH$33&amp;$I$32:$CH$32,0))</f>
        <v>3038.8153054039785</v>
      </c>
      <c r="BA109" s="1125" cm="1">
        <f t="array" ref="BA109">INDEX($I$43:$CH$43,MATCH(BA$88&amp;AO109,$I$33:$CH$33&amp;$I$32:$CH$32,0))</f>
        <v>24289.540001760251</v>
      </c>
      <c r="BB109" s="1125" cm="1">
        <f t="array" ref="BB109">INDEX($I$43:$CH$43,MATCH(BB$88&amp;AO109,$I$33:$CH$33&amp;$I$32:$CH$32,0))</f>
        <v>18866.743201020949</v>
      </c>
      <c r="BC109" s="1134">
        <f t="shared" si="33"/>
        <v>3265.2298294517736</v>
      </c>
      <c r="BD109" s="1125">
        <f t="shared" si="34"/>
        <v>41412.99797782299</v>
      </c>
      <c r="BE109" s="1125">
        <f t="shared" si="35"/>
        <v>23027.237272932725</v>
      </c>
      <c r="BF109" s="1134">
        <f t="shared" si="39"/>
        <v>5421.7544986476432</v>
      </c>
      <c r="BG109" s="1125">
        <f t="shared" si="40"/>
        <v>36930.306706293828</v>
      </c>
      <c r="BH109" s="1138">
        <f t="shared" si="41"/>
        <v>19531.867213637135</v>
      </c>
      <c r="BI109" s="1134">
        <f t="shared" si="37"/>
        <v>10147.070952912887</v>
      </c>
      <c r="BJ109" s="1125">
        <f t="shared" si="38"/>
        <v>41304.301265798131</v>
      </c>
      <c r="BK109" s="1138">
        <f t="shared" si="32"/>
        <v>19278.864213619574</v>
      </c>
      <c r="BL109" s="460"/>
      <c r="BM109" s="1296"/>
      <c r="BN109" s="1296"/>
      <c r="BO109" s="1113" t="s">
        <v>1065</v>
      </c>
      <c r="BP109" s="460"/>
      <c r="CA109" s="1114">
        <v>1605</v>
      </c>
      <c r="CB109" s="1114">
        <v>1592</v>
      </c>
      <c r="CC109" s="1114">
        <v>1472</v>
      </c>
      <c r="CD109" s="1114">
        <v>1351</v>
      </c>
      <c r="CE109" s="1114">
        <v>1230</v>
      </c>
      <c r="CF109" s="1114">
        <v>1109</v>
      </c>
      <c r="CG109" s="1114">
        <v>988</v>
      </c>
      <c r="CH109" s="1114">
        <v>867</v>
      </c>
      <c r="CI109" s="1114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5"/>
      <c r="AK110" s="1190"/>
      <c r="AL110" s="1190"/>
      <c r="AM110" s="1115"/>
      <c r="AO110" s="1104" t="s">
        <v>1024</v>
      </c>
      <c r="AP110" s="1104">
        <v>296</v>
      </c>
      <c r="AQ110" s="1104">
        <v>429</v>
      </c>
      <c r="AR110" s="1104">
        <v>412</v>
      </c>
      <c r="AS110" s="1104">
        <v>449</v>
      </c>
      <c r="AT110" s="1104">
        <v>325</v>
      </c>
      <c r="AU110" s="1122">
        <f t="shared" si="27"/>
        <v>1.3839502328309784E-2</v>
      </c>
      <c r="AV110" s="1104">
        <f t="shared" si="28"/>
        <v>441.6</v>
      </c>
      <c r="AW110" s="1120">
        <f>AVERAGE(SUM(CA179:CI179)/SUM($CA$179:$CI$183),INDEX($BE$52:$BG$82,MATCH($AO$110,$AY$52:$AY$82,0),MATCH(AW88,$BE$51:$BG$51,0)))</f>
        <v>6.3483460005061859E-2</v>
      </c>
      <c r="AX110" s="1120">
        <f>AVERAGE(SUM(CA181:CI181)/SUM($CA$179:$CI$183),INDEX($BE$52:$BG$82,MATCH($AO$110,$AY$52:$AY$82,0),MATCH(AX88,$BE$51:$BG$51,0)))</f>
        <v>0.30144839286027519</v>
      </c>
      <c r="AY110" s="1120">
        <f>AVERAGE(SUM(CA183:CI183)/SUM($CA$179:$CI$183),INDEX($BE$52:$BG$82,MATCH($AO$110,$AY$52:$AY$82,0),MATCH(AY88,$BE$51:$BG$51,0)))</f>
        <v>0.63506814713466297</v>
      </c>
      <c r="AZ110" s="1133" cm="1">
        <f t="array" ref="AZ110">INDEX($I$43:$CH$43,MATCH(AZ$88&amp;AO110,$I$33:$CH$33&amp;$I$32:$CH$32,0))</f>
        <v>2141.3166117916521</v>
      </c>
      <c r="BA110" s="1124" cm="1">
        <f t="array" ref="BA110">INDEX($I$43:$CH$43,MATCH(BA$88&amp;AO110,$I$33:$CH$33&amp;$I$32:$CH$32,0))</f>
        <v>12519.701036831018</v>
      </c>
      <c r="BB110" s="1124" cm="1">
        <f t="array" ref="BB110">INDEX($I$43:$CH$43,MATCH(BB$88&amp;AO110,$I$33:$CH$33&amp;$I$32:$CH$32,0))</f>
        <v>34699.30894292317</v>
      </c>
      <c r="BC110" s="1133">
        <f t="shared" si="33"/>
        <v>2277.2547992745017</v>
      </c>
      <c r="BD110" s="1124">
        <f t="shared" si="34"/>
        <v>16293.744793474849</v>
      </c>
      <c r="BE110" s="1124">
        <f t="shared" si="35"/>
        <v>56735.734780158629</v>
      </c>
      <c r="BF110" s="1133">
        <f t="shared" si="39"/>
        <v>3781.2702619485922</v>
      </c>
      <c r="BG110" s="1124">
        <f t="shared" si="40"/>
        <v>14530.051481405368</v>
      </c>
      <c r="BH110" s="1137">
        <f t="shared" si="41"/>
        <v>48123.655689115978</v>
      </c>
      <c r="BI110" s="1133">
        <f t="shared" si="37"/>
        <v>7076.8268186437172</v>
      </c>
      <c r="BJ110" s="1124">
        <f t="shared" si="38"/>
        <v>16250.97859512883</v>
      </c>
      <c r="BK110" s="1137">
        <f t="shared" si="32"/>
        <v>47500.293410026876</v>
      </c>
      <c r="BL110" s="460"/>
      <c r="BM110" s="1296"/>
      <c r="BN110" s="1295" t="s">
        <v>1067</v>
      </c>
      <c r="BO110" s="1113" t="s">
        <v>1064</v>
      </c>
      <c r="BP110" s="1114">
        <v>666</v>
      </c>
      <c r="BQ110" s="1114">
        <v>467</v>
      </c>
      <c r="BR110" s="1114">
        <v>370</v>
      </c>
      <c r="BS110" s="1114">
        <v>395</v>
      </c>
      <c r="BT110" s="1114">
        <v>426</v>
      </c>
      <c r="BU110" s="1114">
        <v>460</v>
      </c>
      <c r="BV110" s="1114">
        <v>553</v>
      </c>
      <c r="BW110" s="1114">
        <v>628</v>
      </c>
      <c r="BX110" s="1114">
        <v>638</v>
      </c>
      <c r="BY110" s="1114">
        <v>617</v>
      </c>
      <c r="BZ110" s="1114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5"/>
      <c r="AK111" s="1190"/>
      <c r="AL111" s="1190"/>
      <c r="AM111" s="1115"/>
      <c r="AO111" s="1105" t="s">
        <v>1025</v>
      </c>
      <c r="AP111" s="1107">
        <v>1090</v>
      </c>
      <c r="AQ111" s="1107">
        <v>1207</v>
      </c>
      <c r="AR111" s="1107">
        <v>1230</v>
      </c>
      <c r="AS111" s="1107">
        <v>1371</v>
      </c>
      <c r="AT111" s="1107">
        <v>1266</v>
      </c>
      <c r="AU111" s="1123">
        <f t="shared" si="27"/>
        <v>4.463981808042989E-2</v>
      </c>
      <c r="AV111" s="1107">
        <f t="shared" si="28"/>
        <v>1342.8</v>
      </c>
      <c r="AW111" s="1121">
        <f>AVERAGE(SUM(CA185:CI185)/SUM($CA$185:$CI$189),INDEX($BE$52:$BG$82,MATCH($AO$111,$AY$52:$AY$82,0),MATCH(AW88,$BE$51:$BG$51,0)))</f>
        <v>7.9525794807391997E-2</v>
      </c>
      <c r="AX111" s="1121">
        <f>AVERAGE(SUM(CA187:CI187)/SUM($CA$185:$CI$189),INDEX($BE$52:$BG$82,MATCH($AO$111,$AY$52:$AY$82,0),MATCH(AX88,$BE$51:$BG$51,0)))</f>
        <v>0.68457496483841218</v>
      </c>
      <c r="AY111" s="1121">
        <f>AVERAGE(SUM(CA189:CI189)/SUM($CA$185:$CI$189),INDEX($BE$52:$BG$82,MATCH($AO$111,$AY$52:$AY$82,0),MATCH(AY88,$BE$51:$BG$51,0)))</f>
        <v>0.23589924035419579</v>
      </c>
      <c r="AZ111" s="1134" cm="1">
        <f t="array" ref="AZ111">INDEX($I$43:$CH$43,MATCH(AZ$88&amp;AO111,$I$33:$CH$33&amp;$I$32:$CH$32,0))</f>
        <v>5411.4225176697691</v>
      </c>
      <c r="BA111" s="1125" cm="1">
        <f t="array" ref="BA111">INDEX($I$43:$CH$43,MATCH(BA$88&amp;AO111,$I$33:$CH$33&amp;$I$32:$CH$32,0))</f>
        <v>27103.374443441171</v>
      </c>
      <c r="BB111" s="1125" cm="1">
        <f t="array" ref="BB111">INDEX($I$43:$CH$43,MATCH(BB$88&amp;AO111,$I$33:$CH$33&amp;$I$32:$CH$32,0))</f>
        <v>34324.09820344366</v>
      </c>
      <c r="BC111" s="1134">
        <f t="shared" si="33"/>
        <v>5841.7701944260752</v>
      </c>
      <c r="BD111" s="1125">
        <f t="shared" si="34"/>
        <v>45657.666050062231</v>
      </c>
      <c r="BE111" s="1125">
        <f t="shared" si="35"/>
        <v>42421.126895478832</v>
      </c>
      <c r="BF111" s="1134">
        <f t="shared" si="39"/>
        <v>9699.9738107296016</v>
      </c>
      <c r="BG111" s="1125">
        <f t="shared" si="40"/>
        <v>40715.516699015265</v>
      </c>
      <c r="BH111" s="1138">
        <f t="shared" si="41"/>
        <v>35981.902985351851</v>
      </c>
      <c r="BI111" s="1134">
        <f t="shared" si="37"/>
        <v>18153.961512536338</v>
      </c>
      <c r="BJ111" s="1125">
        <f t="shared" si="38"/>
        <v>45537.828356084407</v>
      </c>
      <c r="BK111" s="1138">
        <f t="shared" si="32"/>
        <v>35515.817008928731</v>
      </c>
      <c r="BL111" s="460"/>
      <c r="BM111" s="1296"/>
      <c r="BN111" s="1296"/>
      <c r="BO111" s="1113" t="s">
        <v>1065</v>
      </c>
      <c r="BP111" s="460"/>
      <c r="CA111" s="1114">
        <v>588</v>
      </c>
      <c r="CB111" s="1114">
        <v>590</v>
      </c>
      <c r="CC111" s="1114">
        <v>590</v>
      </c>
      <c r="CD111" s="1114">
        <v>590</v>
      </c>
      <c r="CE111" s="1114">
        <v>590</v>
      </c>
      <c r="CF111" s="1114">
        <v>590</v>
      </c>
      <c r="CG111" s="1114">
        <v>590</v>
      </c>
      <c r="CH111" s="1114">
        <v>590</v>
      </c>
      <c r="CI111" s="1114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5"/>
      <c r="AK112" s="1190"/>
      <c r="AL112" s="1190"/>
      <c r="AM112" s="1115"/>
      <c r="AO112" s="1104" t="s">
        <v>1026</v>
      </c>
      <c r="AP112" s="1104">
        <v>264</v>
      </c>
      <c r="AQ112" s="1104">
        <v>320</v>
      </c>
      <c r="AR112" s="1104">
        <v>309</v>
      </c>
      <c r="AS112" s="1104">
        <v>344</v>
      </c>
      <c r="AT112" s="1104">
        <v>324</v>
      </c>
      <c r="AU112" s="1122">
        <f t="shared" si="27"/>
        <v>1.1304794942172462E-2</v>
      </c>
      <c r="AV112" s="1104">
        <f t="shared" si="28"/>
        <v>337</v>
      </c>
      <c r="AW112" s="1120">
        <f>AVERAGE(SUM(CA191:CI191)/SUM($CA$191:$CI$195),INDEX($BE$52:$BG$82,MATCH($AO$112,$AY$52:$AY$82,0),MATCH(AW88,$BE$51:$BG$51,0)))</f>
        <v>5.7634573085673685E-2</v>
      </c>
      <c r="AX112" s="1120">
        <f>AVERAGE(SUM(CA193:CI193)/SUM($CA$191:$CI$195),INDEX($BE$52:$BG$82,MATCH($AO$112,$AY$52:$AY$82,0),MATCH(AX88,$BE$51:$BG$51,0)))</f>
        <v>0.31731610921918574</v>
      </c>
      <c r="AY112" s="1120">
        <f>AVERAGE(SUM(CA195:CI195)/SUM($CA$191:$CI$195),INDEX($BE$52:$BG$82,MATCH($AO$112,$AY$52:$AY$82,0),MATCH(AY88,$BE$51:$BG$51,0)))</f>
        <v>0.6250493176951406</v>
      </c>
      <c r="AZ112" s="1133" cm="1">
        <f t="array" ref="AZ112">INDEX($I$43:$CH$43,MATCH(AZ$88&amp;AO112,$I$33:$CH$33&amp;$I$32:$CH$32,0))</f>
        <v>1027.5356632394301</v>
      </c>
      <c r="BA112" s="1124" cm="1">
        <f t="array" ref="BA112">INDEX($I$43:$CH$43,MATCH(BA$88&amp;AO112,$I$33:$CH$33&amp;$I$32:$CH$32,0))</f>
        <v>6619.1242565355706</v>
      </c>
      <c r="BB112" s="1124" cm="1">
        <f t="array" ref="BB112">INDEX($I$43:$CH$43,MATCH(BB$88&amp;AO112,$I$33:$CH$33&amp;$I$32:$CH$32,0))</f>
        <v>14155.109041449583</v>
      </c>
      <c r="BC112" s="1133">
        <f t="shared" si="33"/>
        <v>1086.7572425205392</v>
      </c>
      <c r="BD112" s="1124">
        <f t="shared" si="34"/>
        <v>8719.4790120577727</v>
      </c>
      <c r="BE112" s="1124">
        <f t="shared" si="35"/>
        <v>23002.750289707961</v>
      </c>
      <c r="BF112" s="1133">
        <f t="shared" si="39"/>
        <v>1804.5072709515578</v>
      </c>
      <c r="BG112" s="1124">
        <f t="shared" si="40"/>
        <v>7775.6513645021832</v>
      </c>
      <c r="BH112" s="1137">
        <f t="shared" si="41"/>
        <v>19511.097179475426</v>
      </c>
      <c r="BI112" s="1133">
        <f t="shared" si="37"/>
        <v>3377.2210301960122</v>
      </c>
      <c r="BJ112" s="1124">
        <f t="shared" si="38"/>
        <v>8696.5929920770905</v>
      </c>
      <c r="BK112" s="1137">
        <f t="shared" si="32"/>
        <v>19258.363220860607</v>
      </c>
      <c r="BL112" s="460"/>
      <c r="BM112" s="1295" t="s">
        <v>898</v>
      </c>
      <c r="BN112" s="1295" t="s">
        <v>42</v>
      </c>
      <c r="BO112" s="1113" t="s">
        <v>1064</v>
      </c>
      <c r="BP112" s="1114">
        <v>20</v>
      </c>
      <c r="BQ112" s="1114">
        <v>17</v>
      </c>
      <c r="BR112" s="1114">
        <v>6</v>
      </c>
      <c r="BS112" s="1114">
        <v>0</v>
      </c>
      <c r="BT112" s="1114">
        <v>6</v>
      </c>
      <c r="BU112" s="1114">
        <v>4</v>
      </c>
      <c r="BV112" s="1114">
        <v>10</v>
      </c>
      <c r="BW112" s="1114">
        <v>19</v>
      </c>
      <c r="BX112" s="1114">
        <v>62</v>
      </c>
      <c r="BY112" s="1114">
        <v>68</v>
      </c>
      <c r="BZ112" s="1114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5"/>
      <c r="AK113" s="1190"/>
      <c r="AL113" s="1190"/>
      <c r="AM113" s="1115"/>
      <c r="AO113" s="1105" t="s">
        <v>1027</v>
      </c>
      <c r="AP113" s="1105">
        <v>462</v>
      </c>
      <c r="AQ113" s="1105">
        <v>506</v>
      </c>
      <c r="AR113" s="1105">
        <v>518</v>
      </c>
      <c r="AS113" s="1105">
        <v>561</v>
      </c>
      <c r="AT113" s="1105">
        <v>519</v>
      </c>
      <c r="AU113" s="1123">
        <f t="shared" si="27"/>
        <v>1.8583026150938205E-2</v>
      </c>
      <c r="AV113" s="1105">
        <f t="shared" si="28"/>
        <v>552.4</v>
      </c>
      <c r="AW113" s="1121">
        <f>AVERAGE(SUM(CA197:CI197)/SUM($CA$197:$CI$201),INDEX($BE$52:$BG$82,MATCH($AO$113,$AY$52:$AY$82,0),MATCH(AW88,$BE$51:$BG$51,0)))</f>
        <v>3.7122039878926774E-2</v>
      </c>
      <c r="AX113" s="1121">
        <f>AVERAGE(SUM(CA199:CI199)/SUM($CA$197:$CI$201),INDEX($BE$52:$BG$82,MATCH($AO$113,$AY$52:$AY$82,0),MATCH(AX88,$BE$51:$BG$51,0)))</f>
        <v>0.49435668868361032</v>
      </c>
      <c r="AY113" s="1121">
        <f>AVERAGE(SUM(CA201:CI201)/SUM($CA$197:$CI$201),INDEX($BE$52:$BG$82,MATCH($AO$113,$AY$52:$AY$82,0),MATCH(AY88,$BE$51:$BG$51,0)))</f>
        <v>0.46852127143746292</v>
      </c>
      <c r="AZ113" s="1134" cm="1">
        <f t="array" ref="AZ113">INDEX($I$43:$CH$43,MATCH(AZ$88&amp;AO113,$I$33:$CH$33&amp;$I$32:$CH$32,0))</f>
        <v>1175.2936766265591</v>
      </c>
      <c r="BA113" s="1125" cm="1">
        <f t="array" ref="BA113">INDEX($I$43:$CH$43,MATCH(BA$88&amp;AO113,$I$33:$CH$33&amp;$I$32:$CH$32,0))</f>
        <v>10239.258420802398</v>
      </c>
      <c r="BB113" s="1125" cm="1">
        <f t="array" ref="BB113">INDEX($I$43:$CH$43,MATCH(BB$88&amp;AO113,$I$33:$CH$33&amp;$I$32:$CH$32,0))</f>
        <v>15966.202026112715</v>
      </c>
      <c r="BC113" s="1134">
        <f t="shared" si="33"/>
        <v>1218.9229753597406</v>
      </c>
      <c r="BD113" s="1125">
        <f t="shared" si="34"/>
        <v>15301.104308286045</v>
      </c>
      <c r="BE113" s="1125">
        <f t="shared" si="35"/>
        <v>23446.70729941444</v>
      </c>
      <c r="BF113" s="1134">
        <f t="shared" si="39"/>
        <v>2023.9620089074197</v>
      </c>
      <c r="BG113" s="1125">
        <f t="shared" si="40"/>
        <v>13644.857958667946</v>
      </c>
      <c r="BH113" s="1138">
        <f t="shared" si="41"/>
        <v>19887.664687742821</v>
      </c>
      <c r="BI113" s="1134">
        <f t="shared" si="37"/>
        <v>3787.9409913352479</v>
      </c>
      <c r="BJ113" s="1125">
        <f t="shared" si="38"/>
        <v>15260.943493810582</v>
      </c>
      <c r="BK113" s="1138">
        <f t="shared" si="32"/>
        <v>19630.052920557078</v>
      </c>
      <c r="BL113" s="460"/>
      <c r="BM113" s="1296"/>
      <c r="BN113" s="1296"/>
      <c r="BO113" s="1113" t="s">
        <v>1065</v>
      </c>
      <c r="BP113" s="460"/>
      <c r="CA113" s="1114">
        <v>31</v>
      </c>
      <c r="CB113" s="1114">
        <v>39</v>
      </c>
      <c r="CC113" s="1114">
        <v>39</v>
      </c>
      <c r="CD113" s="1114">
        <v>39</v>
      </c>
      <c r="CE113" s="1114">
        <v>39</v>
      </c>
      <c r="CF113" s="1114">
        <v>39</v>
      </c>
      <c r="CG113" s="1114">
        <v>39</v>
      </c>
      <c r="CH113" s="1114">
        <v>39</v>
      </c>
      <c r="CI113" s="1114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5"/>
      <c r="AK114" s="1190"/>
      <c r="AL114" s="1190"/>
      <c r="AM114" s="1115"/>
      <c r="AO114" s="1104" t="s">
        <v>1028</v>
      </c>
      <c r="AP114" s="1104">
        <v>305</v>
      </c>
      <c r="AQ114" s="1104">
        <v>372</v>
      </c>
      <c r="AR114" s="1104">
        <v>404</v>
      </c>
      <c r="AS114" s="1104">
        <v>457</v>
      </c>
      <c r="AT114" s="1104">
        <v>410</v>
      </c>
      <c r="AU114" s="1122">
        <f t="shared" si="27"/>
        <v>1.4107457109130016E-2</v>
      </c>
      <c r="AV114" s="1104">
        <f t="shared" si="28"/>
        <v>446.4</v>
      </c>
      <c r="AW114" s="1120">
        <f>AVERAGE(SUM(CA203:CI203)/SUM($CA$203:$CI$207),INDEX($BE$52:$BG$82,MATCH($AO$114,$AY$52:$AY$82,0),MATCH(AW88,$BE$51:$BG$51,0)))</f>
        <v>5.4921827458302173E-2</v>
      </c>
      <c r="AX114" s="1120">
        <f>AVERAGE(SUM(CA205:CI205)/SUM($CA$203:$CI$207),INDEX($BE$52:$BG$82,MATCH($AO$114,$AY$52:$AY$82,0),MATCH(AX88,$BE$51:$BG$51,0)))</f>
        <v>0.3335979432554731</v>
      </c>
      <c r="AY114" s="1120">
        <f>AVERAGE(SUM(CA207:CI207)/SUM($CA$203:$CI$207),INDEX($BE$52:$BG$82,MATCH($AO$114,$AY$52:$AY$82,0),MATCH(AY88,$BE$51:$BG$51,0)))</f>
        <v>0.6114802292862247</v>
      </c>
      <c r="AZ114" s="1133" cm="1">
        <f t="array" ref="AZ114">INDEX($I$43:$CH$43,MATCH(AZ$88&amp;AO114,$I$33:$CH$33&amp;$I$32:$CH$32,0))</f>
        <v>676.45175529921289</v>
      </c>
      <c r="BA114" s="1124" cm="1">
        <f t="array" ref="BA114">INDEX($I$43:$CH$43,MATCH(BA$88&amp;AO114,$I$33:$CH$33&amp;$I$32:$CH$32,0))</f>
        <v>5372.2948402948405</v>
      </c>
      <c r="BB114" s="1124" cm="1">
        <f t="array" ref="BB114">INDEX($I$43:$CH$43,MATCH(BB$88&amp;AO114,$I$33:$CH$33&amp;$I$32:$CH$32,0))</f>
        <v>18080.993461874819</v>
      </c>
      <c r="BC114" s="1133">
        <f t="shared" si="33"/>
        <v>713.60372188762187</v>
      </c>
      <c r="BD114" s="1124">
        <f t="shared" si="34"/>
        <v>7164.4813495791886</v>
      </c>
      <c r="BE114" s="1124">
        <f t="shared" si="35"/>
        <v>29137.163489664763</v>
      </c>
      <c r="BF114" s="1133">
        <f t="shared" si="39"/>
        <v>1184.9040929671744</v>
      </c>
      <c r="BG114" s="1124">
        <f t="shared" si="40"/>
        <v>6388.9722201027243</v>
      </c>
      <c r="BH114" s="1137">
        <f t="shared" si="41"/>
        <v>24714.350293820018</v>
      </c>
      <c r="BI114" s="1133">
        <f t="shared" si="37"/>
        <v>2217.6042656918157</v>
      </c>
      <c r="BJ114" s="1124">
        <f t="shared" si="38"/>
        <v>7145.6767325727187</v>
      </c>
      <c r="BK114" s="1137">
        <f t="shared" si="32"/>
        <v>24394.216806354176</v>
      </c>
      <c r="BL114" s="460"/>
      <c r="BM114" s="1296"/>
      <c r="BN114" s="1295" t="s">
        <v>1066</v>
      </c>
      <c r="BO114" s="1113" t="s">
        <v>1064</v>
      </c>
      <c r="BP114" s="1114">
        <v>75</v>
      </c>
      <c r="BQ114" s="1114">
        <v>48</v>
      </c>
      <c r="BR114" s="1114">
        <v>22</v>
      </c>
      <c r="BS114" s="1114">
        <v>27</v>
      </c>
      <c r="BT114" s="1114">
        <v>42</v>
      </c>
      <c r="BU114" s="1114">
        <v>44</v>
      </c>
      <c r="BV114" s="1114">
        <v>90</v>
      </c>
      <c r="BW114" s="1114">
        <v>97</v>
      </c>
      <c r="BX114" s="1114">
        <v>58</v>
      </c>
      <c r="BY114" s="1114">
        <v>218</v>
      </c>
      <c r="BZ114" s="1114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5"/>
      <c r="AK115" s="1190"/>
      <c r="AL115" s="1190"/>
      <c r="AM115" s="1115"/>
      <c r="AO115" s="1105" t="s">
        <v>1029</v>
      </c>
      <c r="AP115" s="1105">
        <v>378</v>
      </c>
      <c r="AQ115" s="1105">
        <v>463</v>
      </c>
      <c r="AR115" s="1105">
        <v>441</v>
      </c>
      <c r="AS115" s="1105">
        <v>461</v>
      </c>
      <c r="AT115" s="1105">
        <v>402</v>
      </c>
      <c r="AU115" s="1123">
        <f t="shared" si="27"/>
        <v>1.5534135266470166E-2</v>
      </c>
      <c r="AV115" s="1105">
        <f t="shared" si="28"/>
        <v>457</v>
      </c>
      <c r="AW115" s="1121">
        <f>AVERAGE(SUM(CA209:CI209)/SUM($CA$209:$CI$213),INDEX($BE$52:$BG$82,MATCH($AO$115,$AY$52:$AY$82,0),MATCH(AW88,$BE$51:$BG$51,0)))</f>
        <v>0.1721061898021887</v>
      </c>
      <c r="AX115" s="1121">
        <f>AVERAGE(SUM(CA211:CI211)/SUM($CA$209:$CI$213),INDEX($BE$52:$BG$82,MATCH($AO$115,$AY$52:$AY$82,0),MATCH(AX88,$BE$51:$BG$51,0)))</f>
        <v>0.30595936755618464</v>
      </c>
      <c r="AY115" s="1121">
        <f>AVERAGE(SUM(CA213:CI213)/SUM($CA$209:$CI$213),INDEX($BE$52:$BG$82,MATCH($AO$115,$AY$52:$AY$82,0),MATCH(AY88,$BE$51:$BG$51,0)))</f>
        <v>0.52193444264162669</v>
      </c>
      <c r="AZ115" s="1134" cm="1">
        <f t="array" ref="AZ115">INDEX($I$43:$CH$43,MATCH(AZ$88&amp;AO115,$I$33:$CH$33&amp;$I$32:$CH$32,0))</f>
        <v>1676.0939551367242</v>
      </c>
      <c r="BA115" s="1125" cm="1">
        <f t="array" ref="BA115">INDEX($I$43:$CH$43,MATCH(BA$88&amp;AO115,$I$33:$CH$33&amp;$I$32:$CH$32,0))</f>
        <v>8889.5641738149861</v>
      </c>
      <c r="BB115" s="1125" cm="1">
        <f t="array" ref="BB115">INDEX($I$43:$CH$43,MATCH(BB$88&amp;AO115,$I$33:$CH$33&amp;$I$32:$CH$32,0))</f>
        <v>14494.215013491199</v>
      </c>
      <c r="BC115" s="1134">
        <f t="shared" si="33"/>
        <v>1964.5600995057864</v>
      </c>
      <c r="BD115" s="1125">
        <f t="shared" si="34"/>
        <v>11609.409606285537</v>
      </c>
      <c r="BE115" s="1125">
        <f t="shared" si="35"/>
        <v>22059.245048085628</v>
      </c>
      <c r="BF115" s="1134">
        <f t="shared" si="39"/>
        <v>3262.0560002502193</v>
      </c>
      <c r="BG115" s="1125">
        <f t="shared" si="40"/>
        <v>10352.765517452086</v>
      </c>
      <c r="BH115" s="1138">
        <f t="shared" si="41"/>
        <v>18710.809290993046</v>
      </c>
      <c r="BI115" s="1134">
        <f t="shared" si="37"/>
        <v>6105.0926771343957</v>
      </c>
      <c r="BJ115" s="1125">
        <f t="shared" si="38"/>
        <v>11578.938384341431</v>
      </c>
      <c r="BK115" s="1138">
        <f t="shared" si="32"/>
        <v>18468.441736903158</v>
      </c>
      <c r="BL115" s="460"/>
      <c r="BM115" s="1296"/>
      <c r="BN115" s="1296"/>
      <c r="BO115" s="1113" t="s">
        <v>1065</v>
      </c>
      <c r="BP115" s="460"/>
      <c r="CA115" s="1114">
        <v>189</v>
      </c>
      <c r="CB115" s="1114">
        <v>170</v>
      </c>
      <c r="CC115" s="1114">
        <v>170</v>
      </c>
      <c r="CD115" s="1114">
        <v>170</v>
      </c>
      <c r="CE115" s="1114">
        <v>170</v>
      </c>
      <c r="CF115" s="1114">
        <v>170</v>
      </c>
      <c r="CG115" s="1114">
        <v>170</v>
      </c>
      <c r="CH115" s="1114">
        <v>170</v>
      </c>
      <c r="CI115" s="1114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5"/>
      <c r="AK116" s="1190"/>
      <c r="AL116" s="1190"/>
      <c r="AM116" s="1115"/>
      <c r="AO116" s="1104" t="s">
        <v>1030</v>
      </c>
      <c r="AP116" s="1104">
        <v>667</v>
      </c>
      <c r="AQ116" s="1104">
        <v>812</v>
      </c>
      <c r="AR116" s="1104">
        <v>792</v>
      </c>
      <c r="AS116" s="1104">
        <v>837</v>
      </c>
      <c r="AT116" s="1104">
        <v>694</v>
      </c>
      <c r="AU116" s="1122">
        <f t="shared" si="27"/>
        <v>2.753416423455458E-2</v>
      </c>
      <c r="AV116" s="1104">
        <f t="shared" si="28"/>
        <v>828</v>
      </c>
      <c r="AW116" s="1120">
        <f>AVERAGE(SUM(CA215:CI215)/SUM($CA$215:$CI$219),INDEX($BE$52:$BG$82,MATCH($AO$116,$AY$52:$AY$82,0),MATCH(AW88,$BE$51:$BG$51,0)))</f>
        <v>8.0456186627143988E-2</v>
      </c>
      <c r="AX116" s="1120">
        <f>AVERAGE(SUM(CA217:CI217)/SUM($CA$215:$CI$219),INDEX($BE$52:$BG$82,MATCH($AO$116,$AY$52:$AY$82,0),MATCH(AX88,$BE$51:$BG$51,0)))</f>
        <v>0.28621053444849975</v>
      </c>
      <c r="AY116" s="1120">
        <f>AVERAGE(SUM(CA219:CI219)/SUM($CA$215:$CI$219),INDEX($BE$52:$BG$82,MATCH($AO$116,$AY$52:$AY$82,0),MATCH(AY88,$BE$51:$BG$51,0)))</f>
        <v>0.6333332789243562</v>
      </c>
      <c r="AZ116" s="1133" cm="1">
        <f t="array" ref="AZ116">INDEX($I$43:$CH$43,MATCH(AZ$88&amp;AO116,$I$33:$CH$33&amp;$I$32:$CH$32,0))</f>
        <v>2382.2341251096568</v>
      </c>
      <c r="BA116" s="1124" cm="1">
        <f t="array" ref="BA116">INDEX($I$43:$CH$43,MATCH(BA$88&amp;AO116,$I$33:$CH$33&amp;$I$32:$CH$32,0))</f>
        <v>21954.232438086234</v>
      </c>
      <c r="BB116" s="1124" cm="1">
        <f t="array" ref="BB116">INDEX($I$43:$CH$43,MATCH(BB$88&amp;AO116,$I$33:$CH$33&amp;$I$32:$CH$32,0))</f>
        <v>34965.040184897764</v>
      </c>
      <c r="BC116" s="1133">
        <f t="shared" si="33"/>
        <v>2573.8995984690305</v>
      </c>
      <c r="BD116" s="1124">
        <f t="shared" si="34"/>
        <v>28237.765037597484</v>
      </c>
      <c r="BE116" s="1124">
        <f t="shared" si="35"/>
        <v>57109.563732920942</v>
      </c>
      <c r="BF116" s="1133">
        <f t="shared" si="39"/>
        <v>4273.8344484038525</v>
      </c>
      <c r="BG116" s="1124">
        <f t="shared" si="40"/>
        <v>25181.208182445032</v>
      </c>
      <c r="BH116" s="1137">
        <f t="shared" si="41"/>
        <v>48440.740078329669</v>
      </c>
      <c r="BI116" s="1133">
        <f t="shared" si="37"/>
        <v>7998.6840790696597</v>
      </c>
      <c r="BJ116" s="1124">
        <f t="shared" si="38"/>
        <v>28163.649364635072</v>
      </c>
      <c r="BK116" s="1137">
        <f t="shared" si="32"/>
        <v>47813.270495988276</v>
      </c>
      <c r="BL116" s="460"/>
      <c r="BM116" s="1296"/>
      <c r="BN116" s="1295" t="s">
        <v>1067</v>
      </c>
      <c r="BO116" s="1113" t="s">
        <v>1064</v>
      </c>
      <c r="BP116" s="1114">
        <v>365</v>
      </c>
      <c r="BQ116" s="1114">
        <v>293</v>
      </c>
      <c r="BR116" s="1114">
        <v>222</v>
      </c>
      <c r="BS116" s="1114">
        <v>229</v>
      </c>
      <c r="BT116" s="1114">
        <v>197</v>
      </c>
      <c r="BU116" s="1114">
        <v>242</v>
      </c>
      <c r="BV116" s="1114">
        <v>263</v>
      </c>
      <c r="BW116" s="1114">
        <v>317</v>
      </c>
      <c r="BX116" s="1114">
        <v>310</v>
      </c>
      <c r="BY116" s="1114">
        <v>289</v>
      </c>
      <c r="BZ116" s="1114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5"/>
      <c r="AK117" s="1190"/>
      <c r="AL117" s="1190"/>
      <c r="AM117" s="1115"/>
      <c r="AO117" s="1105" t="s">
        <v>1031</v>
      </c>
      <c r="AP117" s="1105">
        <v>510</v>
      </c>
      <c r="AQ117" s="1105">
        <v>573</v>
      </c>
      <c r="AR117" s="1105">
        <v>571</v>
      </c>
      <c r="AS117" s="1105">
        <v>615</v>
      </c>
      <c r="AT117" s="1105">
        <v>500</v>
      </c>
      <c r="AU117" s="1123">
        <f t="shared" si="27"/>
        <v>2.0053156434897853E-2</v>
      </c>
      <c r="AV117" s="1105">
        <f t="shared" si="28"/>
        <v>606.20000000000005</v>
      </c>
      <c r="AW117" s="1121">
        <f>AVERAGE(SUM(CA221:CI221)/SUM($CA$221:$CI$225),INDEX($BE$52:$BG$82,MATCH($AO$117,$AY$52:$AY$82,0),MATCH(AW88,$BE$51:$BG$51,0)))</f>
        <v>7.4483540410172216E-2</v>
      </c>
      <c r="AX117" s="1121">
        <f>AVERAGE(SUM(CA223:CI223)/SUM($CA$221:$CI$225),INDEX($BE$52:$BG$82,MATCH($AO$117,$AY$52:$AY$82,0),MATCH(AX88,$BE$51:$BG$51,0)))</f>
        <v>0.63108761130399582</v>
      </c>
      <c r="AY117" s="1121">
        <f>AVERAGE(SUM(CA225:CI225)/SUM($CA$221:$CI$225),INDEX($BE$52:$BG$82,MATCH($AO$117,$AY$52:$AY$82,0),MATCH(AY88,$BE$51:$BG$51,0)))</f>
        <v>0.29442884828583188</v>
      </c>
      <c r="AZ117" s="1134" cm="1">
        <f t="array" ref="AZ117">INDEX($I$43:$CH$43,MATCH(AZ$88&amp;AO117,$I$33:$CH$33&amp;$I$32:$CH$32,0))</f>
        <v>3199.1719442467102</v>
      </c>
      <c r="BA117" s="1125" cm="1">
        <f t="array" ref="BA117">INDEX($I$43:$CH$43,MATCH(BA$88&amp;AO117,$I$33:$CH$33&amp;$I$32:$CH$32,0))</f>
        <v>21769.226916806354</v>
      </c>
      <c r="BB117" s="1125" cm="1">
        <f t="array" ref="BB117">INDEX($I$43:$CH$43,MATCH(BB$88&amp;AO117,$I$33:$CH$33&amp;$I$32:$CH$32,0))</f>
        <v>19142.703253806059</v>
      </c>
      <c r="BC117" s="1134">
        <f t="shared" si="33"/>
        <v>3437.4575970350993</v>
      </c>
      <c r="BD117" s="1125">
        <f t="shared" si="34"/>
        <v>35507.516331668325</v>
      </c>
      <c r="BE117" s="1125">
        <f t="shared" si="35"/>
        <v>24778.867325901625</v>
      </c>
      <c r="BF117" s="1134">
        <f t="shared" si="39"/>
        <v>5707.7302867114549</v>
      </c>
      <c r="BG117" s="1125">
        <f t="shared" si="40"/>
        <v>31664.055551096844</v>
      </c>
      <c r="BH117" s="1138">
        <f t="shared" si="41"/>
        <v>21017.612342177581</v>
      </c>
      <c r="BI117" s="1134">
        <f t="shared" si="37"/>
        <v>10682.288217549727</v>
      </c>
      <c r="BJ117" s="1125">
        <f t="shared" si="38"/>
        <v>35414.319739634877</v>
      </c>
      <c r="BK117" s="1138">
        <f t="shared" si="32"/>
        <v>20745.363974030555</v>
      </c>
      <c r="BL117" s="460"/>
      <c r="BM117" s="1296"/>
      <c r="BN117" s="1296"/>
      <c r="BO117" s="1113" t="s">
        <v>1065</v>
      </c>
      <c r="BP117" s="460"/>
      <c r="CA117" s="1114">
        <v>313</v>
      </c>
      <c r="CB117" s="1114">
        <v>324</v>
      </c>
      <c r="CC117" s="1114">
        <v>324</v>
      </c>
      <c r="CD117" s="1114">
        <v>324</v>
      </c>
      <c r="CE117" s="1114">
        <v>324</v>
      </c>
      <c r="CF117" s="1114">
        <v>324</v>
      </c>
      <c r="CG117" s="1114">
        <v>324</v>
      </c>
      <c r="CH117" s="1114">
        <v>324</v>
      </c>
      <c r="CI117" s="1114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5"/>
      <c r="AK118" s="1190"/>
      <c r="AL118" s="1190"/>
      <c r="AM118" s="1115"/>
      <c r="AO118" s="1104" t="s">
        <v>1032</v>
      </c>
      <c r="AP118" s="1104">
        <v>507</v>
      </c>
      <c r="AQ118" s="1104">
        <v>574</v>
      </c>
      <c r="AR118" s="1104">
        <v>530</v>
      </c>
      <c r="AS118" s="1104">
        <v>535</v>
      </c>
      <c r="AT118" s="1104">
        <v>426</v>
      </c>
      <c r="AU118" s="1122">
        <f t="shared" si="27"/>
        <v>1.8626478277557701E-2</v>
      </c>
      <c r="AV118" s="1104">
        <f t="shared" si="28"/>
        <v>534</v>
      </c>
      <c r="AW118" s="1120">
        <f>AVERAGE(SUM(CA227:CI227)/SUM($CA$227:$CI$231),INDEX($BE$52:$BG$82,MATCH($AO$118,$AY$52:$AY$82,0),MATCH(AW88,$BE$51:$BG$51,0)))</f>
        <v>7.8167222122140154E-2</v>
      </c>
      <c r="AX118" s="1120">
        <f>AVERAGE(SUM(CA229:CI229)/SUM($CA$227:$CI$231),INDEX($BE$52:$BG$82,MATCH($AO$118,$AY$52:$AY$82,0),MATCH(AX88,$BE$51:$BG$51,0)))</f>
        <v>0.33560507115834981</v>
      </c>
      <c r="AY118" s="1120">
        <f>AVERAGE(SUM(CA231:CI231)/SUM($CA$227:$CI$231),INDEX($BE$52:$BG$82,MATCH($AO$118,$AY$52:$AY$82,0),MATCH(AY88,$BE$51:$BG$51,0)))</f>
        <v>0.58622770671951008</v>
      </c>
      <c r="AZ118" s="1133" cm="1">
        <f t="array" ref="AZ118">INDEX($I$43:$CH$43,MATCH(AZ$88&amp;AO118,$I$33:$CH$33&amp;$I$32:$CH$32,0))</f>
        <v>2888.9605821519499</v>
      </c>
      <c r="BA118" s="1124" cm="1">
        <f t="array" ref="BA118">INDEX($I$43:$CH$43,MATCH(BA$88&amp;AO118,$I$33:$CH$33&amp;$I$32:$CH$32,0))</f>
        <v>12264.197780781444</v>
      </c>
      <c r="BB118" s="1124" cm="1">
        <f t="array" ref="BB118">INDEX($I$43:$CH$43,MATCH(BB$88&amp;AO118,$I$33:$CH$33&amp;$I$32:$CH$32,0))</f>
        <v>16822.932669034672</v>
      </c>
      <c r="BC118" s="1133">
        <f t="shared" si="33"/>
        <v>3114.7826056791287</v>
      </c>
      <c r="BD118" s="1124">
        <f t="shared" si="34"/>
        <v>16380.124749700675</v>
      </c>
      <c r="BE118" s="1124">
        <f t="shared" si="35"/>
        <v>26685.001907899594</v>
      </c>
      <c r="BF118" s="1133">
        <f t="shared" si="39"/>
        <v>5171.9442387568897</v>
      </c>
      <c r="BG118" s="1124">
        <f t="shared" si="40"/>
        <v>14607.081361695711</v>
      </c>
      <c r="BH118" s="1137">
        <f t="shared" si="41"/>
        <v>22634.409316370762</v>
      </c>
      <c r="BI118" s="1133">
        <f t="shared" si="37"/>
        <v>9679.5391912830764</v>
      </c>
      <c r="BJ118" s="1124">
        <f t="shared" si="38"/>
        <v>16337.131829849692</v>
      </c>
      <c r="BK118" s="1137">
        <f t="shared" si="32"/>
        <v>22341.218020421904</v>
      </c>
      <c r="BL118" s="460"/>
      <c r="BM118" s="1113" t="s">
        <v>334</v>
      </c>
      <c r="BN118" s="1295" t="s">
        <v>42</v>
      </c>
      <c r="BO118" s="1113" t="s">
        <v>1064</v>
      </c>
      <c r="BP118" s="1114">
        <v>447</v>
      </c>
      <c r="BQ118" s="1114">
        <v>201</v>
      </c>
      <c r="BR118" s="1114">
        <v>283</v>
      </c>
      <c r="BS118" s="1114">
        <v>605</v>
      </c>
      <c r="BT118" s="1114">
        <v>347</v>
      </c>
      <c r="BU118" s="1114">
        <v>839</v>
      </c>
      <c r="BV118" s="1114">
        <v>1775</v>
      </c>
      <c r="BW118" s="1114">
        <v>1698</v>
      </c>
      <c r="BX118" s="1114">
        <v>2572</v>
      </c>
      <c r="BY118" s="1114">
        <v>2945</v>
      </c>
      <c r="BZ118" s="1114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5"/>
      <c r="AK119" s="1190"/>
      <c r="AL119" s="1190"/>
      <c r="AM119" s="1115"/>
      <c r="AO119" s="1105" t="s">
        <v>1033</v>
      </c>
      <c r="AP119" s="1105">
        <v>701</v>
      </c>
      <c r="AQ119" s="1105">
        <v>805</v>
      </c>
      <c r="AR119" s="1105">
        <v>844</v>
      </c>
      <c r="AS119" s="1105">
        <v>911</v>
      </c>
      <c r="AT119" s="1105">
        <v>814</v>
      </c>
      <c r="AU119" s="1123">
        <f t="shared" si="27"/>
        <v>2.9511235995741691E-2</v>
      </c>
      <c r="AV119" s="1105">
        <f t="shared" si="28"/>
        <v>897.6</v>
      </c>
      <c r="AW119" s="1121">
        <f>AVERAGE(SUM(CA233:CI233)/SUM($CA$233:$CI$237),INDEX($BE$52:$BG$82,MATCH($AO$119,$AY$52:$AY$82,0),MATCH(AW88,$BE$51:$BG$51,0)))</f>
        <v>8.5960141998377856E-2</v>
      </c>
      <c r="AX119" s="1121">
        <f>AVERAGE(SUM(CA235:CI235)/SUM($CA$233:$CI$237),INDEX($BE$52:$BG$82,MATCH($AO$119,$AY$52:$AY$82,0),MATCH(AX88,$BE$51:$BG$51,0)))</f>
        <v>0.48801011958034135</v>
      </c>
      <c r="AY119" s="1121">
        <f>AVERAGE(SUM(CA237:CI237)/SUM($CA$233:$CI$237),INDEX($BE$52:$BG$82,MATCH($AO$119,$AY$52:$AY$82,0),MATCH(AY88,$BE$51:$BG$51,0)))</f>
        <v>0.42602973842128078</v>
      </c>
      <c r="AZ119" s="1134" cm="1">
        <f t="array" ref="AZ119">INDEX($I$43:$CH$43,MATCH(AZ$88&amp;AO119,$I$33:$CH$33&amp;$I$32:$CH$32,0))</f>
        <v>2668.9797196485479</v>
      </c>
      <c r="BA119" s="1125" cm="1">
        <f t="array" ref="BA119">INDEX($I$43:$CH$43,MATCH(BA$88&amp;AO119,$I$33:$CH$33&amp;$I$32:$CH$32,0))</f>
        <v>18385.501077566361</v>
      </c>
      <c r="BB119" s="1125" cm="1">
        <f t="array" ref="BB119">INDEX($I$43:$CH$43,MATCH(BB$88&amp;AO119,$I$33:$CH$33&amp;$I$32:$CH$32,0))</f>
        <v>33878.287885206948</v>
      </c>
      <c r="BC119" s="1134">
        <f t="shared" si="33"/>
        <v>2898.4055953403276</v>
      </c>
      <c r="BD119" s="1125">
        <f t="shared" si="34"/>
        <v>27357.811656974012</v>
      </c>
      <c r="BE119" s="1125">
        <f t="shared" si="35"/>
        <v>48311.446011102511</v>
      </c>
      <c r="BF119" s="1134">
        <f t="shared" si="39"/>
        <v>4812.6607915009608</v>
      </c>
      <c r="BG119" s="1125">
        <f t="shared" si="40"/>
        <v>24396.504108350535</v>
      </c>
      <c r="BH119" s="1138">
        <f t="shared" si="41"/>
        <v>40978.113753004131</v>
      </c>
      <c r="BI119" s="1134">
        <f t="shared" si="37"/>
        <v>9007.1231620397029</v>
      </c>
      <c r="BJ119" s="1125">
        <f t="shared" si="38"/>
        <v>27286.005597994634</v>
      </c>
      <c r="BK119" s="1138">
        <f t="shared" si="32"/>
        <v>40447.31013852264</v>
      </c>
      <c r="BL119" s="460"/>
      <c r="BM119" s="460"/>
      <c r="BN119" s="1296"/>
      <c r="BO119" s="1113" t="s">
        <v>1065</v>
      </c>
      <c r="BP119" s="460"/>
      <c r="CA119" s="1114">
        <v>6424</v>
      </c>
      <c r="CB119" s="1114">
        <v>9014</v>
      </c>
      <c r="CC119" s="1114">
        <v>12885</v>
      </c>
      <c r="CD119" s="1114">
        <v>18419</v>
      </c>
      <c r="CE119" s="1114">
        <v>26329</v>
      </c>
      <c r="CF119" s="1114">
        <v>37636</v>
      </c>
      <c r="CG119" s="1199">
        <v>3736</v>
      </c>
      <c r="CH119" s="1199">
        <v>3736</v>
      </c>
      <c r="CI119" s="1199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0"/>
      <c r="AL120" s="1190"/>
      <c r="AO120" s="1104" t="s">
        <v>1034</v>
      </c>
      <c r="AP120" s="1104">
        <v>682</v>
      </c>
      <c r="AQ120" s="1104">
        <v>839</v>
      </c>
      <c r="AR120" s="1104">
        <v>827</v>
      </c>
      <c r="AS120" s="1104">
        <v>881</v>
      </c>
      <c r="AT120" s="1104">
        <v>773</v>
      </c>
      <c r="AU120" s="1122">
        <f t="shared" si="27"/>
        <v>2.8982568455204478E-2</v>
      </c>
      <c r="AV120" s="1104">
        <f t="shared" si="28"/>
        <v>870.2</v>
      </c>
      <c r="AW120" s="1120">
        <f>AVERAGE(SUM(CA239:CI239)/SUM($CA$239:$CI$243),INDEX($BE$52:$BG$82,MATCH($AO$120,$AY$52:$AY$82,0),MATCH(AW88,$BE$51:$BG$51,0)))</f>
        <v>0.10275360570261555</v>
      </c>
      <c r="AX120" s="1120">
        <f>AVERAGE(SUM(CA241:CI241)/SUM($CA$239:$CI$243),INDEX($BE$52:$BG$82,MATCH($AO$120,$AY$52:$AY$82,0),MATCH(AX88,$BE$51:$BG$51,0)))</f>
        <v>0.72065189270499874</v>
      </c>
      <c r="AY120" s="1120">
        <f>AVERAGE(SUM(CA243:CI243)/SUM($CA$239:$CI$243),INDEX($BE$52:$BG$82,MATCH($AO$120,$AY$52:$AY$82,0),MATCH(AY88,$BE$51:$BG$51,0)))</f>
        <v>0.17659450159238568</v>
      </c>
      <c r="AZ120" s="1135" cm="1">
        <f t="array" ref="AZ120">INDEX($I$43:$CH$43,MATCH(AZ$88&amp;AO120,$I$33:$CH$33&amp;$I$32:$CH$32,0))</f>
        <v>4513.1911767694201</v>
      </c>
      <c r="BA120" s="1136" cm="1">
        <f t="array" ref="BA120">INDEX($I$43:$CH$43,MATCH(BA$88&amp;AO120,$I$33:$CH$33&amp;$I$32:$CH$32,0))</f>
        <v>23167.339151815657</v>
      </c>
      <c r="BB120" s="1136" cm="1">
        <f t="array" ref="BB120">INDEX($I$43:$CH$43,MATCH(BB$88&amp;AO120,$I$33:$CH$33&amp;$I$32:$CH$32,0))</f>
        <v>22529.580764463226</v>
      </c>
      <c r="BC120" s="1135">
        <f t="shared" si="33"/>
        <v>4976.937843407708</v>
      </c>
      <c r="BD120" s="1136">
        <f t="shared" si="34"/>
        <v>39862.925960510227</v>
      </c>
      <c r="BE120" s="1136">
        <f t="shared" si="35"/>
        <v>26508.180850649012</v>
      </c>
      <c r="BF120" s="1135">
        <f t="shared" si="39"/>
        <v>8263.9619724765162</v>
      </c>
      <c r="BG120" s="1136">
        <f t="shared" si="40"/>
        <v>35548.020037580325</v>
      </c>
      <c r="BH120" s="1139">
        <f t="shared" si="41"/>
        <v>22484.428432000717</v>
      </c>
      <c r="BI120" s="1135">
        <f t="shared" si="37"/>
        <v>15466.397179696949</v>
      </c>
      <c r="BJ120" s="1136">
        <f t="shared" si="38"/>
        <v>39758.297723116782</v>
      </c>
      <c r="BK120" s="1139">
        <f t="shared" si="32"/>
        <v>22193.179890079206</v>
      </c>
      <c r="BL120" s="460"/>
      <c r="BM120" s="460"/>
      <c r="BN120" s="1295" t="s">
        <v>1066</v>
      </c>
      <c r="BO120" s="1113" t="s">
        <v>1064</v>
      </c>
      <c r="BP120" s="1114">
        <v>318</v>
      </c>
      <c r="BQ120" s="1114">
        <v>226</v>
      </c>
      <c r="BR120" s="1114">
        <v>412</v>
      </c>
      <c r="BS120" s="1114">
        <v>949</v>
      </c>
      <c r="BT120" s="1114">
        <v>1577</v>
      </c>
      <c r="BU120" s="1114">
        <v>2487</v>
      </c>
      <c r="BV120" s="1114">
        <v>3492</v>
      </c>
      <c r="BW120" s="1114">
        <v>4884</v>
      </c>
      <c r="BX120" s="1114">
        <v>4036</v>
      </c>
      <c r="BY120" s="1114">
        <v>2845</v>
      </c>
      <c r="BZ120" s="1114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0"/>
      <c r="AL121" s="119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9"/>
      <c r="BJ121" s="1189"/>
      <c r="BK121" s="1189"/>
      <c r="BL121" s="460"/>
      <c r="BM121" s="460"/>
      <c r="BN121" s="1296"/>
      <c r="BO121" s="1113" t="s">
        <v>1065</v>
      </c>
      <c r="BP121" s="460"/>
      <c r="CA121" s="1114">
        <v>2301</v>
      </c>
      <c r="CB121" s="1114">
        <v>2272</v>
      </c>
      <c r="CC121" s="1114">
        <v>2272</v>
      </c>
      <c r="CD121" s="1114">
        <v>2272</v>
      </c>
      <c r="CE121" s="1114">
        <v>2272</v>
      </c>
      <c r="CF121" s="1114">
        <v>2272</v>
      </c>
      <c r="CG121" s="1114">
        <v>2272</v>
      </c>
      <c r="CH121" s="1114">
        <v>2272</v>
      </c>
      <c r="CI121" s="1114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0"/>
      <c r="AL122" s="1190"/>
      <c r="AZ122" s="460"/>
      <c r="BA122" s="460"/>
      <c r="BB122" s="1141" t="s">
        <v>216</v>
      </c>
      <c r="BC122" s="1142">
        <f>SUM(BC90:BC120)</f>
        <v>296803.67984025157</v>
      </c>
      <c r="BD122" s="1142">
        <f>SUM(BD90:BD120)</f>
        <v>1125234.4031790772</v>
      </c>
      <c r="BE122" s="1142">
        <f t="shared" ref="BE122:BK122" si="44">SUM(BE90:BE120)</f>
        <v>1034575.1080550611</v>
      </c>
      <c r="BF122" s="1142">
        <f>SUM(BF90:BF120)</f>
        <v>492828.00000000006</v>
      </c>
      <c r="BG122" s="1142">
        <f>SUM(BG90:BG120)</f>
        <v>1003434.9999999993</v>
      </c>
      <c r="BH122" s="1142">
        <f t="shared" si="44"/>
        <v>877533.99999999988</v>
      </c>
      <c r="BI122" s="1142">
        <f t="shared" si="44"/>
        <v>922351.00000000023</v>
      </c>
      <c r="BJ122" s="1142">
        <f t="shared" si="44"/>
        <v>1122281</v>
      </c>
      <c r="BK122" s="1142">
        <f t="shared" si="44"/>
        <v>866167.00000000023</v>
      </c>
      <c r="BL122" s="460"/>
      <c r="BM122" s="460"/>
      <c r="BN122" s="1113" t="s">
        <v>1067</v>
      </c>
      <c r="BO122" s="1113" t="s">
        <v>1064</v>
      </c>
      <c r="BP122" s="1114">
        <v>199</v>
      </c>
      <c r="BQ122" s="1114">
        <v>157</v>
      </c>
      <c r="BR122" s="1114">
        <v>134</v>
      </c>
      <c r="BS122" s="1114">
        <v>154</v>
      </c>
      <c r="BT122" s="1114">
        <v>193</v>
      </c>
      <c r="BU122" s="1114">
        <v>241</v>
      </c>
      <c r="BV122" s="1114">
        <v>298</v>
      </c>
      <c r="BW122" s="1114">
        <v>272</v>
      </c>
      <c r="BX122" s="1114">
        <v>297</v>
      </c>
      <c r="BY122" s="1114">
        <v>248</v>
      </c>
      <c r="BZ122" s="1114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0"/>
      <c r="AL123" s="1190"/>
      <c r="AW123" s="460"/>
      <c r="AY123" s="460"/>
      <c r="AZ123" s="460"/>
      <c r="BA123" s="1140" t="s">
        <v>1070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3" t="s">
        <v>1065</v>
      </c>
      <c r="BP123" s="460"/>
      <c r="CA123" s="1114">
        <v>237</v>
      </c>
      <c r="CB123" s="1114">
        <v>242</v>
      </c>
      <c r="CC123" s="1114">
        <v>242</v>
      </c>
      <c r="CD123" s="1114">
        <v>242</v>
      </c>
      <c r="CE123" s="1114">
        <v>242</v>
      </c>
      <c r="CF123" s="1114">
        <v>242</v>
      </c>
      <c r="CG123" s="1114">
        <v>242</v>
      </c>
      <c r="CH123" s="1114">
        <v>242</v>
      </c>
      <c r="CI123" s="1114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0"/>
      <c r="AL124" s="1190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9"/>
      <c r="BJ124" s="1189"/>
      <c r="BK124" s="1189"/>
      <c r="BM124" s="1295" t="s">
        <v>336</v>
      </c>
      <c r="BN124" s="1295" t="s">
        <v>42</v>
      </c>
      <c r="BO124" s="1113" t="s">
        <v>1064</v>
      </c>
      <c r="BP124" s="1114">
        <v>18</v>
      </c>
      <c r="BQ124" s="1114">
        <v>24</v>
      </c>
      <c r="BR124" s="1114">
        <v>30</v>
      </c>
      <c r="BS124" s="1114">
        <v>34</v>
      </c>
      <c r="BT124" s="1114">
        <v>33</v>
      </c>
      <c r="BU124" s="1114">
        <v>48</v>
      </c>
      <c r="BV124" s="1114">
        <v>65</v>
      </c>
      <c r="BW124" s="1114">
        <v>31</v>
      </c>
      <c r="BX124" s="1114">
        <v>103</v>
      </c>
      <c r="BY124" s="1114">
        <v>63</v>
      </c>
      <c r="BZ124" s="1114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0"/>
      <c r="AL125" s="1190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9"/>
      <c r="BJ125" s="1189"/>
      <c r="BK125" s="1189"/>
      <c r="BM125" s="1296"/>
      <c r="BN125" s="1296"/>
      <c r="BO125" s="1113" t="s">
        <v>1065</v>
      </c>
      <c r="BP125" s="460"/>
      <c r="CA125" s="1114">
        <v>88</v>
      </c>
      <c r="CB125" s="1114">
        <v>109</v>
      </c>
      <c r="CC125" s="1114">
        <v>123</v>
      </c>
      <c r="CD125" s="1114">
        <v>136</v>
      </c>
      <c r="CE125" s="1114">
        <v>150</v>
      </c>
      <c r="CF125" s="1114">
        <v>163</v>
      </c>
      <c r="CG125" s="1114">
        <v>176</v>
      </c>
      <c r="CH125" s="1114">
        <v>190</v>
      </c>
      <c r="CI125" s="1114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0"/>
      <c r="AL126" s="1190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9"/>
      <c r="BJ126" s="1189"/>
      <c r="BK126" s="1189"/>
      <c r="BM126" s="1296"/>
      <c r="BN126" s="1295" t="s">
        <v>1066</v>
      </c>
      <c r="BO126" s="1113" t="s">
        <v>1064</v>
      </c>
      <c r="BP126" s="1114">
        <v>35</v>
      </c>
      <c r="BQ126" s="1114">
        <v>9</v>
      </c>
      <c r="BR126" s="1114">
        <v>14</v>
      </c>
      <c r="BS126" s="1114">
        <v>23</v>
      </c>
      <c r="BT126" s="1114">
        <v>59</v>
      </c>
      <c r="BU126" s="1114">
        <v>128</v>
      </c>
      <c r="BV126" s="1114">
        <v>192</v>
      </c>
      <c r="BW126" s="1114">
        <v>219</v>
      </c>
      <c r="BX126" s="1114">
        <v>477</v>
      </c>
      <c r="BY126" s="1114">
        <v>540</v>
      </c>
      <c r="BZ126" s="1114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0"/>
      <c r="AL127" s="1190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9"/>
      <c r="BJ127" s="1189"/>
      <c r="BK127" s="1189"/>
      <c r="BM127" s="1296"/>
      <c r="BN127" s="1296"/>
      <c r="BO127" s="1113" t="s">
        <v>1065</v>
      </c>
      <c r="BP127" s="460"/>
      <c r="CA127" s="1114">
        <v>321</v>
      </c>
      <c r="CB127" s="1114">
        <v>346</v>
      </c>
      <c r="CC127" s="1114">
        <v>346</v>
      </c>
      <c r="CD127" s="1114">
        <v>346</v>
      </c>
      <c r="CE127" s="1114">
        <v>346</v>
      </c>
      <c r="CF127" s="1114">
        <v>346</v>
      </c>
      <c r="CG127" s="1114">
        <v>346</v>
      </c>
      <c r="CH127" s="1114">
        <v>346</v>
      </c>
      <c r="CI127" s="1114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0"/>
      <c r="AL128" s="1190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9"/>
      <c r="BJ128" s="1189"/>
      <c r="BK128" s="1189"/>
      <c r="BM128" s="1296"/>
      <c r="BN128" s="1295" t="s">
        <v>1067</v>
      </c>
      <c r="BO128" s="1113" t="s">
        <v>1064</v>
      </c>
      <c r="BP128" s="1114">
        <v>419</v>
      </c>
      <c r="BQ128" s="1114">
        <v>300</v>
      </c>
      <c r="BR128" s="1114">
        <v>267</v>
      </c>
      <c r="BS128" s="1114">
        <v>253</v>
      </c>
      <c r="BT128" s="1114">
        <v>297</v>
      </c>
      <c r="BU128" s="1114">
        <v>333</v>
      </c>
      <c r="BV128" s="1114">
        <v>383</v>
      </c>
      <c r="BW128" s="1114">
        <v>424</v>
      </c>
      <c r="BX128" s="1114">
        <v>463</v>
      </c>
      <c r="BY128" s="1114">
        <v>449</v>
      </c>
      <c r="BZ128" s="1114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0"/>
      <c r="AL129" s="1190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9"/>
      <c r="BJ129" s="1189"/>
      <c r="BK129" s="1189"/>
      <c r="BM129" s="1296"/>
      <c r="BN129" s="1296"/>
      <c r="BO129" s="1113" t="s">
        <v>1065</v>
      </c>
      <c r="BP129" s="460"/>
      <c r="CA129" s="1114">
        <v>454</v>
      </c>
      <c r="CB129" s="1114">
        <v>454</v>
      </c>
      <c r="CC129" s="1114">
        <v>454</v>
      </c>
      <c r="CD129" s="1114">
        <v>454</v>
      </c>
      <c r="CE129" s="1114">
        <v>454</v>
      </c>
      <c r="CF129" s="1114">
        <v>454</v>
      </c>
      <c r="CG129" s="1114">
        <v>454</v>
      </c>
      <c r="CH129" s="1114">
        <v>454</v>
      </c>
      <c r="CI129" s="1114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0"/>
      <c r="AL130" s="1190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9"/>
      <c r="BJ130" s="1189"/>
      <c r="BK130" s="1189"/>
      <c r="BM130" s="1295" t="s">
        <v>904</v>
      </c>
      <c r="BN130" s="1295" t="s">
        <v>42</v>
      </c>
      <c r="BO130" s="1113" t="s">
        <v>1064</v>
      </c>
      <c r="BP130" s="1114">
        <v>12</v>
      </c>
      <c r="BQ130" s="1114">
        <v>26</v>
      </c>
      <c r="BR130" s="1114">
        <v>6</v>
      </c>
      <c r="BS130" s="1114">
        <v>2</v>
      </c>
      <c r="BT130" s="1114">
        <v>0</v>
      </c>
      <c r="BU130" s="1114">
        <v>11</v>
      </c>
      <c r="BV130" s="1114">
        <v>27</v>
      </c>
      <c r="BW130" s="1114">
        <v>26</v>
      </c>
      <c r="BX130" s="1114">
        <v>17</v>
      </c>
      <c r="BY130" s="1114">
        <v>55</v>
      </c>
      <c r="BZ130" s="1114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0"/>
      <c r="AL131" s="1190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9"/>
      <c r="BJ131" s="1189"/>
      <c r="BK131" s="1189"/>
      <c r="BM131" s="1296"/>
      <c r="BN131" s="1296"/>
      <c r="BO131" s="1113" t="s">
        <v>1065</v>
      </c>
      <c r="BP131" s="460"/>
      <c r="CA131" s="1114">
        <v>40</v>
      </c>
      <c r="CB131" s="1114">
        <v>34</v>
      </c>
      <c r="CC131" s="1114">
        <v>34</v>
      </c>
      <c r="CD131" s="1114">
        <v>34</v>
      </c>
      <c r="CE131" s="1114">
        <v>34</v>
      </c>
      <c r="CF131" s="1114">
        <v>34</v>
      </c>
      <c r="CG131" s="1114">
        <v>34</v>
      </c>
      <c r="CH131" s="1114">
        <v>34</v>
      </c>
      <c r="CI131" s="1114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0"/>
      <c r="AL132" s="1190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9"/>
      <c r="BJ132" s="1189"/>
      <c r="BK132" s="1189"/>
      <c r="BM132" s="1296"/>
      <c r="BN132" s="1295" t="s">
        <v>1066</v>
      </c>
      <c r="BO132" s="1113" t="s">
        <v>1064</v>
      </c>
      <c r="BP132" s="1114">
        <v>33</v>
      </c>
      <c r="BQ132" s="1114">
        <v>7</v>
      </c>
      <c r="BR132" s="1114">
        <v>16</v>
      </c>
      <c r="BS132" s="1114">
        <v>29</v>
      </c>
      <c r="BT132" s="1114">
        <v>34</v>
      </c>
      <c r="BU132" s="1114">
        <v>53</v>
      </c>
      <c r="BV132" s="1114">
        <v>68</v>
      </c>
      <c r="BW132" s="1114">
        <v>170</v>
      </c>
      <c r="BX132" s="1114">
        <v>190</v>
      </c>
      <c r="BY132" s="1114">
        <v>289</v>
      </c>
      <c r="BZ132" s="1114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0"/>
      <c r="AL133" s="1190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9"/>
      <c r="BJ133" s="1189"/>
      <c r="BK133" s="1189"/>
      <c r="BM133" s="1296"/>
      <c r="BN133" s="1296"/>
      <c r="BO133" s="1113" t="s">
        <v>1065</v>
      </c>
      <c r="BP133" s="460"/>
      <c r="CA133" s="1114">
        <v>265</v>
      </c>
      <c r="CB133" s="1114">
        <v>249</v>
      </c>
      <c r="CC133" s="1114">
        <v>249</v>
      </c>
      <c r="CD133" s="1114">
        <v>249</v>
      </c>
      <c r="CE133" s="1114">
        <v>249</v>
      </c>
      <c r="CF133" s="1114">
        <v>249</v>
      </c>
      <c r="CG133" s="1114">
        <v>249</v>
      </c>
      <c r="CH133" s="1114">
        <v>249</v>
      </c>
      <c r="CI133" s="1114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0"/>
      <c r="AL134" s="1190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9"/>
      <c r="BJ134" s="1189"/>
      <c r="BK134" s="1189"/>
      <c r="BM134" s="1296"/>
      <c r="BN134" s="1295" t="s">
        <v>1067</v>
      </c>
      <c r="BO134" s="1113" t="s">
        <v>1064</v>
      </c>
      <c r="BP134" s="1114">
        <v>240</v>
      </c>
      <c r="BQ134" s="1114">
        <v>185</v>
      </c>
      <c r="BR134" s="1114">
        <v>172</v>
      </c>
      <c r="BS134" s="1114">
        <v>147</v>
      </c>
      <c r="BT134" s="1114">
        <v>158</v>
      </c>
      <c r="BU134" s="1114">
        <v>188</v>
      </c>
      <c r="BV134" s="1114">
        <v>211</v>
      </c>
      <c r="BW134" s="1114">
        <v>200</v>
      </c>
      <c r="BX134" s="1114">
        <v>230</v>
      </c>
      <c r="BY134" s="1114">
        <v>229</v>
      </c>
      <c r="BZ134" s="1114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0"/>
      <c r="AL135" s="1190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9"/>
      <c r="BJ135" s="1189"/>
      <c r="BK135" s="1189"/>
      <c r="BM135" s="1296"/>
      <c r="BN135" s="1296"/>
      <c r="BO135" s="1113" t="s">
        <v>1065</v>
      </c>
      <c r="BP135" s="460"/>
      <c r="CA135" s="1114">
        <v>197</v>
      </c>
      <c r="CB135" s="1114">
        <v>209</v>
      </c>
      <c r="CC135" s="1114">
        <v>209</v>
      </c>
      <c r="CD135" s="1114">
        <v>209</v>
      </c>
      <c r="CE135" s="1114">
        <v>209</v>
      </c>
      <c r="CF135" s="1114">
        <v>209</v>
      </c>
      <c r="CG135" s="1114">
        <v>209</v>
      </c>
      <c r="CH135" s="1114">
        <v>209</v>
      </c>
      <c r="CI135" s="1114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0"/>
      <c r="AL136" s="1190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9"/>
      <c r="BJ136" s="1189"/>
      <c r="BK136" s="1189"/>
      <c r="BM136" s="1295" t="s">
        <v>902</v>
      </c>
      <c r="BN136" s="1295" t="s">
        <v>42</v>
      </c>
      <c r="BO136" s="1113" t="s">
        <v>1064</v>
      </c>
      <c r="BP136" s="1114">
        <v>75</v>
      </c>
      <c r="BQ136" s="1114">
        <v>12</v>
      </c>
      <c r="BR136" s="1114">
        <v>1</v>
      </c>
      <c r="BS136" s="1114">
        <v>0</v>
      </c>
      <c r="BT136" s="1114">
        <v>17</v>
      </c>
      <c r="BU136" s="1114">
        <v>8</v>
      </c>
      <c r="BV136" s="1114">
        <v>25</v>
      </c>
      <c r="BW136" s="1114">
        <v>30</v>
      </c>
      <c r="BX136" s="1114">
        <v>62</v>
      </c>
      <c r="BY136" s="1114">
        <v>16</v>
      </c>
      <c r="BZ136" s="1114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0"/>
      <c r="AL137" s="1190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9"/>
      <c r="BJ137" s="1189"/>
      <c r="BK137" s="1189"/>
      <c r="BM137" s="1296"/>
      <c r="BN137" s="1296"/>
      <c r="BO137" s="1113" t="s">
        <v>1065</v>
      </c>
      <c r="BP137" s="460"/>
      <c r="CA137" s="1114">
        <v>137</v>
      </c>
      <c r="CB137" s="1199">
        <v>300</v>
      </c>
      <c r="CC137" s="1199">
        <v>300</v>
      </c>
      <c r="CD137" s="1199">
        <v>500</v>
      </c>
      <c r="CE137" s="1199">
        <v>500</v>
      </c>
      <c r="CF137" s="1199">
        <v>500</v>
      </c>
      <c r="CG137" s="1199">
        <v>500</v>
      </c>
      <c r="CH137" s="1199">
        <v>500</v>
      </c>
      <c r="CI137" s="1199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0"/>
      <c r="AL138" s="1190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9"/>
      <c r="BJ138" s="1189"/>
      <c r="BK138" s="1189"/>
      <c r="BM138" s="1296"/>
      <c r="BN138" s="1295" t="s">
        <v>1066</v>
      </c>
      <c r="BO138" s="1113" t="s">
        <v>1064</v>
      </c>
      <c r="BP138" s="1114">
        <v>52</v>
      </c>
      <c r="BQ138" s="1114">
        <v>74</v>
      </c>
      <c r="BR138" s="1114">
        <v>104</v>
      </c>
      <c r="BS138" s="1114">
        <v>204</v>
      </c>
      <c r="BT138" s="1114">
        <v>436</v>
      </c>
      <c r="BU138" s="1114">
        <v>496</v>
      </c>
      <c r="BV138" s="1114">
        <v>792</v>
      </c>
      <c r="BW138" s="1114">
        <v>1032</v>
      </c>
      <c r="BX138" s="1114">
        <v>1632</v>
      </c>
      <c r="BY138" s="1114">
        <v>1477</v>
      </c>
      <c r="BZ138" s="1114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0"/>
      <c r="AL139" s="1190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9"/>
      <c r="BJ139" s="1189"/>
      <c r="BK139" s="1189"/>
      <c r="BM139" s="1296"/>
      <c r="BN139" s="1296"/>
      <c r="BO139" s="1113" t="s">
        <v>1065</v>
      </c>
      <c r="BP139" s="460"/>
      <c r="CA139" s="1114">
        <v>1533</v>
      </c>
      <c r="CB139" s="1114">
        <v>1822</v>
      </c>
      <c r="CC139" s="1114">
        <v>1957</v>
      </c>
      <c r="CD139" s="1199">
        <v>2093</v>
      </c>
      <c r="CE139" s="1199">
        <v>2093</v>
      </c>
      <c r="CF139" s="1199">
        <v>2093</v>
      </c>
      <c r="CG139" s="1199">
        <v>2093</v>
      </c>
      <c r="CH139" s="1199">
        <v>2093</v>
      </c>
      <c r="CI139" s="1199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0"/>
      <c r="AL140" s="1190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9"/>
      <c r="BJ140" s="1189"/>
      <c r="BK140" s="1189"/>
      <c r="BM140" s="1296"/>
      <c r="BN140" s="1295" t="s">
        <v>1067</v>
      </c>
      <c r="BO140" s="1113" t="s">
        <v>1064</v>
      </c>
      <c r="BP140" s="1114">
        <v>159</v>
      </c>
      <c r="BQ140" s="1114">
        <v>121</v>
      </c>
      <c r="BR140" s="1114">
        <v>89</v>
      </c>
      <c r="BS140" s="1114">
        <v>96</v>
      </c>
      <c r="BT140" s="1114">
        <v>124</v>
      </c>
      <c r="BU140" s="1114">
        <v>132</v>
      </c>
      <c r="BV140" s="1114">
        <v>168</v>
      </c>
      <c r="BW140" s="1114">
        <v>159</v>
      </c>
      <c r="BX140" s="1114">
        <v>203</v>
      </c>
      <c r="BY140" s="1114">
        <v>168</v>
      </c>
      <c r="BZ140" s="1114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0"/>
      <c r="AL141" s="1190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9"/>
      <c r="BJ141" s="1189"/>
      <c r="BK141" s="1189"/>
      <c r="BM141" s="1296"/>
      <c r="BN141" s="1296"/>
      <c r="BO141" s="1113" t="s">
        <v>1065</v>
      </c>
      <c r="BP141" s="460"/>
      <c r="CA141" s="1114">
        <v>162</v>
      </c>
      <c r="CB141" s="1114">
        <v>170</v>
      </c>
      <c r="CC141" s="1114">
        <v>170</v>
      </c>
      <c r="CD141" s="1114">
        <v>170</v>
      </c>
      <c r="CE141" s="1114">
        <v>170</v>
      </c>
      <c r="CF141" s="1114">
        <v>170</v>
      </c>
      <c r="CG141" s="1114">
        <v>170</v>
      </c>
      <c r="CH141" s="1114">
        <v>170</v>
      </c>
      <c r="CI141" s="1114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0"/>
      <c r="AL142" s="1190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9"/>
      <c r="BJ142" s="1189"/>
      <c r="BK142" s="1189"/>
      <c r="BM142" s="1295" t="s">
        <v>903</v>
      </c>
      <c r="BN142" s="1295" t="s">
        <v>42</v>
      </c>
      <c r="BO142" s="1113" t="s">
        <v>1064</v>
      </c>
      <c r="BP142" s="1114">
        <v>11</v>
      </c>
      <c r="BQ142" s="1114">
        <v>0</v>
      </c>
      <c r="BR142" s="1114">
        <v>12</v>
      </c>
      <c r="BS142" s="1114">
        <v>1</v>
      </c>
      <c r="BT142" s="1114">
        <v>2</v>
      </c>
      <c r="BU142" s="1114">
        <v>7</v>
      </c>
      <c r="BV142" s="1114">
        <v>13</v>
      </c>
      <c r="BW142" s="1114">
        <v>32</v>
      </c>
      <c r="BX142" s="1114">
        <v>35</v>
      </c>
      <c r="BY142" s="1114">
        <v>38</v>
      </c>
      <c r="BZ142" s="1114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0"/>
      <c r="AL143" s="1190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9"/>
      <c r="BJ143" s="1189"/>
      <c r="BK143" s="1189"/>
      <c r="BM143" s="1296"/>
      <c r="BN143" s="1296"/>
      <c r="BO143" s="1113" t="s">
        <v>1065</v>
      </c>
      <c r="BP143" s="460"/>
      <c r="CA143" s="1114">
        <v>23</v>
      </c>
      <c r="CB143" s="1114">
        <v>29</v>
      </c>
      <c r="CC143" s="1114">
        <v>29</v>
      </c>
      <c r="CD143" s="1114">
        <v>29</v>
      </c>
      <c r="CE143" s="1114">
        <v>29</v>
      </c>
      <c r="CF143" s="1114">
        <v>29</v>
      </c>
      <c r="CG143" s="1114">
        <v>29</v>
      </c>
      <c r="CH143" s="1114">
        <v>29</v>
      </c>
      <c r="CI143" s="1114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0"/>
      <c r="AL144" s="1190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9"/>
      <c r="BJ144" s="1189"/>
      <c r="BK144" s="1189"/>
      <c r="BM144" s="1296"/>
      <c r="BN144" s="1295" t="s">
        <v>1066</v>
      </c>
      <c r="BO144" s="1113" t="s">
        <v>1064</v>
      </c>
      <c r="BP144" s="1114">
        <v>49</v>
      </c>
      <c r="BQ144" s="1114">
        <v>22</v>
      </c>
      <c r="BR144" s="1114">
        <v>6</v>
      </c>
      <c r="BS144" s="1114">
        <v>8</v>
      </c>
      <c r="BT144" s="1114">
        <v>14</v>
      </c>
      <c r="BU144" s="1114">
        <v>36</v>
      </c>
      <c r="BV144" s="1114">
        <v>24</v>
      </c>
      <c r="BW144" s="1114">
        <v>39</v>
      </c>
      <c r="BX144" s="1114">
        <v>99</v>
      </c>
      <c r="BY144" s="1114">
        <v>197</v>
      </c>
      <c r="BZ144" s="1114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0"/>
      <c r="AL145" s="1190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9"/>
      <c r="BJ145" s="1189"/>
      <c r="BK145" s="1189"/>
      <c r="BM145" s="1296"/>
      <c r="BN145" s="1296"/>
      <c r="BO145" s="1113" t="s">
        <v>1065</v>
      </c>
      <c r="BP145" s="460"/>
      <c r="CA145" s="1114">
        <v>110</v>
      </c>
      <c r="CB145" s="1114">
        <v>123</v>
      </c>
      <c r="CC145" s="1114">
        <v>123</v>
      </c>
      <c r="CD145" s="1114">
        <v>123</v>
      </c>
      <c r="CE145" s="1114">
        <v>123</v>
      </c>
      <c r="CF145" s="1114">
        <v>123</v>
      </c>
      <c r="CG145" s="1114">
        <v>123</v>
      </c>
      <c r="CH145" s="1114">
        <v>123</v>
      </c>
      <c r="CI145" s="1114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0"/>
      <c r="AL146" s="1190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9"/>
      <c r="BJ146" s="1189"/>
      <c r="BK146" s="1189"/>
      <c r="BM146" s="1296"/>
      <c r="BN146" s="1295" t="s">
        <v>1067</v>
      </c>
      <c r="BO146" s="1113" t="s">
        <v>1064</v>
      </c>
      <c r="BP146" s="1114">
        <v>168</v>
      </c>
      <c r="BQ146" s="1114">
        <v>87</v>
      </c>
      <c r="BR146" s="1114">
        <v>94</v>
      </c>
      <c r="BS146" s="1114">
        <v>94</v>
      </c>
      <c r="BT146" s="1114">
        <v>94</v>
      </c>
      <c r="BU146" s="1114">
        <v>116</v>
      </c>
      <c r="BV146" s="1114">
        <v>158</v>
      </c>
      <c r="BW146" s="1114">
        <v>151</v>
      </c>
      <c r="BX146" s="1114">
        <v>153</v>
      </c>
      <c r="BY146" s="1114">
        <v>145</v>
      </c>
      <c r="BZ146" s="1114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0"/>
      <c r="AL147" s="1190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9"/>
      <c r="BJ147" s="1189"/>
      <c r="BK147" s="1189"/>
      <c r="BM147" s="1296"/>
      <c r="BN147" s="1296"/>
      <c r="BO147" s="1113" t="s">
        <v>1065</v>
      </c>
      <c r="BP147" s="460"/>
      <c r="CA147" s="1114">
        <v>157</v>
      </c>
      <c r="CB147" s="1114">
        <v>158</v>
      </c>
      <c r="CC147" s="1114">
        <v>158</v>
      </c>
      <c r="CD147" s="1114">
        <v>158</v>
      </c>
      <c r="CE147" s="1114">
        <v>158</v>
      </c>
      <c r="CF147" s="1114">
        <v>158</v>
      </c>
      <c r="CG147" s="1114">
        <v>158</v>
      </c>
      <c r="CH147" s="1114">
        <v>158</v>
      </c>
      <c r="CI147" s="1114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0"/>
      <c r="AL148" s="1190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9"/>
      <c r="BJ148" s="1189"/>
      <c r="BK148" s="1189"/>
      <c r="BM148" s="1295" t="s">
        <v>909</v>
      </c>
      <c r="BN148" s="1295" t="s">
        <v>42</v>
      </c>
      <c r="BO148" s="1113" t="s">
        <v>1064</v>
      </c>
      <c r="BP148" s="1114">
        <v>5</v>
      </c>
      <c r="BQ148" s="1114">
        <v>2</v>
      </c>
      <c r="BR148" s="1114">
        <v>2</v>
      </c>
      <c r="BS148" s="1114">
        <v>12</v>
      </c>
      <c r="BT148" s="1114">
        <v>7</v>
      </c>
      <c r="BU148" s="1114">
        <v>3</v>
      </c>
      <c r="BV148" s="1114">
        <v>2</v>
      </c>
      <c r="BW148" s="1114">
        <v>12</v>
      </c>
      <c r="BX148" s="1114">
        <v>2</v>
      </c>
      <c r="BY148" s="1114">
        <v>26</v>
      </c>
      <c r="BZ148" s="1114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0"/>
      <c r="AL149" s="1190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9"/>
      <c r="BJ149" s="1189"/>
      <c r="BK149" s="1189"/>
      <c r="BM149" s="1296"/>
      <c r="BN149" s="1296"/>
      <c r="BO149" s="1113" t="s">
        <v>1065</v>
      </c>
      <c r="BP149" s="460"/>
      <c r="CA149" s="1114">
        <v>9</v>
      </c>
      <c r="CB149" s="1114">
        <v>12</v>
      </c>
      <c r="CC149" s="1114">
        <v>12</v>
      </c>
      <c r="CD149" s="1114">
        <v>12</v>
      </c>
      <c r="CE149" s="1114">
        <v>12</v>
      </c>
      <c r="CF149" s="1114">
        <v>12</v>
      </c>
      <c r="CG149" s="1114">
        <v>12</v>
      </c>
      <c r="CH149" s="1114">
        <v>12</v>
      </c>
      <c r="CI149" s="1114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0"/>
      <c r="AL150" s="1190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9"/>
      <c r="BJ150" s="1189"/>
      <c r="BK150" s="1189"/>
      <c r="BM150" s="1296"/>
      <c r="BN150" s="1295" t="s">
        <v>1066</v>
      </c>
      <c r="BO150" s="1113" t="s">
        <v>1064</v>
      </c>
      <c r="BP150" s="1114">
        <v>31</v>
      </c>
      <c r="BQ150" s="1114">
        <v>32</v>
      </c>
      <c r="BR150" s="1114">
        <v>20</v>
      </c>
      <c r="BS150" s="1114">
        <v>11</v>
      </c>
      <c r="BT150" s="1114">
        <v>21</v>
      </c>
      <c r="BU150" s="1114">
        <v>33</v>
      </c>
      <c r="BV150" s="1114">
        <v>18</v>
      </c>
      <c r="BW150" s="1114">
        <v>105</v>
      </c>
      <c r="BX150" s="1114">
        <v>97</v>
      </c>
      <c r="BY150" s="1114">
        <v>189</v>
      </c>
      <c r="BZ150" s="1114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0"/>
      <c r="AL151" s="1190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9"/>
      <c r="BJ151" s="1189"/>
      <c r="BK151" s="1189"/>
      <c r="BM151" s="1296"/>
      <c r="BN151" s="1296"/>
      <c r="BO151" s="1113" t="s">
        <v>1065</v>
      </c>
      <c r="BP151" s="460"/>
      <c r="CA151" s="1114">
        <v>182</v>
      </c>
      <c r="CB151" s="1114">
        <v>189</v>
      </c>
      <c r="CC151" s="1114">
        <v>189</v>
      </c>
      <c r="CD151" s="1114">
        <v>189</v>
      </c>
      <c r="CE151" s="1114">
        <v>189</v>
      </c>
      <c r="CF151" s="1114">
        <v>189</v>
      </c>
      <c r="CG151" s="1114">
        <v>189</v>
      </c>
      <c r="CH151" s="1114">
        <v>189</v>
      </c>
      <c r="CI151" s="1114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0"/>
      <c r="AL152" s="1190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9"/>
      <c r="BJ152" s="1189"/>
      <c r="BK152" s="1189"/>
      <c r="BM152" s="1296"/>
      <c r="BN152" s="1295" t="s">
        <v>1067</v>
      </c>
      <c r="BO152" s="1113" t="s">
        <v>1064</v>
      </c>
      <c r="BP152" s="1114">
        <v>89</v>
      </c>
      <c r="BQ152" s="1114">
        <v>90</v>
      </c>
      <c r="BR152" s="1114">
        <v>63</v>
      </c>
      <c r="BS152" s="1114">
        <v>56</v>
      </c>
      <c r="BT152" s="1114">
        <v>56</v>
      </c>
      <c r="BU152" s="1114">
        <v>66</v>
      </c>
      <c r="BV152" s="1114">
        <v>98</v>
      </c>
      <c r="BW152" s="1114">
        <v>118</v>
      </c>
      <c r="BX152" s="1114">
        <v>139</v>
      </c>
      <c r="BY152" s="1114">
        <v>119</v>
      </c>
      <c r="BZ152" s="1114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0"/>
      <c r="AL153" s="1190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9"/>
      <c r="BJ153" s="1189"/>
      <c r="BK153" s="1189"/>
      <c r="BM153" s="1296"/>
      <c r="BN153" s="1296"/>
      <c r="BO153" s="1113" t="s">
        <v>1065</v>
      </c>
      <c r="BP153" s="460"/>
      <c r="CA153" s="1114">
        <v>132</v>
      </c>
      <c r="CB153" s="1114">
        <v>128</v>
      </c>
      <c r="CC153" s="1114">
        <v>128</v>
      </c>
      <c r="CD153" s="1114">
        <v>128</v>
      </c>
      <c r="CE153" s="1114">
        <v>128</v>
      </c>
      <c r="CF153" s="1114">
        <v>128</v>
      </c>
      <c r="CG153" s="1114">
        <v>128</v>
      </c>
      <c r="CH153" s="1114">
        <v>128</v>
      </c>
      <c r="CI153" s="1114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0"/>
      <c r="AL154" s="1190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9"/>
      <c r="BJ154" s="1189"/>
      <c r="BK154" s="1189"/>
      <c r="BM154" s="1295" t="s">
        <v>908</v>
      </c>
      <c r="BN154" s="1295" t="s">
        <v>42</v>
      </c>
      <c r="BO154" s="1113" t="s">
        <v>1064</v>
      </c>
      <c r="BP154" s="1114">
        <v>22</v>
      </c>
      <c r="BQ154" s="1114">
        <v>1</v>
      </c>
      <c r="BR154" s="1114">
        <v>4</v>
      </c>
      <c r="BS154" s="1114">
        <v>0</v>
      </c>
      <c r="BT154" s="1114">
        <v>0</v>
      </c>
      <c r="BU154" s="1114">
        <v>9</v>
      </c>
      <c r="BV154" s="1114">
        <v>9</v>
      </c>
      <c r="BW154" s="1114">
        <v>2</v>
      </c>
      <c r="BX154" s="1114">
        <v>8</v>
      </c>
      <c r="BY154" s="1114">
        <v>0</v>
      </c>
      <c r="BZ154" s="1114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0"/>
      <c r="AL155" s="1190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9"/>
      <c r="BJ155" s="1189"/>
      <c r="BK155" s="1189"/>
      <c r="BM155" s="1296"/>
      <c r="BN155" s="1296"/>
      <c r="BO155" s="1113" t="s">
        <v>1065</v>
      </c>
      <c r="BP155" s="460"/>
      <c r="CA155" s="1114">
        <v>2</v>
      </c>
      <c r="CB155" s="1114">
        <v>3</v>
      </c>
      <c r="CC155" s="1114">
        <v>3</v>
      </c>
      <c r="CD155" s="1114">
        <v>3</v>
      </c>
      <c r="CE155" s="1114">
        <v>3</v>
      </c>
      <c r="CF155" s="1114">
        <v>3</v>
      </c>
      <c r="CG155" s="1114">
        <v>3</v>
      </c>
      <c r="CH155" s="1114">
        <v>3</v>
      </c>
      <c r="CI155" s="1114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0"/>
      <c r="AL156" s="1190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9"/>
      <c r="BJ156" s="1189"/>
      <c r="BK156" s="1189"/>
      <c r="BM156" s="1296"/>
      <c r="BN156" s="1295" t="s">
        <v>1066</v>
      </c>
      <c r="BO156" s="1113" t="s">
        <v>1064</v>
      </c>
      <c r="BP156" s="1114">
        <v>1</v>
      </c>
      <c r="BQ156" s="1114">
        <v>3</v>
      </c>
      <c r="BR156" s="1114">
        <v>0</v>
      </c>
      <c r="BS156" s="1114">
        <v>1</v>
      </c>
      <c r="BT156" s="1114">
        <v>8</v>
      </c>
      <c r="BU156" s="1114">
        <v>8</v>
      </c>
      <c r="BV156" s="1114">
        <v>26</v>
      </c>
      <c r="BW156" s="1114">
        <v>22</v>
      </c>
      <c r="BX156" s="1114">
        <v>1</v>
      </c>
      <c r="BY156" s="1114">
        <v>1</v>
      </c>
      <c r="BZ156" s="1114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0"/>
      <c r="AL157" s="1190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9"/>
      <c r="BJ157" s="1189"/>
      <c r="BK157" s="1189"/>
      <c r="BM157" s="1296"/>
      <c r="BN157" s="1296"/>
      <c r="BO157" s="1113" t="s">
        <v>1065</v>
      </c>
      <c r="BP157" s="460"/>
      <c r="CA157" s="1114">
        <v>22</v>
      </c>
      <c r="CB157" s="1114">
        <v>27</v>
      </c>
      <c r="CC157" s="1114">
        <v>27</v>
      </c>
      <c r="CD157" s="1114">
        <v>27</v>
      </c>
      <c r="CE157" s="1114">
        <v>27</v>
      </c>
      <c r="CF157" s="1114">
        <v>27</v>
      </c>
      <c r="CG157" s="1114">
        <v>27</v>
      </c>
      <c r="CH157" s="1114">
        <v>27</v>
      </c>
      <c r="CI157" s="1114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0"/>
      <c r="AL158" s="1190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9"/>
      <c r="BJ158" s="1189"/>
      <c r="BK158" s="1189"/>
      <c r="BM158" s="1296"/>
      <c r="BN158" s="1295" t="s">
        <v>1067</v>
      </c>
      <c r="BO158" s="1113" t="s">
        <v>1064</v>
      </c>
      <c r="BP158" s="1114">
        <v>62</v>
      </c>
      <c r="BQ158" s="1114">
        <v>40</v>
      </c>
      <c r="BR158" s="1114">
        <v>37</v>
      </c>
      <c r="BS158" s="1114">
        <v>35</v>
      </c>
      <c r="BT158" s="1114">
        <v>47</v>
      </c>
      <c r="BU158" s="1114">
        <v>42</v>
      </c>
      <c r="BV158" s="1114">
        <v>43</v>
      </c>
      <c r="BW158" s="1114">
        <v>38</v>
      </c>
      <c r="BX158" s="1114">
        <v>31</v>
      </c>
      <c r="BY158" s="1114">
        <v>36</v>
      </c>
      <c r="BZ158" s="1114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0"/>
      <c r="AL159" s="1190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9"/>
      <c r="BJ159" s="1189"/>
      <c r="BK159" s="1189"/>
      <c r="BM159" s="1296"/>
      <c r="BN159" s="1296"/>
      <c r="BO159" s="1113" t="s">
        <v>1065</v>
      </c>
      <c r="BP159" s="460"/>
      <c r="CA159" s="1114">
        <v>38</v>
      </c>
      <c r="CB159" s="1114">
        <v>39</v>
      </c>
      <c r="CC159" s="1114">
        <v>39</v>
      </c>
      <c r="CD159" s="1114">
        <v>39</v>
      </c>
      <c r="CE159" s="1114">
        <v>39</v>
      </c>
      <c r="CF159" s="1114">
        <v>39</v>
      </c>
      <c r="CG159" s="1114">
        <v>39</v>
      </c>
      <c r="CH159" s="1114">
        <v>39</v>
      </c>
      <c r="CI159" s="1114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0"/>
      <c r="AL160" s="1190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9"/>
      <c r="BJ160" s="1189"/>
      <c r="BK160" s="1189"/>
      <c r="BM160" s="1295" t="s">
        <v>907</v>
      </c>
      <c r="BN160" s="1295" t="s">
        <v>42</v>
      </c>
      <c r="BO160" s="1113" t="s">
        <v>1064</v>
      </c>
      <c r="BP160" s="1114">
        <v>12</v>
      </c>
      <c r="BQ160" s="1114">
        <v>56</v>
      </c>
      <c r="BR160" s="1114">
        <v>76</v>
      </c>
      <c r="BS160" s="1114">
        <v>7</v>
      </c>
      <c r="BT160" s="1114">
        <v>37</v>
      </c>
      <c r="BU160" s="1114">
        <v>12</v>
      </c>
      <c r="BV160" s="1114">
        <v>15</v>
      </c>
      <c r="BW160" s="1114">
        <v>29</v>
      </c>
      <c r="BX160" s="1114">
        <v>13</v>
      </c>
      <c r="BY160" s="1114">
        <v>30</v>
      </c>
      <c r="BZ160" s="1114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0"/>
      <c r="AL161" s="1190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9"/>
      <c r="BJ161" s="1189"/>
      <c r="BK161" s="1189"/>
      <c r="BM161" s="1296"/>
      <c r="BN161" s="1296"/>
      <c r="BO161" s="1113" t="s">
        <v>1065</v>
      </c>
      <c r="BP161" s="460"/>
      <c r="CA161" s="1114">
        <v>52</v>
      </c>
      <c r="CB161" s="1114">
        <v>40</v>
      </c>
      <c r="CC161" s="1199">
        <v>100</v>
      </c>
      <c r="CD161" s="1199">
        <v>100</v>
      </c>
      <c r="CE161" s="1199">
        <v>100</v>
      </c>
      <c r="CF161" s="1199">
        <v>300</v>
      </c>
      <c r="CG161" s="1199">
        <v>300</v>
      </c>
      <c r="CH161" s="1199">
        <v>300</v>
      </c>
      <c r="CI161" s="1199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0"/>
      <c r="AL162" s="1190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9"/>
      <c r="BJ162" s="1189"/>
      <c r="BK162" s="1189"/>
      <c r="BM162" s="1296"/>
      <c r="BN162" s="1295" t="s">
        <v>1066</v>
      </c>
      <c r="BO162" s="1113" t="s">
        <v>1064</v>
      </c>
      <c r="BP162" s="1114">
        <v>31</v>
      </c>
      <c r="BQ162" s="1114">
        <v>49</v>
      </c>
      <c r="BR162" s="1114">
        <v>18</v>
      </c>
      <c r="BS162" s="1114">
        <v>22</v>
      </c>
      <c r="BT162" s="1114">
        <v>54</v>
      </c>
      <c r="BU162" s="1114">
        <v>140</v>
      </c>
      <c r="BV162" s="1114">
        <v>294</v>
      </c>
      <c r="BW162" s="1114">
        <v>307</v>
      </c>
      <c r="BX162" s="1114">
        <v>375</v>
      </c>
      <c r="BY162" s="1114">
        <v>278</v>
      </c>
      <c r="BZ162" s="1114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0"/>
      <c r="AL163" s="1190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9"/>
      <c r="BJ163" s="1189"/>
      <c r="BK163" s="1189"/>
      <c r="BM163" s="1296"/>
      <c r="BN163" s="1296"/>
      <c r="BO163" s="1113" t="s">
        <v>1065</v>
      </c>
      <c r="BP163" s="460"/>
      <c r="CA163" s="1114">
        <v>384</v>
      </c>
      <c r="CB163" s="1114">
        <v>385</v>
      </c>
      <c r="CC163" s="1114">
        <v>385</v>
      </c>
      <c r="CD163" s="1114">
        <v>385</v>
      </c>
      <c r="CE163" s="1199">
        <v>500</v>
      </c>
      <c r="CF163" s="1199">
        <v>500</v>
      </c>
      <c r="CG163" s="1199">
        <v>500</v>
      </c>
      <c r="CH163" s="1199">
        <v>500</v>
      </c>
      <c r="CI163" s="1199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0"/>
      <c r="AL164" s="1190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9"/>
      <c r="BJ164" s="1189"/>
      <c r="BK164" s="1189"/>
      <c r="BM164" s="1296"/>
      <c r="BN164" s="1295" t="s">
        <v>1067</v>
      </c>
      <c r="BO164" s="1113" t="s">
        <v>1064</v>
      </c>
      <c r="BP164" s="1114">
        <v>210</v>
      </c>
      <c r="BQ164" s="1114">
        <v>132</v>
      </c>
      <c r="BR164" s="1114">
        <v>120</v>
      </c>
      <c r="BS164" s="1114">
        <v>103</v>
      </c>
      <c r="BT164" s="1114">
        <v>121</v>
      </c>
      <c r="BU164" s="1114">
        <v>126</v>
      </c>
      <c r="BV164" s="1114">
        <v>166</v>
      </c>
      <c r="BW164" s="1114">
        <v>175</v>
      </c>
      <c r="BX164" s="1114">
        <v>164</v>
      </c>
      <c r="BY164" s="1114">
        <v>201</v>
      </c>
      <c r="BZ164" s="1114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0"/>
      <c r="AL165" s="1190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9"/>
      <c r="BJ165" s="1189"/>
      <c r="BK165" s="1189"/>
      <c r="BM165" s="1296"/>
      <c r="BN165" s="1296"/>
      <c r="BO165" s="1113" t="s">
        <v>1065</v>
      </c>
      <c r="BP165" s="460"/>
      <c r="CA165" s="1114">
        <v>189</v>
      </c>
      <c r="CB165" s="1114">
        <v>186</v>
      </c>
      <c r="CC165" s="1114">
        <v>186</v>
      </c>
      <c r="CD165" s="1114">
        <v>186</v>
      </c>
      <c r="CE165" s="1114">
        <v>186</v>
      </c>
      <c r="CF165" s="1114">
        <v>186</v>
      </c>
      <c r="CG165" s="1114">
        <v>186</v>
      </c>
      <c r="CH165" s="1114">
        <v>186</v>
      </c>
      <c r="CI165" s="1114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0"/>
      <c r="AL166" s="1190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9"/>
      <c r="BJ166" s="1189"/>
      <c r="BK166" s="1189"/>
      <c r="BM166" s="1295" t="s">
        <v>905</v>
      </c>
      <c r="BN166" s="1295" t="s">
        <v>42</v>
      </c>
      <c r="BO166" s="1113" t="s">
        <v>1064</v>
      </c>
      <c r="BP166" s="1114">
        <v>2</v>
      </c>
      <c r="BQ166" s="1114">
        <v>0</v>
      </c>
      <c r="BR166" s="1114">
        <v>0</v>
      </c>
      <c r="BS166" s="1114">
        <v>2</v>
      </c>
      <c r="BT166" s="1114">
        <v>7</v>
      </c>
      <c r="BU166" s="1114">
        <v>10</v>
      </c>
      <c r="BV166" s="1114">
        <v>11</v>
      </c>
      <c r="BW166" s="1114">
        <v>1</v>
      </c>
      <c r="BX166" s="1114">
        <v>3</v>
      </c>
      <c r="BY166" s="1114">
        <v>9</v>
      </c>
      <c r="BZ166" s="1114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0"/>
      <c r="AL167" s="1190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9"/>
      <c r="BJ167" s="1189"/>
      <c r="BK167" s="1189"/>
      <c r="BM167" s="1296"/>
      <c r="BN167" s="1296"/>
      <c r="BO167" s="1113" t="s">
        <v>1065</v>
      </c>
      <c r="BP167" s="460"/>
      <c r="CA167" s="1114">
        <v>5</v>
      </c>
      <c r="CB167" s="1114">
        <v>5</v>
      </c>
      <c r="CC167" s="1114">
        <v>5</v>
      </c>
      <c r="CD167" s="1114">
        <v>5</v>
      </c>
      <c r="CE167" s="1114">
        <v>5</v>
      </c>
      <c r="CF167" s="1114">
        <v>5</v>
      </c>
      <c r="CG167" s="1114">
        <v>5</v>
      </c>
      <c r="CH167" s="1114">
        <v>5</v>
      </c>
      <c r="CI167" s="1114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0"/>
      <c r="AL168" s="1190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9"/>
      <c r="BJ168" s="1189"/>
      <c r="BK168" s="1189"/>
      <c r="BM168" s="1296"/>
      <c r="BN168" s="1295" t="s">
        <v>1066</v>
      </c>
      <c r="BO168" s="1113" t="s">
        <v>1064</v>
      </c>
      <c r="BP168" s="1114">
        <v>6</v>
      </c>
      <c r="BQ168" s="1114">
        <v>36</v>
      </c>
      <c r="BR168" s="1114">
        <v>4</v>
      </c>
      <c r="BS168" s="1114">
        <v>16</v>
      </c>
      <c r="BT168" s="1114">
        <v>17</v>
      </c>
      <c r="BU168" s="1114">
        <v>8</v>
      </c>
      <c r="BV168" s="1114">
        <v>21</v>
      </c>
      <c r="BW168" s="1114">
        <v>15</v>
      </c>
      <c r="BX168" s="1114">
        <v>82</v>
      </c>
      <c r="BY168" s="1114">
        <v>33</v>
      </c>
      <c r="BZ168" s="1114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0"/>
      <c r="AL169" s="1190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9"/>
      <c r="BJ169" s="1189"/>
      <c r="BK169" s="1189"/>
      <c r="BM169" s="1296"/>
      <c r="BN169" s="1296"/>
      <c r="BO169" s="1113" t="s">
        <v>1065</v>
      </c>
      <c r="BP169" s="460"/>
      <c r="CA169" s="1114">
        <v>40</v>
      </c>
      <c r="CB169" s="1114">
        <v>47</v>
      </c>
      <c r="CC169" s="1114">
        <v>47</v>
      </c>
      <c r="CD169" s="1114">
        <v>47</v>
      </c>
      <c r="CE169" s="1114">
        <v>47</v>
      </c>
      <c r="CF169" s="1114">
        <v>47</v>
      </c>
      <c r="CG169" s="1114">
        <v>47</v>
      </c>
      <c r="CH169" s="1114">
        <v>47</v>
      </c>
      <c r="CI169" s="1114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0"/>
      <c r="AL170" s="1190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9"/>
      <c r="BJ170" s="1189"/>
      <c r="BK170" s="1189"/>
      <c r="BM170" s="1296"/>
      <c r="BN170" s="1295" t="s">
        <v>1067</v>
      </c>
      <c r="BO170" s="1113" t="s">
        <v>1064</v>
      </c>
      <c r="BP170" s="1114">
        <v>42</v>
      </c>
      <c r="BQ170" s="1114">
        <v>41</v>
      </c>
      <c r="BR170" s="1114">
        <v>31</v>
      </c>
      <c r="BS170" s="1114">
        <v>36</v>
      </c>
      <c r="BT170" s="1114">
        <v>26</v>
      </c>
      <c r="BU170" s="1114">
        <v>42</v>
      </c>
      <c r="BV170" s="1114">
        <v>43</v>
      </c>
      <c r="BW170" s="1114">
        <v>50</v>
      </c>
      <c r="BX170" s="1114">
        <v>46</v>
      </c>
      <c r="BY170" s="1114">
        <v>59</v>
      </c>
      <c r="BZ170" s="1114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0"/>
      <c r="AL171" s="1190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9"/>
      <c r="BJ171" s="1189"/>
      <c r="BK171" s="1189"/>
      <c r="BM171" s="1296"/>
      <c r="BN171" s="1296"/>
      <c r="BO171" s="1113" t="s">
        <v>1065</v>
      </c>
      <c r="BP171" s="460"/>
      <c r="CA171" s="1114">
        <v>67</v>
      </c>
      <c r="CB171" s="1114">
        <v>63</v>
      </c>
      <c r="CC171" s="1114">
        <v>63</v>
      </c>
      <c r="CD171" s="1114">
        <v>63</v>
      </c>
      <c r="CE171" s="1114">
        <v>63</v>
      </c>
      <c r="CF171" s="1114">
        <v>63</v>
      </c>
      <c r="CG171" s="1114">
        <v>63</v>
      </c>
      <c r="CH171" s="1114">
        <v>63</v>
      </c>
      <c r="CI171" s="1114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0"/>
      <c r="AL172" s="1190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9"/>
      <c r="BJ172" s="1189"/>
      <c r="BK172" s="1189"/>
      <c r="BM172" s="1295" t="s">
        <v>906</v>
      </c>
      <c r="BN172" s="1295" t="s">
        <v>42</v>
      </c>
      <c r="BO172" s="1113" t="s">
        <v>1064</v>
      </c>
      <c r="BP172" s="1114">
        <v>9</v>
      </c>
      <c r="BQ172" s="1114">
        <v>9</v>
      </c>
      <c r="BR172" s="1114">
        <v>2</v>
      </c>
      <c r="BS172" s="1114">
        <v>20</v>
      </c>
      <c r="BT172" s="1114">
        <v>5</v>
      </c>
      <c r="BU172" s="1114">
        <v>12</v>
      </c>
      <c r="BV172" s="1114">
        <v>7</v>
      </c>
      <c r="BW172" s="1114">
        <v>36</v>
      </c>
      <c r="BX172" s="1114">
        <v>91</v>
      </c>
      <c r="BY172" s="1114">
        <v>26</v>
      </c>
      <c r="BZ172" s="1114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0"/>
      <c r="AL173" s="1190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9"/>
      <c r="BJ173" s="1189"/>
      <c r="BK173" s="1189"/>
      <c r="BM173" s="1296"/>
      <c r="BN173" s="1296"/>
      <c r="BO173" s="1113" t="s">
        <v>1065</v>
      </c>
      <c r="BP173" s="460"/>
      <c r="CA173" s="1114">
        <v>60</v>
      </c>
      <c r="CB173" s="1114">
        <v>56</v>
      </c>
      <c r="CC173" s="1114">
        <v>56</v>
      </c>
      <c r="CD173" s="1114">
        <v>56</v>
      </c>
      <c r="CE173" s="1114">
        <v>56</v>
      </c>
      <c r="CF173" s="1114">
        <v>56</v>
      </c>
      <c r="CG173" s="1114">
        <v>56</v>
      </c>
      <c r="CH173" s="1114">
        <v>56</v>
      </c>
      <c r="CI173" s="1114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0"/>
      <c r="AL174" s="1190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9"/>
      <c r="BJ174" s="1189"/>
      <c r="BK174" s="1189"/>
      <c r="BM174" s="1296"/>
      <c r="BN174" s="1295" t="s">
        <v>1066</v>
      </c>
      <c r="BO174" s="1113" t="s">
        <v>1064</v>
      </c>
      <c r="BP174" s="1114">
        <v>44</v>
      </c>
      <c r="BQ174" s="1114">
        <v>93</v>
      </c>
      <c r="BR174" s="1114">
        <v>127</v>
      </c>
      <c r="BS174" s="1114">
        <v>49</v>
      </c>
      <c r="BT174" s="1114">
        <v>91</v>
      </c>
      <c r="BU174" s="1114">
        <v>119</v>
      </c>
      <c r="BV174" s="1114">
        <v>265</v>
      </c>
      <c r="BW174" s="1114">
        <v>424</v>
      </c>
      <c r="BX174" s="1114">
        <v>450</v>
      </c>
      <c r="BY174" s="1114">
        <v>479</v>
      </c>
      <c r="BZ174" s="1114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0"/>
      <c r="AL175" s="1190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9"/>
      <c r="BJ175" s="1189"/>
      <c r="BK175" s="1189"/>
      <c r="BM175" s="1296"/>
      <c r="BN175" s="1296"/>
      <c r="BO175" s="1113" t="s">
        <v>1065</v>
      </c>
      <c r="BP175" s="460"/>
      <c r="CA175" s="1114">
        <v>555</v>
      </c>
      <c r="CB175" s="1114">
        <v>536</v>
      </c>
      <c r="CC175" s="1114">
        <v>536</v>
      </c>
      <c r="CD175" s="1114">
        <v>536</v>
      </c>
      <c r="CE175" s="1114">
        <v>536</v>
      </c>
      <c r="CF175" s="1114">
        <v>536</v>
      </c>
      <c r="CG175" s="1114">
        <v>536</v>
      </c>
      <c r="CH175" s="1114">
        <v>536</v>
      </c>
      <c r="CI175" s="1114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0"/>
      <c r="AL176" s="1190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9"/>
      <c r="BJ176" s="1189"/>
      <c r="BK176" s="1189"/>
      <c r="BM176" s="1296"/>
      <c r="BN176" s="1295" t="s">
        <v>1067</v>
      </c>
      <c r="BO176" s="1113" t="s">
        <v>1064</v>
      </c>
      <c r="BP176" s="1114">
        <v>116</v>
      </c>
      <c r="BQ176" s="1114">
        <v>89</v>
      </c>
      <c r="BR176" s="1114">
        <v>76</v>
      </c>
      <c r="BS176" s="1114">
        <v>77</v>
      </c>
      <c r="BT176" s="1114">
        <v>75</v>
      </c>
      <c r="BU176" s="1114">
        <v>69</v>
      </c>
      <c r="BV176" s="1114">
        <v>99</v>
      </c>
      <c r="BW176" s="1114">
        <v>137</v>
      </c>
      <c r="BX176" s="1114">
        <v>127</v>
      </c>
      <c r="BY176" s="1114">
        <v>114</v>
      </c>
      <c r="BZ176" s="1114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0"/>
      <c r="AL177" s="1190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9"/>
      <c r="BJ177" s="1189"/>
      <c r="BK177" s="1189"/>
      <c r="BM177" s="1296"/>
      <c r="BN177" s="1296"/>
      <c r="BO177" s="1113" t="s">
        <v>1065</v>
      </c>
      <c r="BP177" s="460"/>
      <c r="CA177" s="1114">
        <v>121</v>
      </c>
      <c r="CB177" s="1114">
        <v>124</v>
      </c>
      <c r="CC177" s="1114">
        <v>124</v>
      </c>
      <c r="CD177" s="1114">
        <v>124</v>
      </c>
      <c r="CE177" s="1114">
        <v>124</v>
      </c>
      <c r="CF177" s="1114">
        <v>124</v>
      </c>
      <c r="CG177" s="1114">
        <v>124</v>
      </c>
      <c r="CH177" s="1114">
        <v>124</v>
      </c>
      <c r="CI177" s="1114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0"/>
      <c r="AL178" s="1190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9"/>
      <c r="BJ178" s="1189"/>
      <c r="BK178" s="1189"/>
      <c r="BM178" s="1295" t="s">
        <v>912</v>
      </c>
      <c r="BN178" s="1295" t="s">
        <v>42</v>
      </c>
      <c r="BO178" s="1113" t="s">
        <v>1064</v>
      </c>
      <c r="BP178" s="1114">
        <v>14</v>
      </c>
      <c r="BQ178" s="1114">
        <v>1</v>
      </c>
      <c r="BR178" s="1114">
        <v>6</v>
      </c>
      <c r="BS178" s="1114">
        <v>4</v>
      </c>
      <c r="BT178" s="1114">
        <v>10</v>
      </c>
      <c r="BU178" s="1114">
        <v>0</v>
      </c>
      <c r="BV178" s="1114">
        <v>15</v>
      </c>
      <c r="BW178" s="1114">
        <v>3</v>
      </c>
      <c r="BX178" s="1114">
        <v>9</v>
      </c>
      <c r="BY178" s="1114">
        <v>16</v>
      </c>
      <c r="BZ178" s="1114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0"/>
      <c r="AL179" s="1190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9"/>
      <c r="BJ179" s="1189"/>
      <c r="BK179" s="1189"/>
      <c r="BM179" s="1296"/>
      <c r="BN179" s="1296"/>
      <c r="BO179" s="1113" t="s">
        <v>1065</v>
      </c>
      <c r="BP179" s="460"/>
      <c r="CA179" s="1114">
        <v>40</v>
      </c>
      <c r="CB179" s="1114">
        <v>36</v>
      </c>
      <c r="CC179" s="1114">
        <v>36</v>
      </c>
      <c r="CD179" s="1114">
        <v>36</v>
      </c>
      <c r="CE179" s="1114">
        <v>36</v>
      </c>
      <c r="CF179" s="1114">
        <v>36</v>
      </c>
      <c r="CG179" s="1114">
        <v>36</v>
      </c>
      <c r="CH179" s="1114">
        <v>36</v>
      </c>
      <c r="CI179" s="1114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0"/>
      <c r="AL180" s="1190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9"/>
      <c r="BJ180" s="1189"/>
      <c r="BK180" s="1189"/>
      <c r="BM180" s="1296"/>
      <c r="BN180" s="1295" t="s">
        <v>1066</v>
      </c>
      <c r="BO180" s="1113" t="s">
        <v>1064</v>
      </c>
      <c r="BP180" s="1114">
        <v>65</v>
      </c>
      <c r="BQ180" s="1114">
        <v>12</v>
      </c>
      <c r="BR180" s="1114">
        <v>43</v>
      </c>
      <c r="BS180" s="1114">
        <v>5</v>
      </c>
      <c r="BT180" s="1114">
        <v>18</v>
      </c>
      <c r="BU180" s="1114">
        <v>36</v>
      </c>
      <c r="BV180" s="1114">
        <v>34</v>
      </c>
      <c r="BW180" s="1114">
        <v>75</v>
      </c>
      <c r="BX180" s="1114">
        <v>174</v>
      </c>
      <c r="BY180" s="1114">
        <v>158</v>
      </c>
      <c r="BZ180" s="1114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0"/>
      <c r="AL181" s="1190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9"/>
      <c r="BJ181" s="1189"/>
      <c r="BK181" s="1189"/>
      <c r="BM181" s="1296"/>
      <c r="BN181" s="1296"/>
      <c r="BO181" s="1113" t="s">
        <v>1065</v>
      </c>
      <c r="BP181" s="460"/>
      <c r="CA181" s="1114">
        <v>160</v>
      </c>
      <c r="CB181" s="1114">
        <v>148</v>
      </c>
      <c r="CC181" s="1114">
        <v>148</v>
      </c>
      <c r="CD181" s="1114">
        <v>148</v>
      </c>
      <c r="CE181" s="1114">
        <v>148</v>
      </c>
      <c r="CF181" s="1114">
        <v>148</v>
      </c>
      <c r="CG181" s="1114">
        <v>148</v>
      </c>
      <c r="CH181" s="1114">
        <v>148</v>
      </c>
      <c r="CI181" s="1114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0"/>
      <c r="AL182" s="1190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9"/>
      <c r="BJ182" s="1189"/>
      <c r="BK182" s="1189"/>
      <c r="BM182" s="1296"/>
      <c r="BN182" s="1295" t="s">
        <v>1067</v>
      </c>
      <c r="BO182" s="1113" t="s">
        <v>1064</v>
      </c>
      <c r="BP182" s="1114">
        <v>259</v>
      </c>
      <c r="BQ182" s="1114">
        <v>183</v>
      </c>
      <c r="BR182" s="1114">
        <v>165</v>
      </c>
      <c r="BS182" s="1114">
        <v>172</v>
      </c>
      <c r="BT182" s="1114">
        <v>168</v>
      </c>
      <c r="BU182" s="1114">
        <v>213</v>
      </c>
      <c r="BV182" s="1114">
        <v>191</v>
      </c>
      <c r="BW182" s="1114">
        <v>237</v>
      </c>
      <c r="BX182" s="1114">
        <v>256</v>
      </c>
      <c r="BY182" s="1114">
        <v>243</v>
      </c>
      <c r="BZ182" s="1114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0"/>
      <c r="AL183" s="1190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9"/>
      <c r="BJ183" s="1189"/>
      <c r="BK183" s="1189"/>
      <c r="BM183" s="1296"/>
      <c r="BN183" s="1296"/>
      <c r="BO183" s="1113" t="s">
        <v>1065</v>
      </c>
      <c r="BP183" s="460"/>
      <c r="CA183" s="1114">
        <v>206</v>
      </c>
      <c r="CB183" s="1114">
        <v>225</v>
      </c>
      <c r="CC183" s="1114">
        <v>225</v>
      </c>
      <c r="CD183" s="1114">
        <v>225</v>
      </c>
      <c r="CE183" s="1114">
        <v>225</v>
      </c>
      <c r="CF183" s="1114">
        <v>225</v>
      </c>
      <c r="CG183" s="1114">
        <v>225</v>
      </c>
      <c r="CH183" s="1114">
        <v>225</v>
      </c>
      <c r="CI183" s="1114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0"/>
      <c r="AL184" s="1190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9"/>
      <c r="BJ184" s="1189"/>
      <c r="BK184" s="1189"/>
      <c r="BM184" s="1295" t="s">
        <v>910</v>
      </c>
      <c r="BN184" s="1295" t="s">
        <v>42</v>
      </c>
      <c r="BO184" s="1113" t="s">
        <v>1064</v>
      </c>
      <c r="BP184" s="1114">
        <v>8</v>
      </c>
      <c r="BQ184" s="1114">
        <v>4</v>
      </c>
      <c r="BR184" s="1114">
        <v>5</v>
      </c>
      <c r="BS184" s="1114">
        <v>4</v>
      </c>
      <c r="BT184" s="1114">
        <v>9</v>
      </c>
      <c r="BU184" s="1114">
        <v>33</v>
      </c>
      <c r="BV184" s="1114">
        <v>17</v>
      </c>
      <c r="BW184" s="1114">
        <v>23</v>
      </c>
      <c r="BX184" s="1114">
        <v>44</v>
      </c>
      <c r="BY184" s="1114">
        <v>51</v>
      </c>
      <c r="BZ184" s="1114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0"/>
      <c r="AL185" s="1190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9"/>
      <c r="BJ185" s="1189"/>
      <c r="BK185" s="1189"/>
      <c r="BM185" s="1296"/>
      <c r="BN185" s="1296"/>
      <c r="BO185" s="1113" t="s">
        <v>1065</v>
      </c>
      <c r="BP185" s="460"/>
      <c r="CA185" s="1114">
        <v>50</v>
      </c>
      <c r="CB185" s="1114">
        <v>51</v>
      </c>
      <c r="CC185" s="1199">
        <v>100</v>
      </c>
      <c r="CD185" s="1199">
        <v>150</v>
      </c>
      <c r="CE185" s="1199">
        <v>200</v>
      </c>
      <c r="CF185" s="1199">
        <v>300</v>
      </c>
      <c r="CG185" s="1199">
        <v>300</v>
      </c>
      <c r="CH185" s="1199">
        <v>300</v>
      </c>
      <c r="CI185" s="1199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0"/>
      <c r="AL186" s="1190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9"/>
      <c r="BJ186" s="1189"/>
      <c r="BK186" s="1189"/>
      <c r="BM186" s="1296"/>
      <c r="BN186" s="1295" t="s">
        <v>1066</v>
      </c>
      <c r="BO186" s="1113" t="s">
        <v>1064</v>
      </c>
      <c r="BP186" s="1114">
        <v>51</v>
      </c>
      <c r="BQ186" s="1114">
        <v>33</v>
      </c>
      <c r="BR186" s="1114">
        <v>40</v>
      </c>
      <c r="BS186" s="1114">
        <v>76</v>
      </c>
      <c r="BT186" s="1114">
        <v>146</v>
      </c>
      <c r="BU186" s="1114">
        <v>372</v>
      </c>
      <c r="BV186" s="1114">
        <v>823</v>
      </c>
      <c r="BW186" s="1114">
        <v>1221</v>
      </c>
      <c r="BX186" s="1114">
        <v>1316</v>
      </c>
      <c r="BY186" s="1114">
        <v>1134</v>
      </c>
      <c r="BZ186" s="1114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0"/>
      <c r="AL187" s="1190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9"/>
      <c r="BJ187" s="1189"/>
      <c r="BK187" s="1189"/>
      <c r="BM187" s="1296"/>
      <c r="BN187" s="1296"/>
      <c r="BO187" s="1113" t="s">
        <v>1065</v>
      </c>
      <c r="BP187" s="460"/>
      <c r="CA187" s="1114">
        <v>961</v>
      </c>
      <c r="CB187" s="1114">
        <v>1008</v>
      </c>
      <c r="CC187" s="1114">
        <v>1008</v>
      </c>
      <c r="CD187" s="1114">
        <v>1008</v>
      </c>
      <c r="CE187" s="1114">
        <v>1008</v>
      </c>
      <c r="CF187" s="1114">
        <v>1008</v>
      </c>
      <c r="CG187" s="1114">
        <v>1008</v>
      </c>
      <c r="CH187" s="1114">
        <v>1008</v>
      </c>
      <c r="CI187" s="1114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0"/>
      <c r="AL188" s="1190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9"/>
      <c r="BJ188" s="1189"/>
      <c r="BK188" s="1189"/>
      <c r="BM188" s="1296"/>
      <c r="BN188" s="1295" t="s">
        <v>1067</v>
      </c>
      <c r="BO188" s="1113" t="s">
        <v>1064</v>
      </c>
      <c r="BP188" s="1114">
        <v>219</v>
      </c>
      <c r="BQ188" s="1114">
        <v>156</v>
      </c>
      <c r="BR188" s="1114">
        <v>115</v>
      </c>
      <c r="BS188" s="1114">
        <v>144</v>
      </c>
      <c r="BT188" s="1114">
        <v>170</v>
      </c>
      <c r="BU188" s="1114">
        <v>210</v>
      </c>
      <c r="BV188" s="1114">
        <v>250</v>
      </c>
      <c r="BW188" s="1114">
        <v>268</v>
      </c>
      <c r="BX188" s="1114">
        <v>273</v>
      </c>
      <c r="BY188" s="1114">
        <v>325</v>
      </c>
      <c r="BZ188" s="1114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0"/>
      <c r="AL189" s="1190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9"/>
      <c r="BJ189" s="1189"/>
      <c r="BK189" s="1189"/>
      <c r="BM189" s="1296"/>
      <c r="BN189" s="1296"/>
      <c r="BO189" s="1113" t="s">
        <v>1065</v>
      </c>
      <c r="BP189" s="460"/>
      <c r="CA189" s="1114">
        <v>292</v>
      </c>
      <c r="CB189" s="1114">
        <v>300</v>
      </c>
      <c r="CC189" s="1114">
        <v>300</v>
      </c>
      <c r="CD189" s="1114">
        <v>300</v>
      </c>
      <c r="CE189" s="1114">
        <v>300</v>
      </c>
      <c r="CF189" s="1114">
        <v>300</v>
      </c>
      <c r="CG189" s="1114">
        <v>300</v>
      </c>
      <c r="CH189" s="1114">
        <v>300</v>
      </c>
      <c r="CI189" s="1114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0"/>
      <c r="AL190" s="1190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9"/>
      <c r="BJ190" s="1189"/>
      <c r="BK190" s="1189"/>
      <c r="BM190" s="1295" t="s">
        <v>911</v>
      </c>
      <c r="BN190" s="1295" t="s">
        <v>42</v>
      </c>
      <c r="BO190" s="1113" t="s">
        <v>1064</v>
      </c>
      <c r="BP190" s="1114">
        <v>4</v>
      </c>
      <c r="BQ190" s="1114">
        <v>1</v>
      </c>
      <c r="BR190" s="1114">
        <v>0</v>
      </c>
      <c r="BS190" s="1114">
        <v>2</v>
      </c>
      <c r="BT190" s="1114">
        <v>0</v>
      </c>
      <c r="BU190" s="1114">
        <v>8</v>
      </c>
      <c r="BV190" s="1114">
        <v>8</v>
      </c>
      <c r="BW190" s="1114">
        <v>4</v>
      </c>
      <c r="BX190" s="1114">
        <v>12</v>
      </c>
      <c r="BY190" s="1114">
        <v>16</v>
      </c>
      <c r="BZ190" s="1114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0"/>
      <c r="AL191" s="1190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9"/>
      <c r="BJ191" s="1189"/>
      <c r="BK191" s="1189"/>
      <c r="BM191" s="1296"/>
      <c r="BN191" s="1296"/>
      <c r="BO191" s="1113" t="s">
        <v>1065</v>
      </c>
      <c r="BP191" s="460"/>
      <c r="CA191" s="1114">
        <v>12</v>
      </c>
      <c r="CB191" s="1114">
        <v>15</v>
      </c>
      <c r="CC191" s="1114">
        <v>15</v>
      </c>
      <c r="CD191" s="1114">
        <v>15</v>
      </c>
      <c r="CE191" s="1114">
        <v>15</v>
      </c>
      <c r="CF191" s="1114">
        <v>15</v>
      </c>
      <c r="CG191" s="1114">
        <v>15</v>
      </c>
      <c r="CH191" s="1114">
        <v>15</v>
      </c>
      <c r="CI191" s="1114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0"/>
      <c r="AL192" s="1190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9"/>
      <c r="BJ192" s="1189"/>
      <c r="BK192" s="1189"/>
      <c r="BM192" s="1296"/>
      <c r="BN192" s="1295" t="s">
        <v>1066</v>
      </c>
      <c r="BO192" s="1113" t="s">
        <v>1064</v>
      </c>
      <c r="BP192" s="1114">
        <v>9</v>
      </c>
      <c r="BQ192" s="1114">
        <v>22</v>
      </c>
      <c r="BR192" s="1114">
        <v>12</v>
      </c>
      <c r="BS192" s="1114">
        <v>7</v>
      </c>
      <c r="BT192" s="1114">
        <v>30</v>
      </c>
      <c r="BU192" s="1114">
        <v>9</v>
      </c>
      <c r="BV192" s="1114">
        <v>46</v>
      </c>
      <c r="BW192" s="1114">
        <v>14</v>
      </c>
      <c r="BX192" s="1114">
        <v>129</v>
      </c>
      <c r="BY192" s="1114">
        <v>69</v>
      </c>
      <c r="BZ192" s="1114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0"/>
      <c r="AL193" s="1190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9"/>
      <c r="BJ193" s="1189"/>
      <c r="BK193" s="1189"/>
      <c r="BM193" s="1296"/>
      <c r="BN193" s="1296"/>
      <c r="BO193" s="1113" t="s">
        <v>1065</v>
      </c>
      <c r="BP193" s="460"/>
      <c r="CA193" s="1114">
        <v>96</v>
      </c>
      <c r="CB193" s="1114">
        <v>76</v>
      </c>
      <c r="CC193" s="1114">
        <v>76</v>
      </c>
      <c r="CD193" s="1114">
        <v>76</v>
      </c>
      <c r="CE193" s="1114">
        <v>76</v>
      </c>
      <c r="CF193" s="1114">
        <v>76</v>
      </c>
      <c r="CG193" s="1114">
        <v>76</v>
      </c>
      <c r="CH193" s="1114">
        <v>76</v>
      </c>
      <c r="CI193" s="1114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0"/>
      <c r="AL194" s="1190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9"/>
      <c r="BJ194" s="1189"/>
      <c r="BK194" s="1189"/>
      <c r="BM194" s="1296"/>
      <c r="BN194" s="1295" t="s">
        <v>1067</v>
      </c>
      <c r="BO194" s="1113" t="s">
        <v>1064</v>
      </c>
      <c r="BP194" s="1114">
        <v>99</v>
      </c>
      <c r="BQ194" s="1114">
        <v>79</v>
      </c>
      <c r="BR194" s="1114">
        <v>73</v>
      </c>
      <c r="BS194" s="1114">
        <v>63</v>
      </c>
      <c r="BT194" s="1114">
        <v>89</v>
      </c>
      <c r="BU194" s="1114">
        <v>70</v>
      </c>
      <c r="BV194" s="1114">
        <v>94</v>
      </c>
      <c r="BW194" s="1114">
        <v>111</v>
      </c>
      <c r="BX194" s="1114">
        <v>140</v>
      </c>
      <c r="BY194" s="1114">
        <v>127</v>
      </c>
      <c r="BZ194" s="1114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0"/>
      <c r="AL195" s="1190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9"/>
      <c r="BJ195" s="1189"/>
      <c r="BK195" s="1189"/>
      <c r="BM195" s="1296"/>
      <c r="BN195" s="1296"/>
      <c r="BO195" s="1113" t="s">
        <v>1065</v>
      </c>
      <c r="BP195" s="460"/>
      <c r="CA195" s="1114">
        <v>109</v>
      </c>
      <c r="CB195" s="1114">
        <v>122</v>
      </c>
      <c r="CC195" s="1114">
        <v>122</v>
      </c>
      <c r="CD195" s="1114">
        <v>122</v>
      </c>
      <c r="CE195" s="1114">
        <v>122</v>
      </c>
      <c r="CF195" s="1114">
        <v>122</v>
      </c>
      <c r="CG195" s="1114">
        <v>122</v>
      </c>
      <c r="CH195" s="1114">
        <v>122</v>
      </c>
      <c r="CI195" s="1114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0"/>
      <c r="AL196" s="1190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9"/>
      <c r="BJ196" s="1189"/>
      <c r="BK196" s="1189"/>
      <c r="BM196" s="1295" t="s">
        <v>913</v>
      </c>
      <c r="BN196" s="1295" t="s">
        <v>42</v>
      </c>
      <c r="BO196" s="1113" t="s">
        <v>1064</v>
      </c>
      <c r="BP196" s="1114">
        <v>4</v>
      </c>
      <c r="BQ196" s="1114">
        <v>3</v>
      </c>
      <c r="BR196" s="1114">
        <v>1</v>
      </c>
      <c r="BS196" s="1114">
        <v>1</v>
      </c>
      <c r="BT196" s="1114">
        <v>6</v>
      </c>
      <c r="BU196" s="1114">
        <v>5</v>
      </c>
      <c r="BV196" s="1114">
        <v>1</v>
      </c>
      <c r="BW196" s="1114">
        <v>11</v>
      </c>
      <c r="BX196" s="1114">
        <v>11</v>
      </c>
      <c r="BY196" s="1114">
        <v>2</v>
      </c>
      <c r="BZ196" s="1114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0"/>
      <c r="AL197" s="1190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9"/>
      <c r="BJ197" s="1189"/>
      <c r="BK197" s="1189"/>
      <c r="BM197" s="1296"/>
      <c r="BN197" s="1296"/>
      <c r="BO197" s="1113" t="s">
        <v>1065</v>
      </c>
      <c r="BP197" s="460"/>
      <c r="CA197" s="1114">
        <v>25</v>
      </c>
      <c r="CB197" s="1114">
        <v>8</v>
      </c>
      <c r="CC197" s="1114">
        <v>8</v>
      </c>
      <c r="CD197" s="1114">
        <v>8</v>
      </c>
      <c r="CE197" s="1114">
        <v>8</v>
      </c>
      <c r="CF197" s="1114">
        <v>8</v>
      </c>
      <c r="CG197" s="1114">
        <v>8</v>
      </c>
      <c r="CH197" s="1114">
        <v>8</v>
      </c>
      <c r="CI197" s="1114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0"/>
      <c r="AL198" s="1190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9"/>
      <c r="BJ198" s="1189"/>
      <c r="BK198" s="1189"/>
      <c r="BM198" s="1296"/>
      <c r="BN198" s="1295" t="s">
        <v>1066</v>
      </c>
      <c r="BO198" s="1113" t="s">
        <v>1064</v>
      </c>
      <c r="BP198" s="1114">
        <v>15</v>
      </c>
      <c r="BQ198" s="1114">
        <v>4</v>
      </c>
      <c r="BR198" s="1114">
        <v>3</v>
      </c>
      <c r="BS198" s="1114">
        <v>11</v>
      </c>
      <c r="BT198" s="1114">
        <v>27</v>
      </c>
      <c r="BU198" s="1114">
        <v>13</v>
      </c>
      <c r="BV198" s="1114">
        <v>54</v>
      </c>
      <c r="BW198" s="1114">
        <v>19</v>
      </c>
      <c r="BX198" s="1114">
        <v>108</v>
      </c>
      <c r="BY198" s="1114">
        <v>72</v>
      </c>
      <c r="BZ198" s="1114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0"/>
      <c r="AL199" s="1190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9"/>
      <c r="BJ199" s="1189"/>
      <c r="BK199" s="1189"/>
      <c r="BM199" s="1296"/>
      <c r="BN199" s="1296"/>
      <c r="BO199" s="1113" t="s">
        <v>1065</v>
      </c>
      <c r="BP199" s="460"/>
      <c r="CA199" s="1199">
        <v>200</v>
      </c>
      <c r="CB199" s="1199">
        <v>200</v>
      </c>
      <c r="CC199" s="1199">
        <v>200</v>
      </c>
      <c r="CD199" s="1199">
        <v>200</v>
      </c>
      <c r="CE199" s="1199">
        <v>200</v>
      </c>
      <c r="CF199" s="1199">
        <v>200</v>
      </c>
      <c r="CG199" s="1199">
        <v>200</v>
      </c>
      <c r="CH199" s="1199">
        <v>200</v>
      </c>
      <c r="CI199" s="1199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0"/>
      <c r="AL200" s="1190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9"/>
      <c r="BJ200" s="1189"/>
      <c r="BK200" s="1189"/>
      <c r="BM200" s="1296"/>
      <c r="BN200" s="1295" t="s">
        <v>1067</v>
      </c>
      <c r="BO200" s="1113" t="s">
        <v>1064</v>
      </c>
      <c r="BP200" s="1114">
        <v>98</v>
      </c>
      <c r="BQ200" s="1114">
        <v>75</v>
      </c>
      <c r="BR200" s="1114">
        <v>51</v>
      </c>
      <c r="BS200" s="1114">
        <v>55</v>
      </c>
      <c r="BT200" s="1114">
        <v>79</v>
      </c>
      <c r="BU200" s="1114">
        <v>67</v>
      </c>
      <c r="BV200" s="1114">
        <v>79</v>
      </c>
      <c r="BW200" s="1114">
        <v>77</v>
      </c>
      <c r="BX200" s="1114">
        <v>111</v>
      </c>
      <c r="BY200" s="1114">
        <v>123</v>
      </c>
      <c r="BZ200" s="1114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0"/>
      <c r="AL201" s="1190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9"/>
      <c r="BJ201" s="1189"/>
      <c r="BK201" s="1189"/>
      <c r="BM201" s="1296"/>
      <c r="BN201" s="1296"/>
      <c r="BO201" s="1113" t="s">
        <v>1065</v>
      </c>
      <c r="BP201" s="460"/>
      <c r="CA201" s="1114">
        <v>104</v>
      </c>
      <c r="CB201" s="1114">
        <v>108</v>
      </c>
      <c r="CC201" s="1114">
        <v>108</v>
      </c>
      <c r="CD201" s="1114">
        <v>108</v>
      </c>
      <c r="CE201" s="1114">
        <v>108</v>
      </c>
      <c r="CF201" s="1114">
        <v>108</v>
      </c>
      <c r="CG201" s="1114">
        <v>108</v>
      </c>
      <c r="CH201" s="1114">
        <v>108</v>
      </c>
      <c r="CI201" s="1114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0"/>
      <c r="AL202" s="1190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9"/>
      <c r="BJ202" s="1189"/>
      <c r="BK202" s="1189"/>
      <c r="BM202" s="1295" t="s">
        <v>914</v>
      </c>
      <c r="BN202" s="1295" t="s">
        <v>42</v>
      </c>
      <c r="BO202" s="1113" t="s">
        <v>1064</v>
      </c>
      <c r="BP202" s="1114">
        <v>2</v>
      </c>
      <c r="BQ202" s="1114">
        <v>1</v>
      </c>
      <c r="BR202" s="1114">
        <v>1</v>
      </c>
      <c r="BS202" s="1114">
        <v>0</v>
      </c>
      <c r="BT202" s="1114">
        <v>10</v>
      </c>
      <c r="BU202" s="1114">
        <v>4</v>
      </c>
      <c r="BV202" s="1114">
        <v>4</v>
      </c>
      <c r="BW202" s="1114">
        <v>13</v>
      </c>
      <c r="BX202" s="1114">
        <v>9</v>
      </c>
      <c r="BY202" s="1114">
        <v>5</v>
      </c>
      <c r="BZ202" s="1114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0"/>
      <c r="AL203" s="1190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9"/>
      <c r="BJ203" s="1189"/>
      <c r="BK203" s="1189"/>
      <c r="BM203" s="1296"/>
      <c r="BN203" s="1296"/>
      <c r="BO203" s="1113" t="s">
        <v>1065</v>
      </c>
      <c r="BP203" s="460"/>
      <c r="CA203" s="1114">
        <v>10</v>
      </c>
      <c r="CB203" s="1114">
        <v>11</v>
      </c>
      <c r="CC203" s="1114">
        <v>12</v>
      </c>
      <c r="CD203" s="1114">
        <v>13</v>
      </c>
      <c r="CE203" s="1114">
        <v>13</v>
      </c>
      <c r="CF203" s="1114">
        <v>14</v>
      </c>
      <c r="CG203" s="1114">
        <v>15</v>
      </c>
      <c r="CH203" s="1114">
        <v>15</v>
      </c>
      <c r="CI203" s="1114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0"/>
      <c r="AL204" s="1190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9"/>
      <c r="BJ204" s="1189"/>
      <c r="BK204" s="1189"/>
      <c r="BM204" s="1296"/>
      <c r="BN204" s="1295" t="s">
        <v>1066</v>
      </c>
      <c r="BO204" s="1113" t="s">
        <v>1064</v>
      </c>
      <c r="BP204" s="1114">
        <v>31</v>
      </c>
      <c r="BQ204" s="1114">
        <v>4</v>
      </c>
      <c r="BR204" s="1114">
        <v>8</v>
      </c>
      <c r="BS204" s="1114">
        <v>4</v>
      </c>
      <c r="BT204" s="1114">
        <v>1</v>
      </c>
      <c r="BU204" s="1114">
        <v>19</v>
      </c>
      <c r="BV204" s="1114">
        <v>26</v>
      </c>
      <c r="BW204" s="1114">
        <v>44</v>
      </c>
      <c r="BX204" s="1114">
        <v>26</v>
      </c>
      <c r="BY204" s="1114">
        <v>47</v>
      </c>
      <c r="BZ204" s="1114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0"/>
      <c r="AL205" s="1190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9"/>
      <c r="BJ205" s="1189"/>
      <c r="BK205" s="1189"/>
      <c r="BM205" s="1296"/>
      <c r="BN205" s="1296"/>
      <c r="BO205" s="1113" t="s">
        <v>1065</v>
      </c>
      <c r="BP205" s="460"/>
      <c r="CA205" s="1114">
        <v>84</v>
      </c>
      <c r="CB205" s="1114">
        <v>82</v>
      </c>
      <c r="CC205" s="1114">
        <v>82</v>
      </c>
      <c r="CD205" s="1114">
        <v>82</v>
      </c>
      <c r="CE205" s="1114">
        <v>82</v>
      </c>
      <c r="CF205" s="1114">
        <v>82</v>
      </c>
      <c r="CG205" s="1114">
        <v>82</v>
      </c>
      <c r="CH205" s="1114">
        <v>82</v>
      </c>
      <c r="CI205" s="1114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0"/>
      <c r="AL206" s="1190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9"/>
      <c r="BJ206" s="1189"/>
      <c r="BK206" s="1189"/>
      <c r="BM206" s="1296"/>
      <c r="BN206" s="1295" t="s">
        <v>1067</v>
      </c>
      <c r="BO206" s="1113" t="s">
        <v>1064</v>
      </c>
      <c r="BP206" s="1114">
        <v>116</v>
      </c>
      <c r="BQ206" s="1114">
        <v>71</v>
      </c>
      <c r="BR206" s="1114">
        <v>71</v>
      </c>
      <c r="BS206" s="1114">
        <v>63</v>
      </c>
      <c r="BT206" s="1114">
        <v>59</v>
      </c>
      <c r="BU206" s="1114">
        <v>62</v>
      </c>
      <c r="BV206" s="1114">
        <v>74</v>
      </c>
      <c r="BW206" s="1114">
        <v>90</v>
      </c>
      <c r="BX206" s="1114">
        <v>126</v>
      </c>
      <c r="BY206" s="1114">
        <v>118</v>
      </c>
      <c r="BZ206" s="1114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0"/>
      <c r="AL207" s="1190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9"/>
      <c r="BJ207" s="1189"/>
      <c r="BK207" s="1189"/>
      <c r="BM207" s="1296"/>
      <c r="BN207" s="1296"/>
      <c r="BO207" s="1113" t="s">
        <v>1065</v>
      </c>
      <c r="BP207" s="460"/>
      <c r="CA207" s="1114">
        <v>99</v>
      </c>
      <c r="CB207" s="1114">
        <v>101</v>
      </c>
      <c r="CC207" s="1114">
        <v>101</v>
      </c>
      <c r="CD207" s="1114">
        <v>101</v>
      </c>
      <c r="CE207" s="1114">
        <v>101</v>
      </c>
      <c r="CF207" s="1114">
        <v>101</v>
      </c>
      <c r="CG207" s="1114">
        <v>101</v>
      </c>
      <c r="CH207" s="1114">
        <v>101</v>
      </c>
      <c r="CI207" s="1114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0"/>
      <c r="AL208" s="1190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9"/>
      <c r="BJ208" s="1189"/>
      <c r="BK208" s="1189"/>
      <c r="BM208" s="1295" t="s">
        <v>916</v>
      </c>
      <c r="BN208" s="1295" t="s">
        <v>42</v>
      </c>
      <c r="BO208" s="1113" t="s">
        <v>1064</v>
      </c>
      <c r="BP208" s="1114">
        <v>10</v>
      </c>
      <c r="BQ208" s="1114">
        <v>32</v>
      </c>
      <c r="BR208" s="1114">
        <v>6</v>
      </c>
      <c r="BS208" s="1114">
        <v>1</v>
      </c>
      <c r="BT208" s="1114">
        <v>5</v>
      </c>
      <c r="BU208" s="1114">
        <v>12</v>
      </c>
      <c r="BV208" s="1114">
        <v>3</v>
      </c>
      <c r="BW208" s="1114">
        <v>16</v>
      </c>
      <c r="BX208" s="1114">
        <v>21</v>
      </c>
      <c r="BY208" s="1114">
        <v>56</v>
      </c>
      <c r="BZ208" s="1114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0"/>
      <c r="AL209" s="1190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9"/>
      <c r="BJ209" s="1189"/>
      <c r="BK209" s="1189"/>
      <c r="BM209" s="1296"/>
      <c r="BN209" s="1296"/>
      <c r="BO209" s="1113" t="s">
        <v>1065</v>
      </c>
      <c r="BP209" s="460"/>
      <c r="CA209" s="1114">
        <v>11</v>
      </c>
      <c r="CB209" s="1114">
        <v>13</v>
      </c>
      <c r="CC209" s="1199">
        <v>50</v>
      </c>
      <c r="CD209" s="1199">
        <v>50</v>
      </c>
      <c r="CE209" s="1199">
        <v>50</v>
      </c>
      <c r="CF209" s="1199">
        <v>50</v>
      </c>
      <c r="CG209" s="1199">
        <v>50</v>
      </c>
      <c r="CH209" s="1199">
        <v>50</v>
      </c>
      <c r="CI209" s="1199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0"/>
      <c r="AL210" s="1190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9"/>
      <c r="BJ210" s="1189"/>
      <c r="BK210" s="1189"/>
      <c r="BM210" s="1296"/>
      <c r="BN210" s="1295" t="s">
        <v>1066</v>
      </c>
      <c r="BO210" s="1113" t="s">
        <v>1064</v>
      </c>
      <c r="BP210" s="1114">
        <v>22</v>
      </c>
      <c r="BQ210" s="1114">
        <v>52</v>
      </c>
      <c r="BR210" s="1114">
        <v>2</v>
      </c>
      <c r="BS210" s="1114">
        <v>0</v>
      </c>
      <c r="BT210" s="1114">
        <v>11</v>
      </c>
      <c r="BU210" s="1114">
        <v>6</v>
      </c>
      <c r="BV210" s="1114">
        <v>36</v>
      </c>
      <c r="BW210" s="1114">
        <v>60</v>
      </c>
      <c r="BX210" s="1114">
        <v>13</v>
      </c>
      <c r="BY210" s="1114">
        <v>42</v>
      </c>
      <c r="BZ210" s="1114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0"/>
      <c r="AL211" s="1190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9"/>
      <c r="BJ211" s="1189"/>
      <c r="BK211" s="1189"/>
      <c r="BM211" s="1296"/>
      <c r="BN211" s="1296"/>
      <c r="BO211" s="1113" t="s">
        <v>1065</v>
      </c>
      <c r="BP211" s="460"/>
      <c r="CA211" s="1114">
        <v>69</v>
      </c>
      <c r="CB211" s="1114">
        <v>69</v>
      </c>
      <c r="CC211" s="1114">
        <v>69</v>
      </c>
      <c r="CD211" s="1114">
        <v>69</v>
      </c>
      <c r="CE211" s="1114">
        <v>69</v>
      </c>
      <c r="CF211" s="1114">
        <v>69</v>
      </c>
      <c r="CG211" s="1114">
        <v>69</v>
      </c>
      <c r="CH211" s="1114">
        <v>69</v>
      </c>
      <c r="CI211" s="1114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0"/>
      <c r="AL212" s="1190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9"/>
      <c r="BJ212" s="1189"/>
      <c r="BK212" s="1189"/>
      <c r="BM212" s="1296"/>
      <c r="BN212" s="1295" t="s">
        <v>1067</v>
      </c>
      <c r="BO212" s="1113" t="s">
        <v>1064</v>
      </c>
      <c r="BP212" s="1114">
        <v>113</v>
      </c>
      <c r="BQ212" s="1114">
        <v>85</v>
      </c>
      <c r="BR212" s="1114">
        <v>82</v>
      </c>
      <c r="BS212" s="1114">
        <v>59</v>
      </c>
      <c r="BT212" s="1114">
        <v>58</v>
      </c>
      <c r="BU212" s="1114">
        <v>67</v>
      </c>
      <c r="BV212" s="1114">
        <v>87</v>
      </c>
      <c r="BW212" s="1114">
        <v>96</v>
      </c>
      <c r="BX212" s="1114">
        <v>84</v>
      </c>
      <c r="BY212" s="1114">
        <v>80</v>
      </c>
      <c r="BZ212" s="1114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0"/>
      <c r="AL213" s="1190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9"/>
      <c r="BJ213" s="1189"/>
      <c r="BK213" s="1189"/>
      <c r="BM213" s="1296"/>
      <c r="BN213" s="1296"/>
      <c r="BO213" s="1113" t="s">
        <v>1065</v>
      </c>
      <c r="BP213" s="460"/>
      <c r="CA213" s="1114">
        <v>73</v>
      </c>
      <c r="CB213" s="1114">
        <v>74</v>
      </c>
      <c r="CC213" s="1114">
        <v>74</v>
      </c>
      <c r="CD213" s="1114">
        <v>74</v>
      </c>
      <c r="CE213" s="1114">
        <v>74</v>
      </c>
      <c r="CF213" s="1114">
        <v>74</v>
      </c>
      <c r="CG213" s="1114">
        <v>74</v>
      </c>
      <c r="CH213" s="1114">
        <v>74</v>
      </c>
      <c r="CI213" s="1114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0"/>
      <c r="AL214" s="1190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9"/>
      <c r="BJ214" s="1189"/>
      <c r="BK214" s="1189"/>
      <c r="BM214" s="1295" t="s">
        <v>917</v>
      </c>
      <c r="BN214" s="1295" t="s">
        <v>42</v>
      </c>
      <c r="BO214" s="1113" t="s">
        <v>1064</v>
      </c>
      <c r="BP214" s="1114">
        <v>12</v>
      </c>
      <c r="BQ214" s="1114">
        <v>0</v>
      </c>
      <c r="BR214" s="1114">
        <v>4</v>
      </c>
      <c r="BS214" s="1114">
        <v>6</v>
      </c>
      <c r="BT214" s="1114">
        <v>12</v>
      </c>
      <c r="BU214" s="1114">
        <v>14</v>
      </c>
      <c r="BV214" s="1114">
        <v>13</v>
      </c>
      <c r="BW214" s="1114">
        <v>11</v>
      </c>
      <c r="BX214" s="1114">
        <v>44</v>
      </c>
      <c r="BY214" s="1114">
        <v>21</v>
      </c>
      <c r="BZ214" s="1114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0"/>
      <c r="AL215" s="1190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9"/>
      <c r="BJ215" s="1189"/>
      <c r="BK215" s="1189"/>
      <c r="BM215" s="1296"/>
      <c r="BN215" s="1296"/>
      <c r="BO215" s="1113" t="s">
        <v>1065</v>
      </c>
      <c r="BP215" s="460"/>
      <c r="CA215" s="1114">
        <v>38</v>
      </c>
      <c r="CB215" s="1114">
        <v>28</v>
      </c>
      <c r="CC215" s="1114">
        <v>28</v>
      </c>
      <c r="CD215" s="1114">
        <v>28</v>
      </c>
      <c r="CE215" s="1114">
        <v>28</v>
      </c>
      <c r="CF215" s="1114">
        <v>28</v>
      </c>
      <c r="CG215" s="1114">
        <v>28</v>
      </c>
      <c r="CH215" s="1114">
        <v>28</v>
      </c>
      <c r="CI215" s="1114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0"/>
      <c r="AL216" s="1190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9"/>
      <c r="BJ216" s="1189"/>
      <c r="BK216" s="1189"/>
      <c r="BM216" s="1296"/>
      <c r="BN216" s="1295" t="s">
        <v>1066</v>
      </c>
      <c r="BO216" s="1113" t="s">
        <v>1064</v>
      </c>
      <c r="BP216" s="1114">
        <v>82</v>
      </c>
      <c r="BQ216" s="1114">
        <v>22</v>
      </c>
      <c r="BR216" s="1114">
        <v>12</v>
      </c>
      <c r="BS216" s="1114">
        <v>6</v>
      </c>
      <c r="BT216" s="1114">
        <v>20</v>
      </c>
      <c r="BU216" s="1114">
        <v>17</v>
      </c>
      <c r="BV216" s="1114">
        <v>23</v>
      </c>
      <c r="BW216" s="1114">
        <v>21</v>
      </c>
      <c r="BX216" s="1114">
        <v>73</v>
      </c>
      <c r="BY216" s="1114">
        <v>94</v>
      </c>
      <c r="BZ216" s="1114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0"/>
      <c r="AL217" s="1190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9"/>
      <c r="BJ217" s="1189"/>
      <c r="BK217" s="1189"/>
      <c r="BM217" s="1296"/>
      <c r="BN217" s="1296"/>
      <c r="BO217" s="1113" t="s">
        <v>1065</v>
      </c>
      <c r="BP217" s="460"/>
      <c r="CA217" s="1114">
        <v>116</v>
      </c>
      <c r="CB217" s="1114">
        <v>121</v>
      </c>
      <c r="CC217" s="1114">
        <v>121</v>
      </c>
      <c r="CD217" s="1114">
        <v>121</v>
      </c>
      <c r="CE217" s="1114">
        <v>121</v>
      </c>
      <c r="CF217" s="1114">
        <v>121</v>
      </c>
      <c r="CG217" s="1114">
        <v>121</v>
      </c>
      <c r="CH217" s="1114">
        <v>121</v>
      </c>
      <c r="CI217" s="1114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0"/>
      <c r="AL218" s="1190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9"/>
      <c r="BJ218" s="1189"/>
      <c r="BK218" s="1189"/>
      <c r="BM218" s="1296"/>
      <c r="BN218" s="1295" t="s">
        <v>1067</v>
      </c>
      <c r="BO218" s="1113" t="s">
        <v>1064</v>
      </c>
      <c r="BP218" s="1114">
        <v>204</v>
      </c>
      <c r="BQ218" s="1114">
        <v>146</v>
      </c>
      <c r="BR218" s="1114">
        <v>118</v>
      </c>
      <c r="BS218" s="1114">
        <v>121</v>
      </c>
      <c r="BT218" s="1114">
        <v>139</v>
      </c>
      <c r="BU218" s="1114">
        <v>131</v>
      </c>
      <c r="BV218" s="1114">
        <v>146</v>
      </c>
      <c r="BW218" s="1114">
        <v>169</v>
      </c>
      <c r="BX218" s="1114">
        <v>206</v>
      </c>
      <c r="BY218" s="1114">
        <v>185</v>
      </c>
      <c r="BZ218" s="1114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0"/>
      <c r="AL219" s="1190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9"/>
      <c r="BJ219" s="1189"/>
      <c r="BK219" s="1189"/>
      <c r="BM219" s="1296"/>
      <c r="BN219" s="1296"/>
      <c r="BO219" s="1113" t="s">
        <v>1065</v>
      </c>
      <c r="BP219" s="460"/>
      <c r="CA219" s="1114">
        <v>180</v>
      </c>
      <c r="CB219" s="1114">
        <v>181</v>
      </c>
      <c r="CC219" s="1114">
        <v>181</v>
      </c>
      <c r="CD219" s="1114">
        <v>181</v>
      </c>
      <c r="CE219" s="1114">
        <v>181</v>
      </c>
      <c r="CF219" s="1114">
        <v>181</v>
      </c>
      <c r="CG219" s="1114">
        <v>181</v>
      </c>
      <c r="CH219" s="1114">
        <v>181</v>
      </c>
      <c r="CI219" s="1114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0"/>
      <c r="AL220" s="1190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9"/>
      <c r="BJ220" s="1189"/>
      <c r="BK220" s="1189"/>
      <c r="BM220" s="1295" t="s">
        <v>918</v>
      </c>
      <c r="BN220" s="1295" t="s">
        <v>42</v>
      </c>
      <c r="BO220" s="1113" t="s">
        <v>1064</v>
      </c>
      <c r="BP220" s="1114">
        <v>3</v>
      </c>
      <c r="BQ220" s="1114">
        <v>7</v>
      </c>
      <c r="BR220" s="1114">
        <v>1</v>
      </c>
      <c r="BS220" s="1114">
        <v>3</v>
      </c>
      <c r="BT220" s="1114">
        <v>70</v>
      </c>
      <c r="BU220" s="1114">
        <v>8</v>
      </c>
      <c r="BV220" s="1114">
        <v>25</v>
      </c>
      <c r="BW220" s="1114">
        <v>39</v>
      </c>
      <c r="BX220" s="1114">
        <v>19</v>
      </c>
      <c r="BY220" s="1114">
        <v>43</v>
      </c>
      <c r="BZ220" s="1114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0"/>
      <c r="AL221" s="1190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9"/>
      <c r="BJ221" s="1189"/>
      <c r="BK221" s="1189"/>
      <c r="BM221" s="1296"/>
      <c r="BN221" s="1296"/>
      <c r="BO221" s="1113" t="s">
        <v>1065</v>
      </c>
      <c r="BP221" s="460"/>
      <c r="CA221" s="1114">
        <v>58</v>
      </c>
      <c r="CB221" s="1114">
        <v>34</v>
      </c>
      <c r="CC221" s="1114">
        <v>34</v>
      </c>
      <c r="CD221" s="1114">
        <v>34</v>
      </c>
      <c r="CE221" s="1114">
        <v>34</v>
      </c>
      <c r="CF221" s="1114">
        <v>34</v>
      </c>
      <c r="CG221" s="1114">
        <v>34</v>
      </c>
      <c r="CH221" s="1114">
        <v>34</v>
      </c>
      <c r="CI221" s="1114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0"/>
      <c r="AL222" s="1190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9"/>
      <c r="BJ222" s="1189"/>
      <c r="BK222" s="1189"/>
      <c r="BM222" s="1296"/>
      <c r="BN222" s="1295" t="s">
        <v>1066</v>
      </c>
      <c r="BO222" s="1113" t="s">
        <v>1064</v>
      </c>
      <c r="BP222" s="1114">
        <v>71</v>
      </c>
      <c r="BQ222" s="1114">
        <v>19</v>
      </c>
      <c r="BR222" s="1114">
        <v>24</v>
      </c>
      <c r="BS222" s="1114">
        <v>16</v>
      </c>
      <c r="BT222" s="1114">
        <v>46</v>
      </c>
      <c r="BU222" s="1114">
        <v>145</v>
      </c>
      <c r="BV222" s="1114">
        <v>150</v>
      </c>
      <c r="BW222" s="1114">
        <v>272</v>
      </c>
      <c r="BX222" s="1114">
        <v>296</v>
      </c>
      <c r="BY222" s="1114">
        <v>295</v>
      </c>
      <c r="BZ222" s="1114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0"/>
      <c r="AL223" s="1190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9"/>
      <c r="BJ223" s="1189"/>
      <c r="BK223" s="1189"/>
      <c r="BM223" s="1296"/>
      <c r="BN223" s="1296"/>
      <c r="BO223" s="1113" t="s">
        <v>1065</v>
      </c>
      <c r="BP223" s="460"/>
      <c r="CA223" s="1114">
        <v>393</v>
      </c>
      <c r="CB223" s="1114">
        <v>392</v>
      </c>
      <c r="CC223" s="1114">
        <v>392</v>
      </c>
      <c r="CD223" s="1114">
        <v>392</v>
      </c>
      <c r="CE223" s="1114">
        <v>392</v>
      </c>
      <c r="CF223" s="1114">
        <v>392</v>
      </c>
      <c r="CG223" s="1114">
        <v>392</v>
      </c>
      <c r="CH223" s="1114">
        <v>392</v>
      </c>
      <c r="CI223" s="1114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0"/>
      <c r="AL224" s="1190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9"/>
      <c r="BJ224" s="1189"/>
      <c r="BK224" s="1189"/>
      <c r="BM224" s="1296"/>
      <c r="BN224" s="1295" t="s">
        <v>1067</v>
      </c>
      <c r="BO224" s="1113" t="s">
        <v>1064</v>
      </c>
      <c r="BP224" s="1114">
        <v>116</v>
      </c>
      <c r="BQ224" s="1114">
        <v>72</v>
      </c>
      <c r="BR224" s="1114">
        <v>66</v>
      </c>
      <c r="BS224" s="1114">
        <v>62</v>
      </c>
      <c r="BT224" s="1114">
        <v>81</v>
      </c>
      <c r="BU224" s="1114">
        <v>70</v>
      </c>
      <c r="BV224" s="1114">
        <v>105</v>
      </c>
      <c r="BW224" s="1114">
        <v>115</v>
      </c>
      <c r="BX224" s="1114">
        <v>123</v>
      </c>
      <c r="BY224" s="1114">
        <v>126</v>
      </c>
      <c r="BZ224" s="1114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0"/>
      <c r="AL225" s="1190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9"/>
      <c r="BJ225" s="1189"/>
      <c r="BK225" s="1189"/>
      <c r="BM225" s="1296"/>
      <c r="BN225" s="1296"/>
      <c r="BO225" s="1113" t="s">
        <v>1065</v>
      </c>
      <c r="BP225" s="460"/>
      <c r="CA225" s="1114">
        <v>132</v>
      </c>
      <c r="CB225" s="1114">
        <v>136</v>
      </c>
      <c r="CC225" s="1114">
        <v>136</v>
      </c>
      <c r="CD225" s="1114">
        <v>136</v>
      </c>
      <c r="CE225" s="1114">
        <v>136</v>
      </c>
      <c r="CF225" s="1114">
        <v>136</v>
      </c>
      <c r="CG225" s="1114">
        <v>136</v>
      </c>
      <c r="CH225" s="1114">
        <v>136</v>
      </c>
      <c r="CI225" s="1114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0"/>
      <c r="AL226" s="1190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9"/>
      <c r="BJ226" s="1189"/>
      <c r="BK226" s="1189"/>
      <c r="BM226" s="1295" t="s">
        <v>919</v>
      </c>
      <c r="BN226" s="1295" t="s">
        <v>42</v>
      </c>
      <c r="BO226" s="1113" t="s">
        <v>1064</v>
      </c>
      <c r="BP226" s="1114">
        <v>5</v>
      </c>
      <c r="BQ226" s="1114">
        <v>1</v>
      </c>
      <c r="BR226" s="1114">
        <v>3</v>
      </c>
      <c r="BS226" s="1114">
        <v>10</v>
      </c>
      <c r="BT226" s="1114">
        <v>9</v>
      </c>
      <c r="BU226" s="1114">
        <v>5</v>
      </c>
      <c r="BV226" s="1114">
        <v>4</v>
      </c>
      <c r="BW226" s="1114">
        <v>10</v>
      </c>
      <c r="BX226" s="1114">
        <v>13</v>
      </c>
      <c r="BY226" s="1114">
        <v>15</v>
      </c>
      <c r="BZ226" s="1114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0"/>
      <c r="AL227" s="1190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9"/>
      <c r="BJ227" s="1189"/>
      <c r="BK227" s="1189"/>
      <c r="BM227" s="1296"/>
      <c r="BN227" s="1296"/>
      <c r="BO227" s="1113" t="s">
        <v>1065</v>
      </c>
      <c r="BP227" s="460"/>
      <c r="CA227" s="1114">
        <v>38</v>
      </c>
      <c r="CB227" s="1114">
        <v>19</v>
      </c>
      <c r="CC227" s="1114">
        <v>19</v>
      </c>
      <c r="CD227" s="1114">
        <v>19</v>
      </c>
      <c r="CE227" s="1114">
        <v>19</v>
      </c>
      <c r="CF227" s="1114">
        <v>19</v>
      </c>
      <c r="CG227" s="1114">
        <v>19</v>
      </c>
      <c r="CH227" s="1114">
        <v>19</v>
      </c>
      <c r="CI227" s="1114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0"/>
      <c r="AL228" s="1190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9"/>
      <c r="BJ228" s="1189"/>
      <c r="BK228" s="1189"/>
      <c r="BM228" s="1296"/>
      <c r="BN228" s="1295" t="s">
        <v>1066</v>
      </c>
      <c r="BO228" s="1113" t="s">
        <v>1064</v>
      </c>
      <c r="BP228" s="1114">
        <v>22</v>
      </c>
      <c r="BQ228" s="1114">
        <v>2</v>
      </c>
      <c r="BR228" s="1114">
        <v>2</v>
      </c>
      <c r="BS228" s="1114">
        <v>6</v>
      </c>
      <c r="BT228" s="1114">
        <v>11</v>
      </c>
      <c r="BU228" s="1114">
        <v>22</v>
      </c>
      <c r="BV228" s="1114">
        <v>29</v>
      </c>
      <c r="BW228" s="1114">
        <v>36</v>
      </c>
      <c r="BX228" s="1114">
        <v>89</v>
      </c>
      <c r="BY228" s="1114">
        <v>147</v>
      </c>
      <c r="BZ228" s="1114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0"/>
      <c r="AL229" s="1190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9"/>
      <c r="BJ229" s="1189"/>
      <c r="BK229" s="1189"/>
      <c r="BM229" s="1296"/>
      <c r="BN229" s="1296"/>
      <c r="BO229" s="1113" t="s">
        <v>1065</v>
      </c>
      <c r="BP229" s="460"/>
      <c r="CA229" s="1114">
        <v>90</v>
      </c>
      <c r="CB229" s="1114">
        <v>87</v>
      </c>
      <c r="CC229" s="1114">
        <v>87</v>
      </c>
      <c r="CD229" s="1114">
        <v>87</v>
      </c>
      <c r="CE229" s="1114">
        <v>87</v>
      </c>
      <c r="CF229" s="1114">
        <v>87</v>
      </c>
      <c r="CG229" s="1114">
        <v>87</v>
      </c>
      <c r="CH229" s="1114">
        <v>87</v>
      </c>
      <c r="CI229" s="1114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0"/>
      <c r="AL230" s="1190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9"/>
      <c r="BJ230" s="1189"/>
      <c r="BK230" s="1189"/>
      <c r="BM230" s="1296"/>
      <c r="BN230" s="1295" t="s">
        <v>1067</v>
      </c>
      <c r="BO230" s="1113" t="s">
        <v>1064</v>
      </c>
      <c r="BP230" s="1114">
        <v>95</v>
      </c>
      <c r="BQ230" s="1114">
        <v>80</v>
      </c>
      <c r="BR230" s="1114">
        <v>61</v>
      </c>
      <c r="BS230" s="1114">
        <v>68</v>
      </c>
      <c r="BT230" s="1114">
        <v>65</v>
      </c>
      <c r="BU230" s="1114">
        <v>79</v>
      </c>
      <c r="BV230" s="1114">
        <v>99</v>
      </c>
      <c r="BW230" s="1114">
        <v>126</v>
      </c>
      <c r="BX230" s="1114">
        <v>144</v>
      </c>
      <c r="BY230" s="1114">
        <v>126</v>
      </c>
      <c r="BZ230" s="1114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0"/>
      <c r="AL231" s="1190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9"/>
      <c r="BJ231" s="1189"/>
      <c r="BK231" s="1189"/>
      <c r="BM231" s="1296"/>
      <c r="BN231" s="1296"/>
      <c r="BO231" s="1113" t="s">
        <v>1065</v>
      </c>
      <c r="BP231" s="460"/>
      <c r="CA231" s="1114">
        <v>120</v>
      </c>
      <c r="CB231" s="1114">
        <v>123</v>
      </c>
      <c r="CC231" s="1114">
        <v>123</v>
      </c>
      <c r="CD231" s="1114">
        <v>123</v>
      </c>
      <c r="CE231" s="1114">
        <v>123</v>
      </c>
      <c r="CF231" s="1114">
        <v>123</v>
      </c>
      <c r="CG231" s="1114">
        <v>123</v>
      </c>
      <c r="CH231" s="1114">
        <v>123</v>
      </c>
      <c r="CI231" s="1114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0"/>
      <c r="AL232" s="1190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9"/>
      <c r="BJ232" s="1189"/>
      <c r="BK232" s="1189"/>
      <c r="BM232" s="1295" t="s">
        <v>921</v>
      </c>
      <c r="BN232" s="1295" t="s">
        <v>42</v>
      </c>
      <c r="BO232" s="1113" t="s">
        <v>1064</v>
      </c>
      <c r="BP232" s="1114">
        <v>9</v>
      </c>
      <c r="BQ232" s="1114">
        <v>3</v>
      </c>
      <c r="BR232" s="1114">
        <v>1</v>
      </c>
      <c r="BS232" s="1114">
        <v>0</v>
      </c>
      <c r="BT232" s="1114">
        <v>3</v>
      </c>
      <c r="BU232" s="1114">
        <v>1</v>
      </c>
      <c r="BV232" s="1114">
        <v>6</v>
      </c>
      <c r="BW232" s="1114">
        <v>11</v>
      </c>
      <c r="BX232" s="1114">
        <v>37</v>
      </c>
      <c r="BY232" s="1114">
        <v>32</v>
      </c>
      <c r="BZ232" s="1114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0"/>
      <c r="AL233" s="1190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9"/>
      <c r="BJ233" s="1189"/>
      <c r="BK233" s="1189"/>
      <c r="BM233" s="1296"/>
      <c r="BN233" s="1296"/>
      <c r="BO233" s="1113" t="s">
        <v>1065</v>
      </c>
      <c r="BP233" s="460"/>
      <c r="CA233" s="1114">
        <v>58</v>
      </c>
      <c r="CB233" s="1114">
        <v>84</v>
      </c>
      <c r="CC233" s="1114">
        <v>98</v>
      </c>
      <c r="CD233" s="1114">
        <v>111</v>
      </c>
      <c r="CE233" s="1114">
        <v>125</v>
      </c>
      <c r="CF233" s="1114">
        <v>138</v>
      </c>
      <c r="CG233" s="1114">
        <v>152</v>
      </c>
      <c r="CH233" s="1114">
        <v>165</v>
      </c>
      <c r="CI233" s="1114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0"/>
      <c r="AL234" s="1190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9"/>
      <c r="BJ234" s="1189"/>
      <c r="BK234" s="1189"/>
      <c r="BM234" s="1296"/>
      <c r="BN234" s="1295" t="s">
        <v>1066</v>
      </c>
      <c r="BO234" s="1113" t="s">
        <v>1064</v>
      </c>
      <c r="BP234" s="1114">
        <v>43</v>
      </c>
      <c r="BQ234" s="1114">
        <v>14</v>
      </c>
      <c r="BR234" s="1114">
        <v>17</v>
      </c>
      <c r="BS234" s="1114">
        <v>33</v>
      </c>
      <c r="BT234" s="1114">
        <v>79</v>
      </c>
      <c r="BU234" s="1114">
        <v>61</v>
      </c>
      <c r="BV234" s="1114">
        <v>123</v>
      </c>
      <c r="BW234" s="1114">
        <v>224</v>
      </c>
      <c r="BX234" s="1114">
        <v>274</v>
      </c>
      <c r="BY234" s="1114">
        <v>316</v>
      </c>
      <c r="BZ234" s="1114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0"/>
      <c r="AL235" s="1190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9"/>
      <c r="BJ235" s="1189"/>
      <c r="BK235" s="1189"/>
      <c r="BM235" s="1296"/>
      <c r="BN235" s="1296"/>
      <c r="BO235" s="1113" t="s">
        <v>1065</v>
      </c>
      <c r="BP235" s="460"/>
      <c r="CA235" s="1114">
        <v>558</v>
      </c>
      <c r="CB235" s="1114">
        <v>542</v>
      </c>
      <c r="CC235" s="1114">
        <v>542</v>
      </c>
      <c r="CD235" s="1114">
        <v>542</v>
      </c>
      <c r="CE235" s="1114">
        <v>542</v>
      </c>
      <c r="CF235" s="1114">
        <v>542</v>
      </c>
      <c r="CG235" s="1114">
        <v>542</v>
      </c>
      <c r="CH235" s="1114">
        <v>542</v>
      </c>
      <c r="CI235" s="1114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0"/>
      <c r="AL236" s="1190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9"/>
      <c r="BJ236" s="1189"/>
      <c r="BK236" s="1189"/>
      <c r="BM236" s="1296"/>
      <c r="BN236" s="1295" t="s">
        <v>1067</v>
      </c>
      <c r="BO236" s="1113" t="s">
        <v>1064</v>
      </c>
      <c r="BP236" s="1114">
        <v>242</v>
      </c>
      <c r="BQ236" s="1114">
        <v>173</v>
      </c>
      <c r="BR236" s="1114">
        <v>171</v>
      </c>
      <c r="BS236" s="1114">
        <v>162</v>
      </c>
      <c r="BT236" s="1114">
        <v>179</v>
      </c>
      <c r="BU236" s="1114">
        <v>198</v>
      </c>
      <c r="BV236" s="1114">
        <v>216</v>
      </c>
      <c r="BW236" s="1114">
        <v>255</v>
      </c>
      <c r="BX236" s="1114">
        <v>273</v>
      </c>
      <c r="BY236" s="1114">
        <v>275</v>
      </c>
      <c r="BZ236" s="1114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0"/>
      <c r="AL237" s="1190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9"/>
      <c r="BJ237" s="1189"/>
      <c r="BK237" s="1189"/>
      <c r="BM237" s="1296"/>
      <c r="BN237" s="1296"/>
      <c r="BO237" s="1113" t="s">
        <v>1065</v>
      </c>
      <c r="BP237" s="460"/>
      <c r="CA237" s="1114">
        <v>265</v>
      </c>
      <c r="CB237" s="1114">
        <v>268</v>
      </c>
      <c r="CC237" s="1114">
        <v>268</v>
      </c>
      <c r="CD237" s="1114">
        <v>268</v>
      </c>
      <c r="CE237" s="1114">
        <v>268</v>
      </c>
      <c r="CF237" s="1114">
        <v>268</v>
      </c>
      <c r="CG237" s="1114">
        <v>268</v>
      </c>
      <c r="CH237" s="1114">
        <v>268</v>
      </c>
      <c r="CI237" s="1114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0"/>
      <c r="AL238" s="1190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9"/>
      <c r="BJ238" s="1189"/>
      <c r="BK238" s="1189"/>
      <c r="BM238" s="1295" t="s">
        <v>920</v>
      </c>
      <c r="BN238" s="1295" t="s">
        <v>42</v>
      </c>
      <c r="BO238" s="1113" t="s">
        <v>1064</v>
      </c>
      <c r="BP238" s="1114">
        <v>32</v>
      </c>
      <c r="BQ238" s="1114">
        <v>21</v>
      </c>
      <c r="BR238" s="1114">
        <v>7</v>
      </c>
      <c r="BS238" s="1114">
        <v>3</v>
      </c>
      <c r="BT238" s="1114">
        <v>17</v>
      </c>
      <c r="BU238" s="1114">
        <v>9</v>
      </c>
      <c r="BV238" s="1114">
        <v>22</v>
      </c>
      <c r="BW238" s="1114">
        <v>19</v>
      </c>
      <c r="BX238" s="1114">
        <v>146</v>
      </c>
      <c r="BY238" s="1114">
        <v>134</v>
      </c>
      <c r="BZ238" s="1114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0"/>
      <c r="AL239" s="1190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9"/>
      <c r="BJ239" s="1189"/>
      <c r="BK239" s="1189"/>
      <c r="BM239" s="1296"/>
      <c r="BN239" s="1296"/>
      <c r="BO239" s="1113" t="s">
        <v>1065</v>
      </c>
      <c r="BP239" s="460"/>
      <c r="CA239" s="1114">
        <v>88</v>
      </c>
      <c r="CB239" s="1114">
        <v>110</v>
      </c>
      <c r="CC239" s="1114">
        <v>110</v>
      </c>
      <c r="CD239" s="1114">
        <v>110</v>
      </c>
      <c r="CE239" s="1114">
        <v>110</v>
      </c>
      <c r="CF239" s="1114">
        <v>110</v>
      </c>
      <c r="CG239" s="1114">
        <v>110</v>
      </c>
      <c r="CH239" s="1114">
        <v>110</v>
      </c>
      <c r="CI239" s="1114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0"/>
      <c r="AL240" s="1190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9"/>
      <c r="BJ240" s="1189"/>
      <c r="BK240" s="1189"/>
      <c r="BM240" s="1296"/>
      <c r="BN240" s="1295" t="s">
        <v>1066</v>
      </c>
      <c r="BO240" s="1113" t="s">
        <v>1064</v>
      </c>
      <c r="BP240" s="1114">
        <v>53</v>
      </c>
      <c r="BQ240" s="1114">
        <v>43</v>
      </c>
      <c r="BR240" s="1114">
        <v>48</v>
      </c>
      <c r="BS240" s="1114">
        <v>65</v>
      </c>
      <c r="BT240" s="1114">
        <v>171</v>
      </c>
      <c r="BU240" s="1114">
        <v>239</v>
      </c>
      <c r="BV240" s="1114">
        <v>323</v>
      </c>
      <c r="BW240" s="1114">
        <v>444</v>
      </c>
      <c r="BX240" s="1114">
        <v>818</v>
      </c>
      <c r="BY240" s="1114">
        <v>784</v>
      </c>
      <c r="BZ240" s="1114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0"/>
      <c r="AL241" s="1190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9"/>
      <c r="BJ241" s="1189"/>
      <c r="BK241" s="1189"/>
      <c r="BM241" s="1296"/>
      <c r="BN241" s="1296"/>
      <c r="BO241" s="1113" t="s">
        <v>1065</v>
      </c>
      <c r="BP241" s="460"/>
      <c r="CA241" s="1114">
        <v>814</v>
      </c>
      <c r="CB241" s="1114">
        <v>765</v>
      </c>
      <c r="CC241" s="1114">
        <v>765</v>
      </c>
      <c r="CD241" s="1114">
        <v>765</v>
      </c>
      <c r="CE241" s="1114">
        <v>765</v>
      </c>
      <c r="CF241" s="1114">
        <v>765</v>
      </c>
      <c r="CG241" s="1114">
        <v>765</v>
      </c>
      <c r="CH241" s="1114">
        <v>765</v>
      </c>
      <c r="CI241" s="1114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0"/>
      <c r="AL242" s="1190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9"/>
      <c r="BJ242" s="1189"/>
      <c r="BK242" s="1189"/>
      <c r="BM242" s="1296"/>
      <c r="BN242" s="1295" t="s">
        <v>1067</v>
      </c>
      <c r="BO242" s="1113" t="s">
        <v>1064</v>
      </c>
      <c r="BP242" s="1114">
        <v>133</v>
      </c>
      <c r="BQ242" s="1114">
        <v>85</v>
      </c>
      <c r="BR242" s="1114">
        <v>83</v>
      </c>
      <c r="BS242" s="1114">
        <v>87</v>
      </c>
      <c r="BT242" s="1114">
        <v>105</v>
      </c>
      <c r="BU242" s="1114">
        <v>107</v>
      </c>
      <c r="BV242" s="1114">
        <v>133</v>
      </c>
      <c r="BW242" s="1114">
        <v>124</v>
      </c>
      <c r="BX242" s="1114">
        <v>151</v>
      </c>
      <c r="BY242" s="1114">
        <v>125</v>
      </c>
      <c r="BZ242" s="1114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0"/>
      <c r="AL243" s="1190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9"/>
      <c r="BJ243" s="1189"/>
      <c r="BK243" s="1189"/>
      <c r="BM243" s="1296"/>
      <c r="BN243" s="1296"/>
      <c r="BO243" s="1113" t="s">
        <v>1065</v>
      </c>
      <c r="BP243" s="460"/>
      <c r="CA243" s="1114">
        <v>116</v>
      </c>
      <c r="CB243" s="1114">
        <v>124</v>
      </c>
      <c r="CC243" s="1114">
        <v>124</v>
      </c>
      <c r="CD243" s="1114">
        <v>124</v>
      </c>
      <c r="CE243" s="1114">
        <v>124</v>
      </c>
      <c r="CF243" s="1114">
        <v>124</v>
      </c>
      <c r="CG243" s="1114">
        <v>124</v>
      </c>
      <c r="CH243" s="1114">
        <v>124</v>
      </c>
      <c r="CI243" s="1114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0"/>
      <c r="AL244" s="1190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9"/>
      <c r="BJ244" s="1189"/>
      <c r="BK244" s="1189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0"/>
      <c r="AL245" s="1190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9"/>
      <c r="BJ245" s="1189"/>
      <c r="BK245" s="1189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0"/>
      <c r="AL246" s="1190"/>
      <c r="AZ246" s="460"/>
      <c r="BA246" s="460"/>
      <c r="BB246" s="460"/>
      <c r="BF246" s="460"/>
      <c r="BG246" s="460"/>
      <c r="BH246" s="460"/>
      <c r="BI246" s="1189"/>
      <c r="BJ246" s="1189"/>
      <c r="BK246" s="1189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0"/>
      <c r="AL247" s="1190"/>
      <c r="AZ247" s="460"/>
      <c r="BA247" s="460"/>
      <c r="BB247" s="460"/>
      <c r="BI247" s="1189"/>
      <c r="BJ247" s="1189"/>
      <c r="BK247" s="1189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0"/>
      <c r="AL248" s="1190"/>
      <c r="AZ248" s="460"/>
      <c r="BA248" s="460"/>
      <c r="BB248" s="460"/>
      <c r="BI248" s="1189"/>
      <c r="BJ248" s="1189"/>
      <c r="BK248" s="1189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0"/>
      <c r="AL249" s="1190"/>
      <c r="AZ249" s="460"/>
      <c r="BA249" s="460"/>
      <c r="BB249" s="460"/>
      <c r="BI249" s="1189"/>
      <c r="BJ249" s="1189"/>
      <c r="BK249" s="1189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0"/>
      <c r="AL250" s="1190"/>
      <c r="AZ250" s="460"/>
      <c r="BA250" s="460"/>
      <c r="BB250" s="460"/>
      <c r="BI250" s="1189"/>
      <c r="BJ250" s="1189"/>
      <c r="BK250" s="1189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0"/>
      <c r="AL251" s="1190"/>
      <c r="AZ251" s="460"/>
      <c r="BA251" s="460"/>
      <c r="BB251" s="460"/>
      <c r="BI251" s="1189"/>
      <c r="BJ251" s="1189"/>
      <c r="BK251" s="1189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0"/>
      <c r="AL252" s="1190"/>
      <c r="AZ252" s="460"/>
      <c r="BA252" s="460"/>
      <c r="BB252" s="460"/>
      <c r="BQ252" s="32"/>
      <c r="BR252" s="32"/>
      <c r="CI252" s="460"/>
      <c r="CJ252" s="460"/>
    </row>
    <row r="253" spans="37:100">
      <c r="AK253" s="1190"/>
      <c r="AL253" s="1190"/>
      <c r="AZ253" s="460"/>
      <c r="BA253" s="460"/>
      <c r="BB253" s="460"/>
      <c r="BQ253" s="32"/>
      <c r="BR253" s="32"/>
      <c r="CI253" s="460"/>
      <c r="CJ253" s="460"/>
    </row>
    <row r="254" spans="37:100">
      <c r="AK254" s="1190"/>
      <c r="AL254" s="1190"/>
      <c r="AZ254" s="460"/>
      <c r="BA254" s="460"/>
      <c r="BB254" s="460"/>
      <c r="BQ254" s="32"/>
      <c r="BR254" s="32"/>
      <c r="CI254" s="460"/>
      <c r="CJ254" s="460"/>
    </row>
    <row r="255" spans="37:100">
      <c r="AK255" s="1190"/>
      <c r="AL255" s="1190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0"/>
      <c r="AL256" s="1190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0"/>
      <c r="AL257" s="1190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7" t="s">
        <v>409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7" t="s">
        <v>476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7" t="s">
        <v>478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2022-07-12T12:12:45Z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159786403179168</vt:r8>
  </property>
</Properties>
</file>