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1B8DD080-FFE2-4CC6-AF81-2B40AB80DFEC}" xr6:coauthVersionLast="47" xr6:coauthVersionMax="47" xr10:uidLastSave="{00000000-0000-0000-0000-000000000000}"/>
  <bookViews>
    <workbookView xWindow="-110" yWindow="-110" windowWidth="25820" windowHeight="15500" activeTab="5" xr2:uid="{00000000-000D-0000-FFFF-FFFF00000000}"/>
  </bookViews>
  <sheets>
    <sheet name="Cover" sheetId="24" r:id="rId1"/>
    <sheet name="Regions" sheetId="15" r:id="rId2"/>
    <sheet name="Overshoot" sheetId="25" r:id="rId3"/>
    <sheet name="config" sheetId="20" r:id="rId4"/>
    <sheet name="single" sheetId="21" r:id="rId5"/>
    <sheet name="multi" sheetId="22" r:id="rId6"/>
    <sheet name="negative_CO2" sheetId="23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21" l="1"/>
  <c r="N8" i="21"/>
  <c r="K8" i="21" s="1"/>
  <c r="K8" i="22" s="1"/>
  <c r="N7" i="21"/>
  <c r="K7" i="21" s="1"/>
  <c r="K9" i="21" l="1"/>
  <c r="K9" i="22" s="1"/>
  <c r="K7" i="22"/>
  <c r="I10" i="22"/>
  <c r="H10" i="22"/>
  <c r="G10" i="22"/>
  <c r="F10" i="22"/>
  <c r="D10" i="22"/>
  <c r="C10" i="22"/>
  <c r="I9" i="22"/>
  <c r="H9" i="22"/>
  <c r="G9" i="22"/>
  <c r="F9" i="22"/>
  <c r="D9" i="22"/>
  <c r="C9" i="22"/>
  <c r="I8" i="22"/>
  <c r="H8" i="22"/>
  <c r="G8" i="22"/>
  <c r="F8" i="22"/>
  <c r="D8" i="22"/>
  <c r="C8" i="22"/>
  <c r="I7" i="22"/>
  <c r="H7" i="22"/>
  <c r="G7" i="22"/>
  <c r="F7" i="22"/>
  <c r="D7" i="22"/>
  <c r="C7" i="22"/>
  <c r="K10" i="21"/>
  <c r="K10" i="22" s="1"/>
  <c r="I10" i="21"/>
  <c r="H10" i="21"/>
  <c r="G10" i="21"/>
  <c r="F10" i="21"/>
  <c r="D10" i="21"/>
  <c r="C10" i="21"/>
  <c r="I9" i="21"/>
  <c r="H9" i="21"/>
  <c r="G9" i="21"/>
  <c r="F9" i="21"/>
  <c r="D9" i="21"/>
  <c r="C9" i="21"/>
  <c r="I8" i="21"/>
  <c r="H8" i="21"/>
  <c r="G8" i="21"/>
  <c r="F8" i="21"/>
  <c r="D8" i="21"/>
  <c r="C8" i="21"/>
  <c r="I7" i="21"/>
  <c r="H7" i="21"/>
  <c r="G7" i="21"/>
  <c r="F7" i="21"/>
  <c r="D7" i="21"/>
  <c r="C7" i="21"/>
  <c r="F4" i="20"/>
  <c r="B10" i="21" s="1"/>
  <c r="F5" i="20"/>
  <c r="L10" i="21" s="1"/>
  <c r="D4" i="20"/>
  <c r="B8" i="22" s="1"/>
  <c r="E4" i="20"/>
  <c r="B9" i="22" s="1"/>
  <c r="D5" i="20"/>
  <c r="L8" i="22" s="1"/>
  <c r="E5" i="20"/>
  <c r="L9" i="21" s="1"/>
  <c r="C5" i="20"/>
  <c r="L7" i="21" s="1"/>
  <c r="C4" i="20"/>
  <c r="B7" i="21" s="1"/>
  <c r="L10" i="22" l="1"/>
  <c r="B10" i="22"/>
  <c r="B9" i="21"/>
  <c r="L9" i="22"/>
  <c r="B8" i="21"/>
  <c r="L8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<sst xmlns="http://schemas.openxmlformats.org/spreadsheetml/2006/main" count="155" uniqueCount="114">
  <si>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</si>
  <si>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</si>
  <si>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</si>
  <si>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</si>
  <si>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</si>
  <si>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</si>
  <si>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</si>
  <si>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</si>
  <si>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</si>
  <si>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</si>
  <si>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</si>
  <si>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</si>
  <si>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</si>
  <si>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</si>
  <si>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</si>
  <si>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</si>
  <si>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</si>
  <si>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</si>
  <si>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</si>
  <si>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</si>
  <si>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</si>
  <si>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</si>
  <si>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</si>
  <si>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</si>
  <si>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</si>
  <si>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</si>
  <si>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</si>
  <si>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</si>
  <si>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</si>
  <si>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</si>
  <si>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</si>
  <si>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</si>
  <si>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</si>
  <si>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</si>
  <si>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</si>
  <si>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</si>
  <si>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</si>
  <si>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</si>
  <si>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</si>
  <si>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</si>
  <si>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</si>
  <si>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</si>
  <si>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</si>
  <si>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</si>
  <si>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</si>
  <si>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</si>
  <si>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</si>
  <si>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</si>
  <si>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</si>
  <si>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</si>
  <si>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</si>
  <si>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</si>
  <si>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</si>
  <si>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</si>
  <si>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</si>
  <si>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</si>
  <si>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</si>
  <si>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</si>
  <si>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</si>
  <si>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</si>
  <si>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</si>
  <si>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</si>
  <si>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</si>
  <si>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</si>
  <si>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</si>
  <si>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</si>
  <si>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</si>
  <si>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</si>
  <si>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</si>
  <si>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</si>
  <si>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</si>
  <si>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</si>
  <si>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</si>
  <si>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</si>
  <si>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</si>
  <si>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</si>
  <si>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</si>
  <si>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</si>
  <si>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</si>
  <si>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</si>
  <si>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</si>
  <si>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</si>
  <si>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</si>
  <si>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</si>
  <si>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</si>
  <si>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</si>
  <si>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</si>
  <si>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</si>
  <si>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</si>
  <si>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</si>
  <si>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</si>
  <si>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</si>
  <si>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</si>
  <si>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</si>
  <si>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</si>
  <si>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</si>
  <si>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</si>
  <si>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</si>
  <si>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</si>
  <si>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</si>
  <si>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</si>
  <si>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</si>
  <si>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</si>
  <si>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Scenario</t>
  </si>
  <si>
    <t>2021-2025</t>
  </si>
  <si>
    <t>2026-2030</t>
  </si>
  <si>
    <t>2031-2050</t>
  </si>
  <si>
    <t>Specify a carbon budget</t>
  </si>
  <si>
    <t>Original values</t>
  </si>
  <si>
    <t>Overshoot</t>
  </si>
  <si>
    <t>Case #</t>
  </si>
  <si>
    <t>~InputCell:1-13</t>
  </si>
  <si>
    <t>Vahid Aryanpur (UCC, vahid.aryanpur@ucc.ie)</t>
  </si>
  <si>
    <t>TOTCO2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</si>
</sst>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0.000"/>
    <numFmt numFmtId="167" formatCode="0.0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166" fontId="0" fillId="0" borderId="0" xfId="0" applyNumberFormat="1"/>
    <xf numFmtId="165" fontId="0" fillId="0" borderId="0" xfId="3" applyNumberFormat="1" applyFont="1"/>
    <xf numFmtId="0" fontId="16" fillId="0" borderId="0" xfId="0" applyFont="1"/>
    <xf numFmtId="1" fontId="16" fillId="0" borderId="0" xfId="0" applyNumberFormat="1" applyFont="1"/>
    <xf numFmtId="167" fontId="0" fillId="0" borderId="0" xfId="0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/>
  </cellXfs>
  <cellStyles count="4">
    <cellStyle name="Hyperlink" xfId="1" builtinId="8"/>
    <cellStyle name="Normal" xfId="0" builtinId="0"/>
    <cellStyle name="Normal 2" xfId="2" xr:uid="{5CD6EEE1-73B2-4911-9FC2-AF042D96273E}"/>
    <cellStyle name="Percent" xfId="3" builtinId="5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25400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90625" defaultRowHeight="14.5" x14ac:dyDescent="0.35"/>
  <cols>
    <col min="1" max="4" width="21.6328125" customWidth="1"/>
    <col min="5" max="6" width="14.08984375" customWidth="1"/>
    <col min="7" max="7" width="12.08984375" customWidth="1"/>
    <col min="8" max="10" width="8.08984375" customWidth="1"/>
    <col min="11" max="11" width="9.6328125" customWidth="1"/>
    <col min="12" max="12" width="8.08984375" customWidth="1"/>
    <col min="13" max="13" width="10" customWidth="1"/>
    <col min="14" max="14" width="11.453125" customWidth="1"/>
    <col min="15" max="15" width="13.453125" customWidth="1"/>
  </cols>
  <sheetData>
    <row r="1" spans="1:26" x14ac:dyDescent="0.35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35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35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35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35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35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35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35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35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35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35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35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35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35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35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35">
      <c r="A16" s="40" t="s">
        <v>90</v>
      </c>
      <c r="B16" s="40"/>
      <c r="C16" s="40"/>
      <c r="D16" s="40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35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35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35">
      <c r="A19" s="25" t="s">
        <v>91</v>
      </c>
      <c r="B19" s="39" t="s">
        <v>103</v>
      </c>
      <c r="C19" s="39"/>
      <c r="D19" s="39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35">
      <c r="A20" s="25" t="s">
        <v>92</v>
      </c>
      <c r="B20" s="39" t="s">
        <v>102</v>
      </c>
      <c r="C20" s="39"/>
      <c r="D20" s="39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35">
      <c r="A21" s="25" t="s">
        <v>93</v>
      </c>
      <c r="B21" s="28" t="s">
        <v>107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35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35">
      <c r="A23" s="25" t="s">
        <v>94</v>
      </c>
      <c r="B23" s="39" t="s">
        <v>112</v>
      </c>
      <c r="C23" s="39"/>
      <c r="D23" s="3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35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35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35">
      <c r="A26" s="25" t="s">
        <v>95</v>
      </c>
      <c r="B26" s="39" t="s">
        <v>112</v>
      </c>
      <c r="C26" s="39"/>
      <c r="D26" s="3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35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35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35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35">
      <c r="A30" s="25" t="s">
        <v>97</v>
      </c>
      <c r="B30" s="41" t="s">
        <v>98</v>
      </c>
      <c r="C30" s="39"/>
      <c r="D30" s="39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35">
      <c r="A31" s="25" t="s">
        <v>99</v>
      </c>
      <c r="B31" s="39" t="s">
        <v>100</v>
      </c>
      <c r="C31" s="39"/>
      <c r="D31" s="39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35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35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35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35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35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35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35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35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35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35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35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3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3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3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3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3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3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3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3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3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3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3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3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3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3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3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3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3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3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3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3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3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3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3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3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3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3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3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3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3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3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3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3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3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30:D30"/>
    <mergeCell ref="B23:D23"/>
    <mergeCell ref="B26:D26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 x14ac:dyDescent="0.35"/>
  <cols>
    <col min="1" max="1" width="12.08984375" customWidth="1"/>
    <col min="2" max="2" width="11.6328125" customWidth="1"/>
    <col min="3" max="3" width="3.08984375" bestFit="1" customWidth="1"/>
    <col min="4" max="4" width="8.54296875" bestFit="1" customWidth="1"/>
    <col min="5" max="5" width="6.453125" bestFit="1" customWidth="1"/>
    <col min="6" max="6" width="4.90625" bestFit="1" customWidth="1"/>
    <col min="7" max="7" width="5.6328125" bestFit="1" customWidth="1"/>
    <col min="8" max="8" width="5.90625" bestFit="1" customWidth="1"/>
    <col min="9" max="9" width="5.453125" bestFit="1" customWidth="1"/>
    <col min="10" max="11" width="5.6328125" bestFit="1" customWidth="1"/>
    <col min="12" max="12" width="6.54296875" bestFit="1" customWidth="1"/>
    <col min="13" max="13" width="6.08984375" bestFit="1" customWidth="1"/>
    <col min="14" max="14" width="6.6328125" bestFit="1" customWidth="1"/>
    <col min="15" max="15" width="6.54296875" bestFit="1" customWidth="1"/>
    <col min="16" max="16" width="7.36328125" bestFit="1" customWidth="1"/>
    <col min="17" max="17" width="5.6328125" bestFit="1" customWidth="1"/>
    <col min="18" max="18" width="6.08984375" bestFit="1" customWidth="1"/>
    <col min="19" max="19" width="5.6328125" bestFit="1" customWidth="1"/>
    <col min="20" max="20" width="5.54296875" bestFit="1" customWidth="1"/>
    <col min="21" max="21" width="5.90625" bestFit="1" customWidth="1"/>
    <col min="22" max="22" width="6.6328125" bestFit="1" customWidth="1"/>
    <col min="23" max="23" width="4.90625" bestFit="1" customWidth="1"/>
    <col min="24" max="24" width="7.54296875" customWidth="1"/>
    <col min="25" max="25" width="6.6328125" bestFit="1" customWidth="1"/>
    <col min="26" max="26" width="6.08984375" bestFit="1" customWidth="1"/>
    <col min="27" max="28" width="6" bestFit="1" customWidth="1"/>
    <col min="29" max="29" width="5.6328125" bestFit="1" customWidth="1"/>
    <col min="30" max="30" width="6.6328125" bestFit="1" customWidth="1"/>
  </cols>
  <sheetData>
    <row r="3" spans="1:30" x14ac:dyDescent="0.3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35">
      <c r="A4">
        <v>1</v>
      </c>
    </row>
    <row r="5" spans="1:30" x14ac:dyDescent="0.3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3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3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">
      <c r="A10" s="3" t="s">
        <v>32</v>
      </c>
      <c r="B10" s="3" t="s">
        <v>33</v>
      </c>
    </row>
    <row r="11" spans="1:30" x14ac:dyDescent="0.35">
      <c r="A11" s="4" t="s">
        <v>34</v>
      </c>
      <c r="B11" s="4" t="s">
        <v>26</v>
      </c>
    </row>
    <row r="12" spans="1:30" x14ac:dyDescent="0.35">
      <c r="A12" s="5" t="s">
        <v>35</v>
      </c>
      <c r="B12" s="5" t="s">
        <v>25</v>
      </c>
    </row>
    <row r="13" spans="1:30" x14ac:dyDescent="0.35">
      <c r="A13" s="5" t="s">
        <v>36</v>
      </c>
      <c r="B13" s="5" t="s">
        <v>24</v>
      </c>
    </row>
    <row r="14" spans="1:30" x14ac:dyDescent="0.35">
      <c r="A14" s="5" t="s">
        <v>37</v>
      </c>
      <c r="B14" s="5" t="s">
        <v>23</v>
      </c>
    </row>
    <row r="15" spans="1:30" x14ac:dyDescent="0.35">
      <c r="A15" s="5" t="s">
        <v>38</v>
      </c>
      <c r="B15" s="5" t="s">
        <v>22</v>
      </c>
    </row>
    <row r="16" spans="1:30" x14ac:dyDescent="0.35">
      <c r="A16" s="5" t="s">
        <v>39</v>
      </c>
      <c r="B16" s="5" t="s">
        <v>21</v>
      </c>
    </row>
    <row r="17" spans="1:2" x14ac:dyDescent="0.35">
      <c r="A17" s="5" t="s">
        <v>40</v>
      </c>
      <c r="B17" s="5" t="s">
        <v>20</v>
      </c>
    </row>
    <row r="18" spans="1:2" x14ac:dyDescent="0.35">
      <c r="A18" s="5" t="s">
        <v>41</v>
      </c>
      <c r="B18" s="5" t="s">
        <v>19</v>
      </c>
    </row>
    <row r="19" spans="1:2" x14ac:dyDescent="0.35">
      <c r="A19" s="5" t="s">
        <v>42</v>
      </c>
      <c r="B19" s="5" t="s">
        <v>18</v>
      </c>
    </row>
    <row r="20" spans="1:2" x14ac:dyDescent="0.35">
      <c r="A20" s="5" t="s">
        <v>43</v>
      </c>
      <c r="B20" s="5" t="s">
        <v>17</v>
      </c>
    </row>
    <row r="21" spans="1:2" x14ac:dyDescent="0.35">
      <c r="A21" s="5" t="s">
        <v>44</v>
      </c>
      <c r="B21" s="5" t="s">
        <v>16</v>
      </c>
    </row>
    <row r="22" spans="1:2" x14ac:dyDescent="0.35">
      <c r="A22" s="5" t="s">
        <v>45</v>
      </c>
      <c r="B22" s="5" t="s">
        <v>15</v>
      </c>
    </row>
    <row r="23" spans="1:2" x14ac:dyDescent="0.35">
      <c r="A23" s="5" t="s">
        <v>46</v>
      </c>
      <c r="B23" s="5" t="s">
        <v>14</v>
      </c>
    </row>
    <row r="24" spans="1:2" x14ac:dyDescent="0.35">
      <c r="A24" s="5" t="s">
        <v>47</v>
      </c>
      <c r="B24" s="5" t="s">
        <v>13</v>
      </c>
    </row>
    <row r="25" spans="1:2" x14ac:dyDescent="0.35">
      <c r="A25" s="5" t="s">
        <v>48</v>
      </c>
      <c r="B25" s="5" t="s">
        <v>12</v>
      </c>
    </row>
    <row r="26" spans="1:2" x14ac:dyDescent="0.35">
      <c r="A26" s="5" t="s">
        <v>49</v>
      </c>
      <c r="B26" s="5" t="s">
        <v>11</v>
      </c>
    </row>
    <row r="27" spans="1:2" x14ac:dyDescent="0.35">
      <c r="A27" s="5" t="s">
        <v>50</v>
      </c>
      <c r="B27" s="5" t="s">
        <v>10</v>
      </c>
    </row>
    <row r="28" spans="1:2" x14ac:dyDescent="0.35">
      <c r="A28" s="5" t="s">
        <v>51</v>
      </c>
      <c r="B28" s="5" t="s">
        <v>9</v>
      </c>
    </row>
    <row r="29" spans="1:2" x14ac:dyDescent="0.35">
      <c r="A29" s="5" t="s">
        <v>52</v>
      </c>
      <c r="B29" s="5" t="s">
        <v>8</v>
      </c>
    </row>
    <row r="30" spans="1:2" x14ac:dyDescent="0.35">
      <c r="A30" s="5" t="s">
        <v>53</v>
      </c>
      <c r="B30" s="5" t="s">
        <v>7</v>
      </c>
    </row>
    <row r="31" spans="1:2" x14ac:dyDescent="0.35">
      <c r="A31" s="5" t="s">
        <v>54</v>
      </c>
      <c r="B31" s="5" t="s">
        <v>6</v>
      </c>
    </row>
    <row r="32" spans="1:2" x14ac:dyDescent="0.35">
      <c r="A32" s="5" t="s">
        <v>55</v>
      </c>
      <c r="B32" s="5" t="s">
        <v>5</v>
      </c>
    </row>
    <row r="33" spans="1:2" x14ac:dyDescent="0.35">
      <c r="A33" s="5" t="s">
        <v>56</v>
      </c>
      <c r="B33" s="5" t="s">
        <v>4</v>
      </c>
    </row>
    <row r="34" spans="1:2" x14ac:dyDescent="0.35">
      <c r="A34" s="5" t="s">
        <v>57</v>
      </c>
      <c r="B34" s="5" t="s">
        <v>3</v>
      </c>
    </row>
    <row r="35" spans="1:2" x14ac:dyDescent="0.35">
      <c r="A35" s="5" t="s">
        <v>58</v>
      </c>
      <c r="B35" s="5" t="s">
        <v>2</v>
      </c>
    </row>
    <row r="36" spans="1:2" x14ac:dyDescent="0.35">
      <c r="A36" s="5" t="s">
        <v>59</v>
      </c>
      <c r="B36" s="5" t="s">
        <v>1</v>
      </c>
    </row>
    <row r="37" spans="1:2" x14ac:dyDescent="0.3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25400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51D-CBC7-469C-AD9B-B324E874F696}">
  <dimension ref="B2:G20"/>
  <sheetViews>
    <sheetView workbookViewId="0">
      <selection activeCell="B4" sqref="B4"/>
    </sheetView>
  </sheetViews>
  <sheetFormatPr defaultRowHeight="14.5" x14ac:dyDescent="0.35"/>
  <sheetData>
    <row r="2" spans="2:7" x14ac:dyDescent="0.35">
      <c r="B2" t="s">
        <v>111</v>
      </c>
    </row>
    <row r="3" spans="2:7" x14ac:dyDescent="0.35">
      <c r="B3">
        <v>1</v>
      </c>
      <c r="F3" t="s">
        <v>110</v>
      </c>
      <c r="G3" t="s">
        <v>109</v>
      </c>
    </row>
    <row r="4" spans="2:7" x14ac:dyDescent="0.35">
      <c r="F4">
        <v>1</v>
      </c>
      <c r="G4" s="35">
        <v>0</v>
      </c>
    </row>
    <row r="5" spans="2:7" x14ac:dyDescent="0.35">
      <c r="F5">
        <v>2</v>
      </c>
      <c r="G5" s="35">
        <v>2.5000000000000001E-2</v>
      </c>
    </row>
    <row r="6" spans="2:7" x14ac:dyDescent="0.35">
      <c r="F6">
        <v>3</v>
      </c>
      <c r="G6" s="35">
        <v>0.05</v>
      </c>
    </row>
    <row r="7" spans="2:7" x14ac:dyDescent="0.35">
      <c r="F7">
        <v>4</v>
      </c>
      <c r="G7" s="35">
        <v>7.4999999999999997E-2</v>
      </c>
    </row>
    <row r="8" spans="2:7" x14ac:dyDescent="0.35">
      <c r="F8">
        <v>5</v>
      </c>
      <c r="G8" s="35">
        <v>0.1</v>
      </c>
    </row>
    <row r="9" spans="2:7" x14ac:dyDescent="0.35">
      <c r="F9">
        <v>6</v>
      </c>
      <c r="G9" s="35">
        <v>0.125</v>
      </c>
    </row>
    <row r="10" spans="2:7" x14ac:dyDescent="0.35">
      <c r="F10">
        <v>7</v>
      </c>
      <c r="G10" s="35">
        <v>0.15</v>
      </c>
    </row>
    <row r="11" spans="2:7" x14ac:dyDescent="0.35">
      <c r="F11">
        <v>8</v>
      </c>
      <c r="G11" s="35">
        <v>0.17499999999999999</v>
      </c>
    </row>
    <row r="12" spans="2:7" x14ac:dyDescent="0.35">
      <c r="F12">
        <v>9</v>
      </c>
      <c r="G12" s="35">
        <v>0.2</v>
      </c>
    </row>
    <row r="13" spans="2:7" x14ac:dyDescent="0.35">
      <c r="F13">
        <v>10</v>
      </c>
      <c r="G13" s="35">
        <v>0.22500000000000001</v>
      </c>
    </row>
    <row r="14" spans="2:7" x14ac:dyDescent="0.35">
      <c r="F14">
        <v>11</v>
      </c>
      <c r="G14" s="35">
        <v>0.25</v>
      </c>
    </row>
    <row r="15" spans="2:7" x14ac:dyDescent="0.35">
      <c r="F15">
        <v>12</v>
      </c>
      <c r="G15" s="35">
        <v>0.27500000000000002</v>
      </c>
    </row>
    <row r="16" spans="2:7" x14ac:dyDescent="0.35">
      <c r="F16">
        <v>13</v>
      </c>
      <c r="G16" s="35">
        <v>0.3</v>
      </c>
    </row>
    <row r="17" spans="7:7" x14ac:dyDescent="0.35">
      <c r="G17" s="35"/>
    </row>
    <row r="18" spans="7:7" x14ac:dyDescent="0.35">
      <c r="G18" s="35"/>
    </row>
    <row r="19" spans="7:7" x14ac:dyDescent="0.35">
      <c r="G19" s="35"/>
    </row>
    <row r="20" spans="7:7" x14ac:dyDescent="0.35">
      <c r="G2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F14"/>
  <sheetViews>
    <sheetView workbookViewId="0">
      <selection activeCell="D9" sqref="D9:F9"/>
    </sheetView>
  </sheetViews>
  <sheetFormatPr defaultColWidth="9.08984375" defaultRowHeight="14.5" x14ac:dyDescent="0.3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 x14ac:dyDescent="0.35">
      <c r="B4" t="s">
        <v>61</v>
      </c>
      <c r="C4" t="str">
        <f xml:space="preserve"> _xlfn.TEXTJOIN("_",TRUE,"UC","CB",ROUND(C7,0),"Mt",C6)</f>
        <v>UC_CB_128_Mt_2021-2025</v>
      </c>
      <c r="D4" t="str">
        <f t="shared" ref="D4:E4" si="0" xml:space="preserve"> _xlfn.TEXTJOIN("_",TRUE,"UC","CB",ROUND(D7,0),"Mt",D6)</f>
        <v>UC_CB_87_Mt_2026-2030</v>
      </c>
      <c r="E4" t="str">
        <f t="shared" si="0"/>
        <v>UC_CB_85_Mt_2031-2050</v>
      </c>
      <c r="F4" t="str">
        <f t="shared" ref="F4" si="1" xml:space="preserve"> _xlfn.TEXTJOIN("_",TRUE,"UC","CB",ROUND(F7,0),"Mt",F6)</f>
        <v>UC_CB_0_Mt_2051-2100</v>
      </c>
    </row>
    <row r="5" spans="2:6" x14ac:dyDescent="0.35">
      <c r="B5" t="s">
        <v>68</v>
      </c>
      <c r="C5" t="str">
        <f xml:space="preserve"> _xlfn.TEXTJOIN(" ",TRUE,"Carbon budget",ROUND(C7,0),"Mt",C6)</f>
        <v>Carbon budget 128 Mt 2021-2025</v>
      </c>
      <c r="D5" t="str">
        <f t="shared" ref="D5:F5" si="2" xml:space="preserve"> _xlfn.TEXTJOIN(" ",TRUE,"Carbon budget",ROUND(D7,0),"Mt",D6)</f>
        <v>Carbon budget 87 Mt 2026-2030</v>
      </c>
      <c r="E5" t="str">
        <f t="shared" si="2"/>
        <v>Carbon budget 85 Mt 2031-2050</v>
      </c>
      <c r="F5" t="str">
        <f t="shared" si="2"/>
        <v>Carbon budget 0 Mt 2051-2100</v>
      </c>
    </row>
    <row r="6" spans="2:6" x14ac:dyDescent="0.35">
      <c r="B6" t="s">
        <v>74</v>
      </c>
      <c r="C6" t="s">
        <v>104</v>
      </c>
      <c r="D6" t="s">
        <v>105</v>
      </c>
      <c r="E6" t="s">
        <v>106</v>
      </c>
      <c r="F6" t="s">
        <v>83</v>
      </c>
    </row>
    <row r="7" spans="2:6" x14ac:dyDescent="0.35">
      <c r="B7" t="s">
        <v>69</v>
      </c>
      <c r="C7" s="37">
        <v>127.734375</v>
      </c>
      <c r="D7" s="37">
        <v>87.109375</v>
      </c>
      <c r="E7" s="37">
        <v>85.15625</v>
      </c>
      <c r="F7" s="36">
        <v>0</v>
      </c>
    </row>
    <row r="8" spans="2:6" x14ac:dyDescent="0.35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35">
      <c r="B9" t="s">
        <v>62</v>
      </c>
      <c r="C9" t="s">
        <v>113</v>
      </c>
      <c r="D9" s="42" t="s">
        <v>113</v>
      </c>
      <c r="E9" s="42" t="s">
        <v>113</v>
      </c>
      <c r="F9" s="42" t="s">
        <v>113</v>
      </c>
    </row>
    <row r="10" spans="2:6" x14ac:dyDescent="0.35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35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35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35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35">
      <c r="B14" t="s">
        <v>76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P15"/>
  <sheetViews>
    <sheetView topLeftCell="B1" workbookViewId="0">
      <selection activeCell="B11" sqref="A11:XFD11"/>
    </sheetView>
  </sheetViews>
  <sheetFormatPr defaultColWidth="9.08984375" defaultRowHeight="14.5" x14ac:dyDescent="0.35"/>
  <cols>
    <col min="2" max="2" width="28.54296875" bestFit="1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9.453125" bestFit="1" customWidth="1"/>
    <col min="12" max="12" width="34.36328125" bestFit="1" customWidth="1"/>
    <col min="16" max="16" width="10" customWidth="1"/>
  </cols>
  <sheetData>
    <row r="1" spans="1:16" x14ac:dyDescent="0.35">
      <c r="A1" t="s">
        <v>64</v>
      </c>
    </row>
    <row r="2" spans="1:16" x14ac:dyDescent="0.35">
      <c r="B2" s="9" t="str">
        <f>"~UC_Sets: R_E: "  &amp; _xlfn.TEXTJOIN(",",TRUE,Regions!C3)</f>
        <v>~UC_Sets: R_E: IE</v>
      </c>
    </row>
    <row r="3" spans="1:16" x14ac:dyDescent="0.35">
      <c r="B3" s="9" t="s">
        <v>75</v>
      </c>
    </row>
    <row r="4" spans="1:16" x14ac:dyDescent="0.35">
      <c r="H4" t="str">
        <f>IF(RIGHT(B2,1)&lt;&gt;" ","~UC_T","")</f>
        <v>~UC_T</v>
      </c>
    </row>
    <row r="5" spans="1:16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6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  <c r="N6" s="33" t="s">
        <v>108</v>
      </c>
    </row>
    <row r="7" spans="1:16" x14ac:dyDescent="0.35">
      <c r="B7" t="str">
        <f>VLOOKUP($B$5, config!$B$4:$F$14,2,FALSE) &amp; "_Single"</f>
        <v>UC_CB_128_Mt_2021-2025_Single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N7*(1+VLOOKUP(Overshoot!$B$3,Overshoot!$F$3:$G$25,2,FALSE))</f>
        <v>127734.375</v>
      </c>
      <c r="L7" t="str">
        <f>VLOOKUP($L$5, config!$B$4:$F$14,2,FALSE) &amp; " - Single"</f>
        <v>Carbon budget 128 Mt 2021-2025 - Single</v>
      </c>
      <c r="N7" s="17">
        <f>config!C7*1000</f>
        <v>127734.375</v>
      </c>
      <c r="P7" s="38"/>
    </row>
    <row r="8" spans="1:16" x14ac:dyDescent="0.35">
      <c r="B8" t="str">
        <f>VLOOKUP($B$5, config!$B$4:$F$14,3,FALSE) &amp; "_Single"</f>
        <v>UC_CB_87_Mt_2026-2030_Single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N8*(1+VLOOKUP(Overshoot!$B$3,Overshoot!$F$3:$G$25,2,FALSE))</f>
        <v>87109.375</v>
      </c>
      <c r="L8" t="str">
        <f>VLOOKUP($L$5, config!$B$4:$F$14,3,FALSE) &amp; " - Single"</f>
        <v>Carbon budget 87 Mt 2026-2030 - Single</v>
      </c>
      <c r="N8" s="17">
        <f>config!D7*1000</f>
        <v>87109.375</v>
      </c>
      <c r="P8" s="38"/>
    </row>
    <row r="9" spans="1:16" x14ac:dyDescent="0.35">
      <c r="B9" t="str">
        <f>VLOOKUP($B$5, config!$B$4:$F$14,4,FALSE) &amp; "_Single"</f>
        <v>UC_CB_85_Mt_2031-2050_Single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 s="17">
        <f>SUM(N7:N10)-K7-K8</f>
        <v>85156.25</v>
      </c>
      <c r="L9" t="str">
        <f>VLOOKUP($L$5, config!$B$4:$F$14,4,FALSE) &amp; " - Single"</f>
        <v>Carbon budget 85 Mt 2031-2050 - Single</v>
      </c>
      <c r="N9" s="17">
        <f>config!E7*1000</f>
        <v>85156.25</v>
      </c>
      <c r="P9" s="38"/>
    </row>
    <row r="10" spans="1:16" x14ac:dyDescent="0.35">
      <c r="B10" t="str">
        <f>VLOOKUP($B$5, config!$B$4:$F$14,5,FALSE) &amp; "_Single"</f>
        <v>UC_CB_0_Mt_2051-2100_Single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 s="17">
        <f>VLOOKUP("Value", config!$B$4:$F$14,5,FALSE)*1000</f>
        <v>0</v>
      </c>
      <c r="L10" t="str">
        <f>VLOOKUP($L$5, config!$B$4:$F$14,5,FALSE) &amp; " - Single"</f>
        <v>Carbon budget 0 Mt 2051-2100 - Single</v>
      </c>
      <c r="N10" s="17">
        <v>0</v>
      </c>
      <c r="P10" s="38"/>
    </row>
    <row r="13" spans="1:16" x14ac:dyDescent="0.35">
      <c r="K13" s="34"/>
    </row>
    <row r="14" spans="1:16" x14ac:dyDescent="0.35">
      <c r="K14" s="34"/>
    </row>
    <row r="15" spans="1:16" x14ac:dyDescent="0.35">
      <c r="K15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tabSelected="1" workbookViewId="0">
      <selection activeCell="E17" sqref="E17"/>
    </sheetView>
  </sheetViews>
  <sheetFormatPr defaultColWidth="9.08984375" defaultRowHeight="14.5" x14ac:dyDescent="0.35"/>
  <cols>
    <col min="2" max="2" width="28.36328125" customWidth="1"/>
    <col min="3" max="3" width="12" bestFit="1" customWidth="1"/>
    <col min="4" max="4" width="8.453125" bestFit="1" customWidth="1"/>
    <col min="5" max="5" width="14.453125" bestFit="1" customWidth="1"/>
    <col min="6" max="6" width="9.36328125" bestFit="1" customWidth="1"/>
    <col min="7" max="7" width="13.453125" bestFit="1" customWidth="1"/>
    <col min="8" max="8" width="8.453125" bestFit="1" customWidth="1"/>
    <col min="9" max="9" width="12.54296875" bestFit="1" customWidth="1"/>
    <col min="10" max="10" width="12.08984375" bestFit="1" customWidth="1"/>
    <col min="11" max="11" width="8.453125" bestFit="1" customWidth="1"/>
    <col min="12" max="12" width="33.90625" bestFit="1" customWidth="1"/>
  </cols>
  <sheetData>
    <row r="1" spans="1:12" x14ac:dyDescent="0.35">
      <c r="A1" t="s">
        <v>66</v>
      </c>
    </row>
    <row r="2" spans="1:12" x14ac:dyDescent="0.35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9" t="s">
        <v>75</v>
      </c>
    </row>
    <row r="4" spans="1:12" x14ac:dyDescent="0.35">
      <c r="H4" t="str">
        <f>IF(RIGHT(B2,1)&lt;&gt;" ","~UC_T","")</f>
        <v>~UC_T</v>
      </c>
    </row>
    <row r="5" spans="1:12" x14ac:dyDescent="0.35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35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35">
      <c r="B7" t="str">
        <f>VLOOKUP(B$5, config!$B$4:$F$14,2,FALSE) &amp; "_Multi"</f>
        <v>UC_CB_128_Mt_2021-2025_Multi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single!K7</f>
        <v>127734.375</v>
      </c>
      <c r="L7" t="str">
        <f>VLOOKUP(L$5, config!$B$4:$F$14,2,FALSE) &amp; " - Multi"</f>
        <v>Carbon budget 128 Mt 2021-2025 - Multi</v>
      </c>
    </row>
    <row r="8" spans="1:12" x14ac:dyDescent="0.35">
      <c r="B8" t="str">
        <f>VLOOKUP(B$5, config!$B$4:$F$14,3,FALSE) &amp; "_Multi"</f>
        <v>UC_CB_87_Mt_2026-2030_Multi</v>
      </c>
      <c r="C8" t="str">
        <f>VLOOKUP(C$5, config!$B$4:$F$14,3,FALSE)</f>
        <v>TOTCO2</v>
      </c>
      <c r="D8" t="str">
        <f>VLOOKUP(D$5, config!$B$4:$F$14,3,FALSE)</f>
        <v>ENV</v>
      </c>
      <c r="F8" t="str">
        <f>VLOOKUP(F$5, config!$B$4:$F$14,3,FALSE)</f>
        <v>2026-2030</v>
      </c>
      <c r="G8" t="str">
        <f>VLOOKUP(G$5, config!$B$4:$F$14,3,FALSE)</f>
        <v>NET</v>
      </c>
      <c r="H8" t="str">
        <f>VLOOKUP(H$5, config!$B$4:$F$14,3,FALSE)</f>
        <v>UP</v>
      </c>
      <c r="I8">
        <f>VLOOKUP(I$5, config!$B$4:$F$14,3,FALSE)</f>
        <v>1</v>
      </c>
      <c r="K8" s="17">
        <f>single!K8</f>
        <v>87109.375</v>
      </c>
      <c r="L8" t="str">
        <f>VLOOKUP(L$5, config!$B$4:$F$14,3,FALSE) &amp; " - Multi"</f>
        <v>Carbon budget 87 Mt 2026-2030 - Multi</v>
      </c>
    </row>
    <row r="9" spans="1:12" x14ac:dyDescent="0.35">
      <c r="B9" t="str">
        <f>VLOOKUP(B$5, config!$B$4:$F$14,4,FALSE) &amp; "_Multi"</f>
        <v>UC_CB_85_Mt_2031-2050_Multi</v>
      </c>
      <c r="C9" t="str">
        <f>VLOOKUP(C$5, config!$B$4:$F$14,4,FALSE)</f>
        <v>TOTCO2</v>
      </c>
      <c r="D9" t="str">
        <f>VLOOKUP(D$5, config!$B$4:$F$14,4,FALSE)</f>
        <v>ENV</v>
      </c>
      <c r="F9" t="str">
        <f>VLOOKUP(F$5, config!$B$4:$F$14,4,FALSE)</f>
        <v>2031-2050</v>
      </c>
      <c r="G9" t="str">
        <f>VLOOKUP(G$5, config!$B$4:$F$14,4,FALSE)</f>
        <v>NET</v>
      </c>
      <c r="H9" t="str">
        <f>VLOOKUP(H$5, config!$B$4:$F$14,4,FALSE)</f>
        <v>UP</v>
      </c>
      <c r="I9">
        <f>VLOOKUP(I$5, config!$B$4:$F$14,4,FALSE)</f>
        <v>1</v>
      </c>
      <c r="K9" s="17">
        <f>single!K9</f>
        <v>85156.25</v>
      </c>
      <c r="L9" t="str">
        <f>VLOOKUP(L$5, config!$B$4:$F$14,4,FALSE) &amp; " - Multi"</f>
        <v>Carbon budget 85 Mt 2031-2050 - Multi</v>
      </c>
    </row>
    <row r="10" spans="1:12" x14ac:dyDescent="0.35">
      <c r="B10" t="str">
        <f>VLOOKUP(B$5, config!$B$4:$F$14,5,FALSE) &amp; "_Multi"</f>
        <v>UC_CB_0_Mt_2051-2100_Multi</v>
      </c>
      <c r="C10" t="str">
        <f>VLOOKUP(C$5, config!$B$4:$F$14,5,FALSE)</f>
        <v>TOTCO2</v>
      </c>
      <c r="D10" t="str">
        <f>VLOOKUP(D$5, config!$B$4:$F$14,5,FALSE)</f>
        <v>ENV</v>
      </c>
      <c r="F10" t="str">
        <f>VLOOKUP(F$5, config!$B$4:$F$14,5,FALSE)</f>
        <v>2051-2100</v>
      </c>
      <c r="G10" t="str">
        <f>VLOOKUP(G$5, config!$B$4:$F$14,5,FALSE)</f>
        <v>NET</v>
      </c>
      <c r="H10" t="str">
        <f>VLOOKUP(H$5, config!$B$4:$F$14,5,FALSE)</f>
        <v>UP</v>
      </c>
      <c r="I10">
        <f>VLOOKUP(I$5, config!$B$4:$F$14,5,FALSE)</f>
        <v>1</v>
      </c>
      <c r="K10">
        <f>single!K10</f>
        <v>0</v>
      </c>
      <c r="L10" t="str">
        <f>VLOOKUP(L$5, config!$B$4:$F$14,5,FALSE) &amp; " - Multi"</f>
        <v>Carbon budget 0 Mt 2051-2100 - Multi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5" x14ac:dyDescent="0.35"/>
  <cols>
    <col min="2" max="2" width="10.08984375" bestFit="1" customWidth="1"/>
    <col min="4" max="4" width="13.6328125" bestFit="1" customWidth="1"/>
    <col min="5" max="5" width="5.08984375" bestFit="1" customWidth="1"/>
    <col min="6" max="6" width="10.08984375" bestFit="1" customWidth="1"/>
  </cols>
  <sheetData>
    <row r="2" spans="2:8" x14ac:dyDescent="0.35">
      <c r="B2" s="14" t="s">
        <v>84</v>
      </c>
    </row>
    <row r="3" spans="2:8" ht="15" thickBot="1" x14ac:dyDescent="0.4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35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Overshoot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2023-11-03T13:42:02Z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