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main\SuppXLS\"/>
    </mc:Choice>
  </mc:AlternateContent>
  <xr:revisionPtr revIDLastSave="0" documentId="13_ncr:1_{F0A747D3-2076-42FE-9B66-5B0FEED5BF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4" r:id="rId1"/>
    <sheet name="Regions" sheetId="15" r:id="rId2"/>
    <sheet name="Overshoot" sheetId="25" r:id="rId3"/>
    <sheet name="config" sheetId="20" r:id="rId4"/>
    <sheet name="single" sheetId="21" r:id="rId5"/>
    <sheet name="multi" sheetId="22" r:id="rId6"/>
    <sheet name="negative_CO2" sheetId="23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21" l="1"/>
  <c r="N9" i="21"/>
  <c r="K9" i="21" s="1"/>
  <c r="K9" i="22" s="1"/>
  <c r="N7" i="21"/>
  <c r="K7" i="21" s="1"/>
  <c r="K11" i="21" l="1"/>
  <c r="K11" i="22" s="1"/>
  <c r="K7" i="22"/>
  <c r="J14" i="22"/>
  <c r="F14" i="22"/>
  <c r="E14" i="22"/>
  <c r="D14" i="22"/>
  <c r="C14" i="22"/>
  <c r="I13" i="22"/>
  <c r="H13" i="22"/>
  <c r="G13" i="22"/>
  <c r="F13" i="22"/>
  <c r="D13" i="22"/>
  <c r="C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I9" i="22"/>
  <c r="H9" i="22"/>
  <c r="G9" i="22"/>
  <c r="F9" i="22"/>
  <c r="D9" i="22"/>
  <c r="C9" i="22"/>
  <c r="J8" i="22"/>
  <c r="F8" i="22"/>
  <c r="E8" i="22"/>
  <c r="D8" i="22"/>
  <c r="C8" i="22"/>
  <c r="I7" i="22"/>
  <c r="H7" i="22"/>
  <c r="G7" i="22"/>
  <c r="F7" i="22"/>
  <c r="D7" i="22"/>
  <c r="C7" i="22"/>
  <c r="J14" i="21"/>
  <c r="F14" i="21"/>
  <c r="E14" i="21"/>
  <c r="D14" i="21"/>
  <c r="C14" i="21"/>
  <c r="K13" i="21"/>
  <c r="K13" i="22" s="1"/>
  <c r="I13" i="21"/>
  <c r="H13" i="21"/>
  <c r="G13" i="21"/>
  <c r="F13" i="21"/>
  <c r="D13" i="21"/>
  <c r="C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I9" i="21"/>
  <c r="H9" i="21"/>
  <c r="G9" i="21"/>
  <c r="F9" i="21"/>
  <c r="D9" i="21"/>
  <c r="C9" i="21"/>
  <c r="J8" i="21"/>
  <c r="F8" i="21"/>
  <c r="E8" i="21"/>
  <c r="D8" i="21"/>
  <c r="C8" i="21"/>
  <c r="I7" i="21"/>
  <c r="H7" i="21"/>
  <c r="G7" i="21"/>
  <c r="F7" i="21"/>
  <c r="D7" i="21"/>
  <c r="C7" i="21"/>
  <c r="F4" i="20"/>
  <c r="B13" i="21" s="1"/>
  <c r="F5" i="20"/>
  <c r="L13" i="21" s="1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L13" i="22" l="1"/>
  <c r="B13" i="22"/>
  <c r="B11" i="2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<sst xmlns="http://schemas.openxmlformats.org/spreadsheetml/2006/main" count="155" uniqueCount="114">
  <si>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</si>
  <si>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</si>
  <si>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</si>
  <si>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</si>
  <si>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</si>
  <si>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</si>
  <si>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</si>
  <si>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</si>
  <si>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</si>
  <si>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</si>
  <si>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</si>
  <si>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</si>
  <si>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</si>
  <si>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</si>
  <si>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</si>
  <si>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</si>
  <si>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</si>
  <si>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</si>
  <si>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</si>
  <si>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</si>
  <si>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</si>
  <si>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</si>
  <si>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</si>
  <si>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</si>
  <si>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</si>
  <si>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</si>
  <si>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</si>
  <si>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</si>
  <si>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</si>
  <si>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</si>
  <si>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</si>
  <si>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</si>
  <si>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</si>
  <si>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</si>
  <si>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</si>
  <si>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</si>
  <si>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</si>
  <si>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</si>
  <si>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</si>
  <si>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</si>
  <si>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</si>
  <si>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</si>
  <si>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</si>
  <si>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</si>
  <si>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</si>
  <si>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</si>
  <si>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</si>
  <si>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</si>
  <si>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</si>
  <si>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</si>
  <si>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</si>
  <si>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</si>
  <si>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</si>
  <si>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</si>
  <si>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</si>
  <si>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</si>
  <si>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</si>
  <si>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</si>
  <si>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</si>
  <si>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</si>
  <si>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</si>
  <si>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</si>
  <si>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</si>
  <si>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</si>
  <si>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</si>
  <si>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</si>
  <si>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</si>
  <si>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</si>
  <si>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</si>
  <si>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</si>
  <si>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</si>
  <si>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</si>
  <si>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</si>
  <si>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</si>
  <si>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</si>
  <si>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</si>
  <si>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</si>
  <si>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</si>
  <si>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</si>
  <si>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</si>
  <si>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</si>
  <si>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</si>
  <si>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</si>
  <si>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</si>
  <si>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</si>
  <si>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</si>
  <si>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</si>
  <si>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</si>
  <si>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</si>
  <si>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</si>
  <si>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</si>
  <si>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</si>
  <si>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</si>
  <si>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</si>
  <si>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</si>
  <si>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</si>
  <si>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</si>
  <si>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</si>
  <si>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</si>
  <si>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</si>
  <si>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</si>
  <si>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</si>
  <si>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</si>
  <si>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</si>
  <si>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</si>
  <si>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</si>
  <si>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</si>
  <si>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</si>
  <si>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</si>
  <si>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</si>
  <si>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</si>
  <si>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Overshoot</t>
  </si>
  <si>
    <t>Case #</t>
  </si>
  <si>
    <t>~InputCell:1-13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</si>
</sst>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166" fontId="0" fillId="0" borderId="0" xfId="0" applyNumberFormat="1"/>
    <xf numFmtId="165" fontId="0" fillId="0" borderId="0" xfId="3" applyNumberFormat="1" applyFon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5CD6EEE1-73B2-4911-9FC2-AF042D96273E}"/>
    <cellStyle name="Percent" xfId="3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8671875" defaultRowHeight="14.4" x14ac:dyDescent="0.3"/>
  <cols>
    <col min="1" max="4" width="21.6640625" customWidth="1"/>
    <col min="5" max="6" width="14.109375" customWidth="1"/>
    <col min="7" max="7" width="12.109375" customWidth="1"/>
    <col min="8" max="10" width="8.109375" customWidth="1"/>
    <col min="11" max="11" width="9.6640625" customWidth="1"/>
    <col min="12" max="12" width="8.109375" customWidth="1"/>
    <col min="13" max="13" width="10" customWidth="1"/>
    <col min="14" max="14" width="11.44140625" customWidth="1"/>
    <col min="15" max="15" width="13.44140625" customWidth="1"/>
  </cols>
  <sheetData>
    <row r="1" spans="1:26" x14ac:dyDescent="0.3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">
      <c r="A16" s="37" t="s">
        <v>91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">
      <c r="A19" s="25" t="s">
        <v>92</v>
      </c>
      <c r="B19" s="36" t="s">
        <v>105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">
      <c r="A20" s="25" t="s">
        <v>93</v>
      </c>
      <c r="B20" s="36" t="s">
        <v>103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">
      <c r="A21" s="25" t="s">
        <v>94</v>
      </c>
      <c r="B21" s="28" t="s">
        <v>109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">
      <c r="A23" s="25" t="s">
        <v>95</v>
      </c>
      <c r="B23" s="36" t="s">
        <v>104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">
      <c r="A26" s="25" t="s">
        <v>96</v>
      </c>
      <c r="B26" s="36" t="s">
        <v>104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">
      <c r="A29" s="25" t="s">
        <v>97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">
      <c r="A30" s="25" t="s">
        <v>98</v>
      </c>
      <c r="B30" s="38" t="s">
        <v>99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">
      <c r="A31" s="25" t="s">
        <v>100</v>
      </c>
      <c r="B31" s="36" t="s">
        <v>101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">
      <c r="A32" s="31"/>
      <c r="B32" s="32" t="s">
        <v>102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35">
      <c r="A10" s="3" t="s">
        <v>32</v>
      </c>
      <c r="B10" s="3" t="s">
        <v>33</v>
      </c>
    </row>
    <row r="11" spans="1:30" x14ac:dyDescent="0.3">
      <c r="A11" s="4" t="s">
        <v>34</v>
      </c>
      <c r="B11" s="4" t="s">
        <v>26</v>
      </c>
    </row>
    <row r="12" spans="1:30" x14ac:dyDescent="0.3">
      <c r="A12" s="5" t="s">
        <v>35</v>
      </c>
      <c r="B12" s="5" t="s">
        <v>25</v>
      </c>
    </row>
    <row r="13" spans="1:30" x14ac:dyDescent="0.3">
      <c r="A13" s="5" t="s">
        <v>36</v>
      </c>
      <c r="B13" s="5" t="s">
        <v>24</v>
      </c>
    </row>
    <row r="14" spans="1:30" x14ac:dyDescent="0.3">
      <c r="A14" s="5" t="s">
        <v>37</v>
      </c>
      <c r="B14" s="5" t="s">
        <v>23</v>
      </c>
    </row>
    <row r="15" spans="1:30" x14ac:dyDescent="0.3">
      <c r="A15" s="5" t="s">
        <v>38</v>
      </c>
      <c r="B15" s="5" t="s">
        <v>22</v>
      </c>
    </row>
    <row r="16" spans="1:30" x14ac:dyDescent="0.3">
      <c r="A16" s="5" t="s">
        <v>39</v>
      </c>
      <c r="B16" s="5" t="s">
        <v>21</v>
      </c>
    </row>
    <row r="17" spans="1:2" x14ac:dyDescent="0.3">
      <c r="A17" s="5" t="s">
        <v>40</v>
      </c>
      <c r="B17" s="5" t="s">
        <v>20</v>
      </c>
    </row>
    <row r="18" spans="1:2" x14ac:dyDescent="0.3">
      <c r="A18" s="5" t="s">
        <v>41</v>
      </c>
      <c r="B18" s="5" t="s">
        <v>19</v>
      </c>
    </row>
    <row r="19" spans="1:2" x14ac:dyDescent="0.3">
      <c r="A19" s="5" t="s">
        <v>42</v>
      </c>
      <c r="B19" s="5" t="s">
        <v>18</v>
      </c>
    </row>
    <row r="20" spans="1:2" x14ac:dyDescent="0.3">
      <c r="A20" s="5" t="s">
        <v>43</v>
      </c>
      <c r="B20" s="5" t="s">
        <v>17</v>
      </c>
    </row>
    <row r="21" spans="1:2" x14ac:dyDescent="0.3">
      <c r="A21" s="5" t="s">
        <v>44</v>
      </c>
      <c r="B21" s="5" t="s">
        <v>16</v>
      </c>
    </row>
    <row r="22" spans="1:2" x14ac:dyDescent="0.3">
      <c r="A22" s="5" t="s">
        <v>45</v>
      </c>
      <c r="B22" s="5" t="s">
        <v>15</v>
      </c>
    </row>
    <row r="23" spans="1:2" x14ac:dyDescent="0.3">
      <c r="A23" s="5" t="s">
        <v>46</v>
      </c>
      <c r="B23" s="5" t="s">
        <v>14</v>
      </c>
    </row>
    <row r="24" spans="1:2" x14ac:dyDescent="0.3">
      <c r="A24" s="5" t="s">
        <v>47</v>
      </c>
      <c r="B24" s="5" t="s">
        <v>13</v>
      </c>
    </row>
    <row r="25" spans="1:2" x14ac:dyDescent="0.3">
      <c r="A25" s="5" t="s">
        <v>48</v>
      </c>
      <c r="B25" s="5" t="s">
        <v>12</v>
      </c>
    </row>
    <row r="26" spans="1:2" x14ac:dyDescent="0.3">
      <c r="A26" s="5" t="s">
        <v>49</v>
      </c>
      <c r="B26" s="5" t="s">
        <v>11</v>
      </c>
    </row>
    <row r="27" spans="1:2" x14ac:dyDescent="0.3">
      <c r="A27" s="5" t="s">
        <v>50</v>
      </c>
      <c r="B27" s="5" t="s">
        <v>10</v>
      </c>
    </row>
    <row r="28" spans="1:2" x14ac:dyDescent="0.3">
      <c r="A28" s="5" t="s">
        <v>51</v>
      </c>
      <c r="B28" s="5" t="s">
        <v>9</v>
      </c>
    </row>
    <row r="29" spans="1:2" x14ac:dyDescent="0.3">
      <c r="A29" s="5" t="s">
        <v>52</v>
      </c>
      <c r="B29" s="5" t="s">
        <v>8</v>
      </c>
    </row>
    <row r="30" spans="1:2" x14ac:dyDescent="0.3">
      <c r="A30" s="5" t="s">
        <v>53</v>
      </c>
      <c r="B30" s="5" t="s">
        <v>7</v>
      </c>
    </row>
    <row r="31" spans="1:2" x14ac:dyDescent="0.3">
      <c r="A31" s="5" t="s">
        <v>54</v>
      </c>
      <c r="B31" s="5" t="s">
        <v>6</v>
      </c>
    </row>
    <row r="32" spans="1:2" x14ac:dyDescent="0.3">
      <c r="A32" s="5" t="s">
        <v>55</v>
      </c>
      <c r="B32" s="5" t="s">
        <v>5</v>
      </c>
    </row>
    <row r="33" spans="1:2" x14ac:dyDescent="0.3">
      <c r="A33" s="5" t="s">
        <v>56</v>
      </c>
      <c r="B33" s="5" t="s">
        <v>4</v>
      </c>
    </row>
    <row r="34" spans="1:2" x14ac:dyDescent="0.3">
      <c r="A34" s="5" t="s">
        <v>57</v>
      </c>
      <c r="B34" s="5" t="s">
        <v>3</v>
      </c>
    </row>
    <row r="35" spans="1:2" x14ac:dyDescent="0.3">
      <c r="A35" s="5" t="s">
        <v>58</v>
      </c>
      <c r="B35" s="5" t="s">
        <v>2</v>
      </c>
    </row>
    <row r="36" spans="1:2" x14ac:dyDescent="0.3">
      <c r="A36" s="5" t="s">
        <v>59</v>
      </c>
      <c r="B36" s="5" t="s">
        <v>1</v>
      </c>
    </row>
    <row r="37" spans="1:2" x14ac:dyDescent="0.3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51D-CBC7-469C-AD9B-B324E874F696}">
  <dimension ref="B2:G20"/>
  <sheetViews>
    <sheetView tabSelected="1" workbookViewId="0">
      <selection activeCell="B4" sqref="B4"/>
    </sheetView>
  </sheetViews>
  <sheetFormatPr defaultRowHeight="14.4" x14ac:dyDescent="0.3"/>
  <sheetData>
    <row r="2" spans="2:7" x14ac:dyDescent="0.3">
      <c r="B2" t="s">
        <v>113</v>
      </c>
    </row>
    <row r="3" spans="2:7" x14ac:dyDescent="0.3">
      <c r="B3">
        <v>1</v>
      </c>
      <c r="F3" t="s">
        <v>112</v>
      </c>
      <c r="G3" t="s">
        <v>111</v>
      </c>
    </row>
    <row r="4" spans="2:7" x14ac:dyDescent="0.3">
      <c r="F4">
        <v>1</v>
      </c>
      <c r="G4" s="35">
        <v>0</v>
      </c>
    </row>
    <row r="5" spans="2:7" x14ac:dyDescent="0.3">
      <c r="F5">
        <v>2</v>
      </c>
      <c r="G5" s="35">
        <v>2.5000000000000001E-2</v>
      </c>
    </row>
    <row r="6" spans="2:7" x14ac:dyDescent="0.3">
      <c r="F6">
        <v>3</v>
      </c>
      <c r="G6" s="35">
        <v>0.05</v>
      </c>
    </row>
    <row r="7" spans="2:7" x14ac:dyDescent="0.3">
      <c r="F7">
        <v>4</v>
      </c>
      <c r="G7" s="35">
        <v>7.4999999999999997E-2</v>
      </c>
    </row>
    <row r="8" spans="2:7" x14ac:dyDescent="0.3">
      <c r="F8">
        <v>5</v>
      </c>
      <c r="G8" s="35">
        <v>0.1</v>
      </c>
    </row>
    <row r="9" spans="2:7" x14ac:dyDescent="0.3">
      <c r="F9">
        <v>6</v>
      </c>
      <c r="G9" s="35">
        <v>0.125</v>
      </c>
    </row>
    <row r="10" spans="2:7" x14ac:dyDescent="0.3">
      <c r="F10">
        <v>7</v>
      </c>
      <c r="G10" s="35">
        <v>0.15</v>
      </c>
    </row>
    <row r="11" spans="2:7" x14ac:dyDescent="0.3">
      <c r="F11">
        <v>8</v>
      </c>
      <c r="G11" s="35">
        <v>0.17499999999999999</v>
      </c>
    </row>
    <row r="12" spans="2:7" x14ac:dyDescent="0.3">
      <c r="F12">
        <v>9</v>
      </c>
      <c r="G12" s="35">
        <v>0.2</v>
      </c>
    </row>
    <row r="13" spans="2:7" x14ac:dyDescent="0.3">
      <c r="F13">
        <v>10</v>
      </c>
      <c r="G13" s="35">
        <v>0.22500000000000001</v>
      </c>
    </row>
    <row r="14" spans="2:7" x14ac:dyDescent="0.3">
      <c r="F14">
        <v>11</v>
      </c>
      <c r="G14" s="35">
        <v>0.25</v>
      </c>
    </row>
    <row r="15" spans="2:7" x14ac:dyDescent="0.3">
      <c r="F15">
        <v>12</v>
      </c>
      <c r="G15" s="35">
        <v>0.27500000000000002</v>
      </c>
    </row>
    <row r="16" spans="2:7" x14ac:dyDescent="0.3">
      <c r="F16">
        <v>13</v>
      </c>
      <c r="G16" s="35">
        <v>0.3</v>
      </c>
    </row>
    <row r="17" spans="7:7" x14ac:dyDescent="0.3">
      <c r="G17" s="35"/>
    </row>
    <row r="18" spans="7:7" x14ac:dyDescent="0.3">
      <c r="G18" s="35"/>
    </row>
    <row r="19" spans="7:7" x14ac:dyDescent="0.3">
      <c r="G19" s="35"/>
    </row>
    <row r="20" spans="7:7" x14ac:dyDescent="0.3">
      <c r="G20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workbookViewId="0">
      <selection activeCell="C7" sqref="C7:F7"/>
    </sheetView>
  </sheetViews>
  <sheetFormatPr defaultColWidth="9.109375" defaultRowHeight="14.4" x14ac:dyDescent="0.3"/>
  <cols>
    <col min="2" max="2" width="14" bestFit="1" customWidth="1"/>
    <col min="3" max="3" width="30.109375" bestFit="1" customWidth="1"/>
    <col min="4" max="4" width="28" bestFit="1" customWidth="1"/>
    <col min="5" max="5" width="26" bestFit="1" customWidth="1"/>
    <col min="6" max="6" width="28" bestFit="1" customWidth="1"/>
    <col min="13" max="13" width="10.5546875" bestFit="1" customWidth="1"/>
    <col min="14" max="14" width="12" bestFit="1" customWidth="1"/>
  </cols>
  <sheetData>
    <row r="4" spans="2:6" x14ac:dyDescent="0.3">
      <c r="B4" t="s">
        <v>61</v>
      </c>
      <c r="C4" t="str">
        <f xml:space="preserve"> _xlfn.TEXTJOIN("_",TRUE,"UC","CB",ROUND(C7,0),"Mt",C6)</f>
        <v>UC_CB_170_Mt_2021-2025</v>
      </c>
      <c r="D4" t="str">
        <f t="shared" ref="D4:E4" si="0" xml:space="preserve"> _xlfn.TEXTJOIN("_",TRUE,"UC","CB",ROUND(D7,0),"Mt",D6)</f>
        <v>UC_CB_116_Mt_2026-2030</v>
      </c>
      <c r="E4" t="str">
        <f t="shared" si="0"/>
        <v>UC_CB_114_Mt_2031-2050</v>
      </c>
      <c r="F4" t="str">
        <f t="shared" ref="F4" si="1" xml:space="preserve"> _xlfn.TEXTJOIN("_",TRUE,"UC","CB",ROUND(F7,0),"Mt",F6)</f>
        <v>UC_CB_0_Mt_2051-2100</v>
      </c>
    </row>
    <row r="5" spans="2:6" x14ac:dyDescent="0.3">
      <c r="B5" t="s">
        <v>68</v>
      </c>
      <c r="C5" t="str">
        <f xml:space="preserve"> _xlfn.TEXTJOIN(" ",TRUE,"Carbon budget",ROUND(C7,0),"Mt",C6)</f>
        <v>Carbon budget 170 Mt 2021-2025</v>
      </c>
      <c r="D5" t="str">
        <f t="shared" ref="D5:F5" si="2" xml:space="preserve"> _xlfn.TEXTJOIN(" ",TRUE,"Carbon budget",ROUND(D7,0),"Mt",D6)</f>
        <v>Carbon budget 116 Mt 2026-2030</v>
      </c>
      <c r="E5" t="str">
        <f t="shared" si="2"/>
        <v>Carbon budget 114 Mt 2031-2050</v>
      </c>
      <c r="F5" t="str">
        <f t="shared" si="2"/>
        <v>Carbon budget 0 Mt 2051-2100</v>
      </c>
    </row>
    <row r="6" spans="2:6" x14ac:dyDescent="0.3">
      <c r="B6" t="s">
        <v>74</v>
      </c>
      <c r="C6" t="s">
        <v>106</v>
      </c>
      <c r="D6" t="s">
        <v>107</v>
      </c>
      <c r="E6" t="s">
        <v>108</v>
      </c>
      <c r="F6" t="s">
        <v>84</v>
      </c>
    </row>
    <row r="7" spans="2:6" x14ac:dyDescent="0.3">
      <c r="B7" t="s">
        <v>69</v>
      </c>
      <c r="C7" s="17">
        <v>170.3125</v>
      </c>
      <c r="D7" s="17">
        <v>116.14583333333333</v>
      </c>
      <c r="E7" s="17">
        <v>113.54166666666667</v>
      </c>
      <c r="F7" s="17">
        <v>0</v>
      </c>
    </row>
    <row r="8" spans="2:6" x14ac:dyDescent="0.3">
      <c r="B8" t="s">
        <v>82</v>
      </c>
      <c r="C8" t="s">
        <v>83</v>
      </c>
      <c r="D8" t="s">
        <v>83</v>
      </c>
      <c r="E8" t="s">
        <v>83</v>
      </c>
      <c r="F8" t="s">
        <v>83</v>
      </c>
    </row>
    <row r="9" spans="2:6" x14ac:dyDescent="0.3">
      <c r="B9" t="s">
        <v>62</v>
      </c>
      <c r="C9" t="s">
        <v>80</v>
      </c>
      <c r="D9" t="s">
        <v>80</v>
      </c>
      <c r="E9" t="s">
        <v>80</v>
      </c>
      <c r="F9" t="s">
        <v>80</v>
      </c>
    </row>
    <row r="10" spans="2:6" x14ac:dyDescent="0.3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">
      <c r="B13" t="s">
        <v>81</v>
      </c>
      <c r="C13">
        <v>-1</v>
      </c>
      <c r="D13">
        <v>-1</v>
      </c>
      <c r="E13">
        <v>-1</v>
      </c>
      <c r="F13">
        <v>-1</v>
      </c>
    </row>
    <row r="14" spans="2:6" x14ac:dyDescent="0.3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P19"/>
  <sheetViews>
    <sheetView topLeftCell="B1" workbookViewId="0">
      <selection activeCell="P7" sqref="P7:P12"/>
    </sheetView>
  </sheetViews>
  <sheetFormatPr defaultColWidth="9.109375" defaultRowHeight="14.4" x14ac:dyDescent="0.3"/>
  <cols>
    <col min="2" max="2" width="28.5546875" bestFit="1" customWidth="1"/>
    <col min="3" max="3" width="12" bestFit="1" customWidth="1"/>
    <col min="4" max="4" width="8.44140625" bestFit="1" customWidth="1"/>
    <col min="5" max="5" width="14.44140625" bestFit="1" customWidth="1"/>
    <col min="6" max="6" width="9.33203125" bestFit="1" customWidth="1"/>
    <col min="7" max="7" width="13.44140625" bestFit="1" customWidth="1"/>
    <col min="8" max="8" width="8.44140625" bestFit="1" customWidth="1"/>
    <col min="9" max="9" width="12.5546875" bestFit="1" customWidth="1"/>
    <col min="10" max="10" width="12.109375" bestFit="1" customWidth="1"/>
    <col min="11" max="11" width="9.44140625" bestFit="1" customWidth="1"/>
    <col min="12" max="12" width="34.33203125" bestFit="1" customWidth="1"/>
    <col min="16" max="16" width="10" customWidth="1"/>
  </cols>
  <sheetData>
    <row r="1" spans="1:16" x14ac:dyDescent="0.3">
      <c r="A1" t="s">
        <v>64</v>
      </c>
    </row>
    <row r="2" spans="1:16" x14ac:dyDescent="0.3">
      <c r="B2" s="9" t="str">
        <f>"~UC_Sets: R_E: "  &amp; _xlfn.TEXTJOIN(",",TRUE,Regions!C3)</f>
        <v>~UC_Sets: R_E: IE</v>
      </c>
    </row>
    <row r="3" spans="1:16" x14ac:dyDescent="0.3">
      <c r="B3" s="9" t="s">
        <v>75</v>
      </c>
    </row>
    <row r="4" spans="1:16" x14ac:dyDescent="0.3">
      <c r="H4" t="str">
        <f>IF(RIGHT(B2,1)&lt;&gt;" ","~UC_T","")</f>
        <v>~UC_T</v>
      </c>
    </row>
    <row r="5" spans="1:16" x14ac:dyDescent="0.3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65</v>
      </c>
      <c r="L5" s="10" t="s">
        <v>63</v>
      </c>
    </row>
    <row r="6" spans="1:16" x14ac:dyDescent="0.3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  <c r="N6" s="33" t="s">
        <v>110</v>
      </c>
    </row>
    <row r="7" spans="1:16" x14ac:dyDescent="0.3">
      <c r="B7" t="str">
        <f>VLOOKUP($B$5, config!$B$4:$F$14,2,FALSE) &amp; "_Single"</f>
        <v>UC_CB_170_Mt_2021-2025_Single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N7*(1+VLOOKUP(Overshoot!$B$3,Overshoot!$F$3:$G$25,2,FALSE))</f>
        <v>170312.5</v>
      </c>
      <c r="L7" t="str">
        <f>VLOOKUP($L$5, config!$B$4:$F$14,2,FALSE) &amp; " - Single"</f>
        <v>Carbon budget 170 Mt 2021-2025 - Single</v>
      </c>
      <c r="N7" s="17">
        <f>config!C7*1000</f>
        <v>170312.5</v>
      </c>
      <c r="P7" s="34"/>
    </row>
    <row r="8" spans="1:16" x14ac:dyDescent="0.3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  <c r="N8" s="17"/>
      <c r="P8" s="34"/>
    </row>
    <row r="9" spans="1:16" x14ac:dyDescent="0.3">
      <c r="B9" t="str">
        <f>VLOOKUP($B$5, config!$B$4:$F$14,3,FALSE) &amp; "_Single"</f>
        <v>UC_CB_116_Mt_2026-2030_Single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N9*(1+VLOOKUP(Overshoot!$B$3,Overshoot!$F$3:$G$25,2,FALSE))</f>
        <v>116145.83333333333</v>
      </c>
      <c r="L9" t="str">
        <f>VLOOKUP($L$5, config!$B$4:$F$14,3,FALSE) &amp; " - Single"</f>
        <v>Carbon budget 116 Mt 2026-2030 - Single</v>
      </c>
      <c r="N9" s="17">
        <f>config!D7*1000</f>
        <v>116145.83333333333</v>
      </c>
      <c r="P9" s="34"/>
    </row>
    <row r="10" spans="1:16" x14ac:dyDescent="0.3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  <c r="N10" s="17"/>
      <c r="P10" s="34"/>
    </row>
    <row r="11" spans="1:16" x14ac:dyDescent="0.3">
      <c r="B11" t="str">
        <f>VLOOKUP($B$5, config!$B$4:$F$14,4,FALSE) &amp; "_Single"</f>
        <v>UC_CB_114_Mt_2031-2050_Single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SUM(N7:N13)-K7-K9</f>
        <v>113541.66666666667</v>
      </c>
      <c r="L11" t="str">
        <f>VLOOKUP($L$5, config!$B$4:$F$14,4,FALSE) &amp; " - Single"</f>
        <v>Carbon budget 114 Mt 2031-2050 - Single</v>
      </c>
      <c r="N11" s="17">
        <f>config!E7*1000</f>
        <v>113541.66666666667</v>
      </c>
      <c r="P11" s="34"/>
    </row>
    <row r="12" spans="1:16" x14ac:dyDescent="0.3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  <c r="N12" s="17"/>
      <c r="P12" s="34"/>
    </row>
    <row r="13" spans="1:16" x14ac:dyDescent="0.3">
      <c r="B13" t="str">
        <f>VLOOKUP($B$5, config!$B$4:$F$14,5,FALSE) &amp; "_Single"</f>
        <v>UC_CB_0_Mt_2051-2100_Single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VLOOKUP($L$5, config!$B$4:$F$14,5,FALSE) &amp; " - Single"</f>
        <v>Carbon budget 0 Mt 2051-2100 - Single</v>
      </c>
      <c r="N13" s="17">
        <v>0</v>
      </c>
    </row>
    <row r="14" spans="1:16" x14ac:dyDescent="0.3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  <c r="N14" s="17"/>
    </row>
    <row r="17" spans="11:11" x14ac:dyDescent="0.3">
      <c r="K17" s="34"/>
    </row>
    <row r="18" spans="11:11" x14ac:dyDescent="0.3">
      <c r="K18" s="34"/>
    </row>
    <row r="19" spans="11:11" x14ac:dyDescent="0.3">
      <c r="K19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K7" sqref="K7"/>
    </sheetView>
  </sheetViews>
  <sheetFormatPr defaultColWidth="9.109375" defaultRowHeight="14.4" x14ac:dyDescent="0.3"/>
  <cols>
    <col min="2" max="2" width="28.33203125" customWidth="1"/>
    <col min="3" max="3" width="12" bestFit="1" customWidth="1"/>
    <col min="4" max="4" width="8.44140625" bestFit="1" customWidth="1"/>
    <col min="5" max="5" width="14.44140625" bestFit="1" customWidth="1"/>
    <col min="6" max="6" width="9.33203125" bestFit="1" customWidth="1"/>
    <col min="7" max="7" width="13.44140625" bestFit="1" customWidth="1"/>
    <col min="8" max="8" width="8.44140625" bestFit="1" customWidth="1"/>
    <col min="9" max="9" width="12.5546875" bestFit="1" customWidth="1"/>
    <col min="10" max="10" width="12.109375" bestFit="1" customWidth="1"/>
    <col min="11" max="11" width="8.44140625" bestFit="1" customWidth="1"/>
    <col min="12" max="12" width="33.88671875" bestFit="1" customWidth="1"/>
  </cols>
  <sheetData>
    <row r="1" spans="1:12" x14ac:dyDescent="0.3">
      <c r="A1" t="s">
        <v>66</v>
      </c>
    </row>
    <row r="2" spans="1:12" x14ac:dyDescent="0.3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9" t="s">
        <v>75</v>
      </c>
    </row>
    <row r="4" spans="1:12" x14ac:dyDescent="0.3">
      <c r="H4" t="str">
        <f>IF(RIGHT(B2,1)&lt;&gt;" ","~UC_T","")</f>
        <v>~UC_T</v>
      </c>
    </row>
    <row r="5" spans="1:12" x14ac:dyDescent="0.3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67</v>
      </c>
      <c r="L5" s="10" t="s">
        <v>63</v>
      </c>
    </row>
    <row r="6" spans="1:12" x14ac:dyDescent="0.3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">
      <c r="B7" t="str">
        <f>VLOOKUP(B$5, config!$B$4:$F$14,2,FALSE) &amp; "_Multi"</f>
        <v>UC_CB_170_Mt_2021-2025_Multi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single!K7</f>
        <v>170312.5</v>
      </c>
      <c r="L7" t="str">
        <f>VLOOKUP(L$5, config!$B$4:$F$14,2,FALSE) &amp; " - Multi"</f>
        <v>Carbon budget 170 Mt 2021-2025 - Multi</v>
      </c>
    </row>
    <row r="8" spans="1:12" x14ac:dyDescent="0.3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3">
      <c r="B9" t="str">
        <f>VLOOKUP(B$5, config!$B$4:$F$14,3,FALSE) &amp; "_Multi"</f>
        <v>UC_CB_116_Mt_2026-2030_Multi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single!K9</f>
        <v>116145.83333333333</v>
      </c>
      <c r="L9" t="str">
        <f>VLOOKUP(L$5, config!$B$4:$F$14,3,FALSE) &amp; " - Multi"</f>
        <v>Carbon budget 116 Mt 2026-2030 - Multi</v>
      </c>
    </row>
    <row r="10" spans="1:12" x14ac:dyDescent="0.3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3">
      <c r="B11" t="str">
        <f>VLOOKUP(B$5, config!$B$4:$F$14,4,FALSE) &amp; "_Multi"</f>
        <v>UC_CB_114_Mt_2031-2050_Multi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single!K11</f>
        <v>113541.66666666667</v>
      </c>
      <c r="L11" t="str">
        <f>VLOOKUP(L$5, config!$B$4:$F$14,4,FALSE) &amp; " - Multi"</f>
        <v>Carbon budget 114 Mt 2031-2050 - Multi</v>
      </c>
    </row>
    <row r="12" spans="1:12" x14ac:dyDescent="0.3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3">
      <c r="B13" t="str">
        <f>VLOOKUP(B$5, config!$B$4:$F$14,5,FALSE) &amp; "_Multi"</f>
        <v>UC_CB_0_Mt_2051-2100_Multi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single!K13</f>
        <v>0</v>
      </c>
      <c r="L13" t="str">
        <f>VLOOKUP(L$5, config!$B$4:$F$14,5,FALSE) &amp; " - Multi"</f>
        <v>Carbon budget 0 Mt 2051-2100 - Multi</v>
      </c>
    </row>
    <row r="14" spans="1:12" x14ac:dyDescent="0.3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4" t="s">
        <v>85</v>
      </c>
    </row>
    <row r="3" spans="2:8" ht="15" thickBot="1" x14ac:dyDescent="0.35">
      <c r="B3" s="15" t="s">
        <v>86</v>
      </c>
      <c r="C3" s="15" t="s">
        <v>0</v>
      </c>
      <c r="D3" s="15" t="s">
        <v>87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">
      <c r="C4" s="8" t="s">
        <v>88</v>
      </c>
      <c r="D4" t="s">
        <v>89</v>
      </c>
      <c r="E4">
        <v>0</v>
      </c>
      <c r="F4" t="s">
        <v>90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Overshoot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2023-10-23T15:54:37Z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