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0A89E44E-41C5-4A77-A8AC-E41F8862D974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0" l="1"/>
  <c r="D7" i="20"/>
  <c r="C7" i="20"/>
  <c r="E24" i="20"/>
  <c r="D24" i="20"/>
  <c r="L10" i="22" l="1"/>
  <c r="K10" i="22"/>
  <c r="I10" i="22"/>
  <c r="H10" i="22"/>
  <c r="G10" i="22"/>
  <c r="F10" i="22"/>
  <c r="D10" i="22"/>
  <c r="C10" i="22"/>
  <c r="B10" i="22"/>
  <c r="K9" i="22"/>
  <c r="I9" i="22"/>
  <c r="H9" i="22"/>
  <c r="G9" i="22"/>
  <c r="F9" i="22"/>
  <c r="D9" i="22"/>
  <c r="C9" i="22"/>
  <c r="K8" i="22"/>
  <c r="I8" i="22"/>
  <c r="H8" i="22"/>
  <c r="G8" i="22"/>
  <c r="F8" i="22"/>
  <c r="D8" i="22"/>
  <c r="C8" i="22"/>
  <c r="K7" i="22"/>
  <c r="I7" i="22"/>
  <c r="H7" i="22"/>
  <c r="G7" i="22"/>
  <c r="F7" i="22"/>
  <c r="D7" i="22"/>
  <c r="C7" i="22"/>
  <c r="L10" i="21"/>
  <c r="K10" i="21"/>
  <c r="I10" i="21"/>
  <c r="H10" i="21"/>
  <c r="G10" i="21"/>
  <c r="F10" i="21"/>
  <c r="D10" i="21"/>
  <c r="C10" i="21"/>
  <c r="B10" i="21"/>
  <c r="K9" i="21"/>
  <c r="I9" i="21"/>
  <c r="H9" i="21"/>
  <c r="G9" i="21"/>
  <c r="F9" i="21"/>
  <c r="D9" i="21"/>
  <c r="C9" i="21"/>
  <c r="K8" i="21"/>
  <c r="I8" i="21"/>
  <c r="H8" i="21"/>
  <c r="G8" i="21"/>
  <c r="F8" i="21"/>
  <c r="D8" i="21"/>
  <c r="C8" i="21"/>
  <c r="K7" i="21"/>
  <c r="I7" i="21"/>
  <c r="H7" i="21"/>
  <c r="G7" i="21"/>
  <c r="F7" i="21"/>
  <c r="D7" i="21"/>
  <c r="C7" i="21"/>
  <c r="F4" i="20"/>
  <c r="F5" i="20"/>
  <c r="D4" i="20"/>
  <c r="B8" i="22" s="1"/>
  <c r="E4" i="20"/>
  <c r="B9" i="22" s="1"/>
  <c r="D5" i="20"/>
  <c r="L8" i="22" s="1"/>
  <c r="E5" i="20"/>
  <c r="L9" i="21" s="1"/>
  <c r="C5" i="20"/>
  <c r="L7" i="21" s="1"/>
  <c r="C4" i="20"/>
  <c r="B7" i="21" s="1"/>
  <c r="B9" i="21" l="1"/>
  <c r="L9" i="22"/>
  <c r="B8" i="21"/>
  <c r="L8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<sst xmlns="http://schemas.openxmlformats.org/spreadsheetml/2006/main" count="160" uniqueCount="113">
  <si>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</si>
  <si>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</si>
  <si>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</si>
  <si>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</si>
  <si>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</si>
  <si>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</si>
  <si>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</si>
  <si>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</si>
  <si>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</si>
  <si>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</si>
  <si>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</si>
  <si>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</si>
  <si>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</si>
  <si>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</si>
  <si>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</si>
  <si>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</si>
  <si>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</si>
  <si>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</si>
  <si>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</si>
  <si>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</si>
  <si>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</si>
  <si>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</si>
  <si>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</si>
  <si>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</si>
  <si>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</si>
  <si>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</si>
  <si>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</si>
  <si>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</si>
  <si>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</si>
  <si>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</si>
  <si>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</si>
  <si>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</si>
  <si>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</si>
  <si>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</si>
  <si>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</si>
  <si>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</si>
  <si>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</si>
  <si>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</si>
  <si>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</si>
  <si>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</si>
  <si>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</si>
  <si>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</si>
  <si>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</si>
  <si>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</si>
  <si>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</si>
  <si>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</si>
  <si>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</si>
  <si>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</si>
  <si>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</si>
  <si>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</si>
  <si>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</si>
  <si>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</si>
  <si>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</si>
  <si>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</si>
  <si>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</si>
  <si>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</si>
  <si>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</si>
  <si>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</si>
  <si>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</si>
  <si>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</si>
  <si>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</si>
  <si>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</si>
  <si>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</si>
  <si>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</si>
  <si>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</si>
  <si>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</si>
  <si>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</si>
  <si>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</si>
  <si>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</si>
  <si>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</si>
  <si>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</si>
  <si>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</si>
  <si>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</si>
  <si>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</si>
  <si>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</si>
  <si>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</si>
  <si>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</si>
  <si>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</si>
  <si>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</si>
  <si>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</si>
  <si>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</si>
  <si>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</si>
  <si>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</si>
  <si>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</si>
  <si>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</si>
  <si>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</si>
  <si>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</si>
  <si>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</si>
  <si>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</si>
  <si>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</si>
  <si>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</si>
  <si>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</si>
  <si>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</si>
  <si>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</si>
  <si>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</si>
  <si>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</si>
  <si>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</si>
  <si>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</si>
  <si>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</si>
  <si>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</si>
  <si>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</si>
  <si>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</si>
  <si>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</si>
  <si>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Scenario</t>
  </si>
  <si>
    <t>2021-2025</t>
  </si>
  <si>
    <t>2026-2030</t>
  </si>
  <si>
    <t>2031-2050</t>
  </si>
  <si>
    <t>Specify a carbon budget</t>
  </si>
  <si>
    <t>Original values</t>
  </si>
  <si>
    <t>IPCC Scenario: 1.7 degrees, 67% probility</t>
  </si>
  <si>
    <t>Ireland's CB (million tonne)</t>
  </si>
  <si>
    <t>TOTCO2</t>
  </si>
  <si>
    <t>Vahid Aryanpur (UCC, vahid.aryanpur@ucc.ie)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</si>
</sst>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E20" sqref="E20"/>
    </sheetView>
  </sheetViews>
  <sheetFormatPr defaultColWidth="8.90625" defaultRowHeight="14.5" x14ac:dyDescent="0.3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5">
      <c r="A19" s="25" t="s">
        <v>91</v>
      </c>
      <c r="B19" s="36" t="s">
        <v>103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5">
      <c r="A21" s="25" t="s">
        <v>93</v>
      </c>
      <c r="B21" s="28" t="s">
        <v>107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5">
      <c r="A23" s="25" t="s">
        <v>94</v>
      </c>
      <c r="B23" s="36" t="s">
        <v>112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5">
      <c r="A26" s="25" t="s">
        <v>95</v>
      </c>
      <c r="B26" s="36" t="s">
        <v>112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30:D30"/>
    <mergeCell ref="B23:D23"/>
    <mergeCell ref="B26:D26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 x14ac:dyDescent="0.3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.08984375" bestFit="1" customWidth="1"/>
    <col min="14" max="14" width="6.6328125" bestFit="1" customWidth="1"/>
    <col min="15" max="15" width="6.54296875" bestFit="1" customWidth="1"/>
    <col min="16" max="16" width="7.36328125" bestFit="1" customWidth="1"/>
    <col min="17" max="17" width="5.6328125" bestFit="1" customWidth="1"/>
    <col min="18" max="18" width="6.08984375" bestFit="1" customWidth="1"/>
    <col min="19" max="19" width="5.63281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4.90625" bestFit="1" customWidth="1"/>
    <col min="24" max="24" width="7.54296875" customWidth="1"/>
    <col min="25" max="25" width="6.6328125" bestFit="1" customWidth="1"/>
    <col min="26" max="26" width="6.08984375" bestFit="1" customWidth="1"/>
    <col min="27" max="28" width="6" bestFit="1" customWidth="1"/>
    <col min="29" max="29" width="5.6328125" bestFit="1" customWidth="1"/>
    <col min="30" max="30" width="6.63281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4"/>
  <sheetViews>
    <sheetView workbookViewId="0">
      <selection activeCell="D9" sqref="D9:F9"/>
    </sheetView>
  </sheetViews>
  <sheetFormatPr defaultColWidth="9.08984375" defaultRowHeight="14.5" x14ac:dyDescent="0.3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 x14ac:dyDescent="0.35">
      <c r="B4" t="s">
        <v>61</v>
      </c>
      <c r="C4" t="str">
        <f xml:space="preserve"> _xlfn.TEXTJOIN("_",TRUE,"UC","CB",ROUND(C7,0),"Mt",C6)</f>
        <v>UC_CB_128_Mt_2021-2025</v>
      </c>
      <c r="D4" t="str">
        <f t="shared" ref="D4:E4" si="0" xml:space="preserve"> _xlfn.TEXTJOIN("_",TRUE,"UC","CB",ROUND(D7,0),"Mt",D6)</f>
        <v>UC_CB_87_Mt_2026-2030</v>
      </c>
      <c r="E4" t="str">
        <f t="shared" si="0"/>
        <v>UC_CB_85_Mt_2031-2050</v>
      </c>
      <c r="F4" t="str">
        <f t="shared" ref="F4" si="1" xml:space="preserve"> _xlfn.TEXTJOIN("_",TRUE,"UC","CB",ROUND(F7,0),"Mt",F6)</f>
        <v>UC_CB_0_Mt_2051-2100</v>
      </c>
    </row>
    <row r="5" spans="2:6" x14ac:dyDescent="0.35">
      <c r="B5" t="s">
        <v>68</v>
      </c>
      <c r="C5" t="str">
        <f xml:space="preserve"> _xlfn.TEXTJOIN(" ",TRUE,"Carbon budget",ROUND(C7,0),"Mt",C6)</f>
        <v>Carbon budget 128 Mt 2021-2025</v>
      </c>
      <c r="D5" t="str">
        <f t="shared" ref="D5:F5" si="2" xml:space="preserve"> _xlfn.TEXTJOIN(" ",TRUE,"Carbon budget",ROUND(D7,0),"Mt",D6)</f>
        <v>Carbon budget 87 Mt 2026-2030</v>
      </c>
      <c r="E5" t="str">
        <f t="shared" si="2"/>
        <v>Carbon budget 85 Mt 2031-2050</v>
      </c>
      <c r="F5" t="str">
        <f t="shared" si="2"/>
        <v>Carbon budget 0 Mt 2051-2100</v>
      </c>
    </row>
    <row r="6" spans="2:6" x14ac:dyDescent="0.35">
      <c r="B6" t="s">
        <v>74</v>
      </c>
      <c r="C6" t="s">
        <v>104</v>
      </c>
      <c r="D6" t="s">
        <v>105</v>
      </c>
      <c r="E6" t="s">
        <v>106</v>
      </c>
      <c r="F6" t="s">
        <v>83</v>
      </c>
    </row>
    <row r="7" spans="2:6" x14ac:dyDescent="0.35">
      <c r="B7" t="s">
        <v>69</v>
      </c>
      <c r="C7" s="17">
        <f>$D$19*(D24/SUM($D$24:$F$24))</f>
        <v>127.734375</v>
      </c>
      <c r="D7" s="17">
        <f>$D$19*(E24/SUM($D$24:$F$24))</f>
        <v>87.109375</v>
      </c>
      <c r="E7" s="17">
        <f>$D$19*(F24/SUM($D$24:$F$24))</f>
        <v>85.15625</v>
      </c>
      <c r="F7">
        <v>0</v>
      </c>
    </row>
    <row r="8" spans="2:6" x14ac:dyDescent="0.3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35">
      <c r="B9" t="s">
        <v>62</v>
      </c>
      <c r="C9" t="s">
        <v>111</v>
      </c>
      <c r="D9" t="s">
        <v>111</v>
      </c>
      <c r="E9" t="s">
        <v>111</v>
      </c>
      <c r="F9" t="s">
        <v>111</v>
      </c>
    </row>
    <row r="10" spans="2:6" x14ac:dyDescent="0.3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35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35">
      <c r="C18" s="33" t="s">
        <v>109</v>
      </c>
    </row>
    <row r="19" spans="3:7" x14ac:dyDescent="0.35">
      <c r="C19" t="s">
        <v>110</v>
      </c>
      <c r="D19" s="35">
        <v>300</v>
      </c>
    </row>
    <row r="22" spans="3:7" x14ac:dyDescent="0.35">
      <c r="C22" s="33" t="s">
        <v>108</v>
      </c>
    </row>
    <row r="23" spans="3:7" x14ac:dyDescent="0.35">
      <c r="C23" t="s">
        <v>74</v>
      </c>
      <c r="D23" s="34" t="s">
        <v>104</v>
      </c>
      <c r="E23" s="34" t="s">
        <v>105</v>
      </c>
      <c r="F23" s="34" t="s">
        <v>106</v>
      </c>
      <c r="G23" s="34" t="s">
        <v>83</v>
      </c>
    </row>
    <row r="24" spans="3:7" x14ac:dyDescent="0.35">
      <c r="C24" t="s">
        <v>69</v>
      </c>
      <c r="D24" s="34">
        <f>160+3.5</f>
        <v>163.5</v>
      </c>
      <c r="E24" s="34">
        <f>109+2.5</f>
        <v>111.5</v>
      </c>
      <c r="F24" s="34">
        <v>109</v>
      </c>
      <c r="G24" s="34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tabSelected="1" workbookViewId="0">
      <selection activeCell="D19" sqref="D19"/>
    </sheetView>
  </sheetViews>
  <sheetFormatPr defaultColWidth="9.08984375" defaultRowHeight="14.5" x14ac:dyDescent="0.35"/>
  <cols>
    <col min="2" max="2" width="28.54296875" bestFit="1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9.453125" bestFit="1" customWidth="1"/>
    <col min="12" max="12" width="34.36328125" bestFit="1" customWidth="1"/>
  </cols>
  <sheetData>
    <row r="1" spans="1:12" x14ac:dyDescent="0.35">
      <c r="A1" t="s">
        <v>64</v>
      </c>
    </row>
    <row r="2" spans="1:12" x14ac:dyDescent="0.35">
      <c r="B2" s="9" t="str">
        <f>"~UC_Sets: R_E: "  &amp; _xlfn.TEXTJOIN(",",TRUE,Regions!C3)</f>
        <v>~UC_Sets: R_E: IE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35">
      <c r="B7" t="str">
        <f>VLOOKUP($B$5, config!$B$4:$F$14,2,FALSE) &amp; "_Single"</f>
        <v>UC_CB_128_Mt_2021-2025_Single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127734.375</v>
      </c>
      <c r="L7" t="str">
        <f>VLOOKUP($L$5, config!$B$4:$F$14,2,FALSE) &amp; " - Single"</f>
        <v>Carbon budget 128 Mt 2021-2025 - Single</v>
      </c>
    </row>
    <row r="8" spans="1:12" x14ac:dyDescent="0.35">
      <c r="B8" t="str">
        <f>VLOOKUP($B$5, config!$B$4:$F$14,3,FALSE) &amp; "_Single"</f>
        <v>UC_CB_87_Mt_2026-2030_Single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 s="17">
        <f>VLOOKUP("Value", config!$B$4:$F$14,3,FALSE)*1000</f>
        <v>87109.375</v>
      </c>
      <c r="L8" t="str">
        <f>VLOOKUP($L$5, config!$B$4:$F$14,3,FALSE) &amp; " - Single"</f>
        <v>Carbon budget 87 Mt 2026-2030 - Single</v>
      </c>
    </row>
    <row r="9" spans="1:12" x14ac:dyDescent="0.35">
      <c r="B9" t="str">
        <f>VLOOKUP($B$5, config!$B$4:$F$14,4,FALSE) &amp; "_Single"</f>
        <v>UC_CB_85_Mt_2031-2050_Single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 s="17">
        <f>VLOOKUP("Value", config!$B$4:$F$14,4,FALSE)*1000</f>
        <v>85156.25</v>
      </c>
      <c r="L9" t="str">
        <f>VLOOKUP($L$5, config!$B$4:$F$14,4,FALSE) &amp; " - Single"</f>
        <v>Carbon budget 85 Mt 2031-2050 - Single</v>
      </c>
    </row>
    <row r="10" spans="1:12" x14ac:dyDescent="0.35">
      <c r="B10" t="str">
        <f>VLOOKUP($B$5, config!$B$4:$F$14,5,FALSE) &amp; "_Single"</f>
        <v>UC_CB_0_Mt_2051-2100_Single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>
        <f>VLOOKUP("Value", config!$B$4:$F$14,5,FALSE)*1000</f>
        <v>0</v>
      </c>
      <c r="L10" t="str">
        <f>VLOOKUP($L$5, config!$B$4:$F$14,5,FALSE) &amp; " - Single"</f>
        <v>Carbon budget 0 Mt 2051-2100 - Single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F20" sqref="F20"/>
    </sheetView>
  </sheetViews>
  <sheetFormatPr defaultColWidth="9.08984375" defaultRowHeight="14.5" x14ac:dyDescent="0.35"/>
  <cols>
    <col min="2" max="2" width="28.36328125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8.453125" bestFit="1" customWidth="1"/>
    <col min="12" max="12" width="33.90625" bestFit="1" customWidth="1"/>
  </cols>
  <sheetData>
    <row r="1" spans="1:12" x14ac:dyDescent="0.35">
      <c r="A1" t="s">
        <v>66</v>
      </c>
    </row>
    <row r="2" spans="1:12" x14ac:dyDescent="0.3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5">
      <c r="B7" t="str">
        <f>VLOOKUP(B$5, config!$B$4:$F$14,2,FALSE) &amp; "_Multi"</f>
        <v>UC_CB_128_Mt_2021-2025_Multi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127734.375</v>
      </c>
      <c r="L7" t="str">
        <f>VLOOKUP(L$5, config!$B$4:$F$14,2,FALSE) &amp; " - Multi"</f>
        <v>Carbon budget 128 Mt 2021-2025 - Multi</v>
      </c>
    </row>
    <row r="8" spans="1:12" x14ac:dyDescent="0.35">
      <c r="B8" t="str">
        <f>VLOOKUP(B$5, config!$B$4:$F$14,3,FALSE) &amp; "_Multi"</f>
        <v>UC_CB_87_Mt_2026-2030_Multi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 s="17">
        <f>VLOOKUP("Value", config!$B$4:$F$14,3,FALSE)*1000</f>
        <v>87109.375</v>
      </c>
      <c r="L8" t="str">
        <f>VLOOKUP(L$5, config!$B$4:$F$14,3,FALSE) &amp; " - Multi"</f>
        <v>Carbon budget 87 Mt 2026-2030 - Multi</v>
      </c>
    </row>
    <row r="9" spans="1:12" x14ac:dyDescent="0.35">
      <c r="B9" t="str">
        <f>VLOOKUP(B$5, config!$B$4:$F$14,4,FALSE) &amp; "_Multi"</f>
        <v>UC_CB_85_Mt_2031-2050_Multi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 s="17">
        <f>VLOOKUP("Value", config!$B$4:$F$14,4,FALSE)*1000</f>
        <v>85156.25</v>
      </c>
      <c r="L9" t="str">
        <f>VLOOKUP(L$5, config!$B$4:$F$14,4,FALSE) &amp; " - Multi"</f>
        <v>Carbon budget 85 Mt 2031-2050 - Multi</v>
      </c>
    </row>
    <row r="10" spans="1:12" x14ac:dyDescent="0.35">
      <c r="B10" t="str">
        <f>VLOOKUP(B$5, config!$B$4:$F$14,5,FALSE) &amp; "_Multi"</f>
        <v>UC_CB_0_Mt_2051-2100_Multi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 s="17">
        <f>VLOOKUP("Value", config!$B$4:$F$14,5,FALSE)*1000</f>
        <v>0</v>
      </c>
      <c r="L10" t="str">
        <f>VLOOKUP(L$5, config!$B$4:$F$14,5,FALSE) &amp; " - Multi"</f>
        <v>Carbon budget 0 Mt 2051-2100 - Multi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5" x14ac:dyDescent="0.35"/>
  <cols>
    <col min="2" max="2" width="10.08984375" bestFit="1" customWidth="1"/>
    <col min="4" max="4" width="13.6328125" bestFit="1" customWidth="1"/>
    <col min="5" max="5" width="5.08984375" bestFit="1" customWidth="1"/>
    <col min="6" max="6" width="10.08984375" bestFit="1" customWidth="1"/>
  </cols>
  <sheetData>
    <row r="2" spans="2:8" x14ac:dyDescent="0.35">
      <c r="B2" s="14" t="s">
        <v>84</v>
      </c>
    </row>
    <row r="3" spans="2:8" ht="15" thickBot="1" x14ac:dyDescent="0.4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2023-11-03T14:48:19Z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