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E37E1E6-59E5-49B5-9E04-48DDCABA2331}" xr6:coauthVersionLast="47" xr6:coauthVersionMax="47" xr10:uidLastSave="{00000000-0000-0000-0000-000000000000}"/>
  <bookViews>
    <workbookView xWindow="1860" yWindow="2340" windowWidth="21600" windowHeight="11295" firstSheet="1" activeTab="9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30" l="1"/>
  <c r="I7" i="30" s="1"/>
  <c r="B2" i="30"/>
  <c r="G4" i="30" s="1"/>
  <c r="I11" i="30"/>
  <c r="E17" i="30"/>
  <c r="I17" i="30"/>
  <c r="I10" i="30" s="1"/>
  <c r="G17" i="30"/>
  <c r="I8" i="30" s="1"/>
  <c r="H17" i="30"/>
  <c r="I9" i="30" s="1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4" i="28"/>
  <c r="J23" i="28"/>
  <c r="J22" i="28"/>
  <c r="J21" i="28"/>
  <c r="J15" i="28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8" i="14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4" i="14"/>
  <c r="I13" i="14"/>
  <c r="I12" i="14"/>
  <c r="I11" i="14"/>
  <c r="I10" i="14"/>
  <c r="I9" i="14"/>
  <c r="I7" i="14"/>
  <c r="I6" i="14"/>
  <c r="I5" i="14"/>
  <c r="I4" i="14"/>
  <c r="H14" i="14"/>
  <c r="H13" i="14"/>
  <c r="H12" i="14"/>
  <c r="H11" i="14"/>
  <c r="H10" i="14"/>
  <c r="H9" i="14"/>
  <c r="H8" i="14"/>
  <c r="H7" i="14"/>
  <c r="H6" i="14"/>
  <c r="H5" i="14"/>
  <c r="H4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3" i="14" l="1"/>
  <c r="F13" i="14"/>
  <c r="G9" i="14"/>
  <c r="F9" i="14"/>
  <c r="E9" i="14"/>
  <c r="G4" i="14"/>
  <c r="F4" i="14"/>
  <c r="G12" i="14"/>
  <c r="F12" i="14"/>
  <c r="G11" i="14"/>
  <c r="F11" i="14"/>
  <c r="G10" i="14"/>
  <c r="F10" i="14"/>
  <c r="G8" i="14"/>
  <c r="F8" i="14"/>
  <c r="G14" i="14"/>
  <c r="F14" i="14"/>
  <c r="G5" i="14"/>
  <c r="F5" i="14"/>
  <c r="G6" i="14"/>
  <c r="F6" i="14"/>
  <c r="G7" i="14"/>
  <c r="F7" i="14"/>
  <c r="E6" i="14"/>
  <c r="E7" i="14"/>
  <c r="E8" i="14"/>
  <c r="E10" i="14"/>
  <c r="E11" i="14"/>
  <c r="E12" i="14"/>
  <c r="E14" i="14" l="1"/>
  <c r="E13" i="14"/>
  <c r="E5" i="14"/>
  <c r="E4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tc={EA2214DE-E5ED-4BA3-B779-4C671AA758DE}</author>
  </authors>
  <commentList>
    <comment ref="I8" authorId="0" shapeId="0" xr:uid="{EA2214DE-E5ED-4BA3-B779-4C671AA758D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Relax this bound to avoid dummies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<sst xmlns="http://schemas.openxmlformats.org/spreadsheetml/2006/main" count="1147" uniqueCount="512">
  <si>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</si>
  <si>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</si>
  <si>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</si>
  <si>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</si>
  <si>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</si>
  <si>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</si>
  <si>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</si>
  <si>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</si>
  <si>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</si>
  <si>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</si>
  <si>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</si>
  <si>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</si>
  <si>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</si>
  <si>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</si>
  <si>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</si>
  <si>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</si>
  <si>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</si>
  <si>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</si>
  <si>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</si>
  <si>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</si>
  <si>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</si>
  <si>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</si>
  <si>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</si>
  <si>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</si>
  <si>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</si>
  <si>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</si>
  <si>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</si>
  <si>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</si>
  <si>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</si>
  <si>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</si>
  <si>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</si>
  <si>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</si>
  <si>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</si>
  <si>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</si>
  <si>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</si>
  <si>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</si>
  <si>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</si>
  <si>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</si>
  <si>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</si>
  <si>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</si>
  <si>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</si>
  <si>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</si>
  <si>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</si>
  <si>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</si>
  <si>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</si>
  <si>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</si>
  <si>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</si>
  <si>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</si>
  <si>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</si>
  <si>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</si>
  <si>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</si>
  <si>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</si>
  <si>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</si>
  <si>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</si>
  <si>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</si>
  <si>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</si>
  <si>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</si>
  <si>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</si>
  <si>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</si>
  <si>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</si>
  <si>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</si>
  <si>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</si>
  <si>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</si>
  <si>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</si>
  <si>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</si>
  <si>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</si>
  <si>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</si>
  <si>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</si>
  <si>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</si>
  <si>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</si>
  <si>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</si>
  <si>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</si>
  <si>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</si>
  <si>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</si>
  <si>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</si>
  <si>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</si>
  <si>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</si>
  <si>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</si>
  <si>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</si>
  <si>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</si>
  <si>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</si>
  <si>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</si>
  <si>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</si>
  <si>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</si>
  <si>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</si>
  <si>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</si>
  <si>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</si>
  <si>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</si>
  <si>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</si>
  <si>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</si>
  <si>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</si>
  <si>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</si>
  <si>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</si>
  <si>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</si>
  <si>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</si>
  <si>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</si>
  <si>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</si>
  <si>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</si>
  <si>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</si>
  <si>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</si>
  <si>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</si>
  <si>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</si>
  <si>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</si>
  <si>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</si>
  <si>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</si>
  <si>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</si>
  <si>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</si>
  <si>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</si>
  <si>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</si>
  <si>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</si>
  <si>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</si>
  <si>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</si>
  <si>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</si>
  <si>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</si>
  <si>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</si>
  <si>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</si>
  <si>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</si>
  <si>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</si>
  <si>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</si>
  <si>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</si>
  <si>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</si>
  <si>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</si>
  <si>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</si>
  <si>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</si>
  <si>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</si>
  <si>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</si>
  <si>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</si>
  <si>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</si>
  <si>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</si>
  <si>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</si>
  <si>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</si>
  <si>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</si>
  <si>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</si>
  <si>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</si>
  <si>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</si>
  <si>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</si>
  <si>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</si>
  <si>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</si>
  <si>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</si>
  <si>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</si>
  <si>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</si>
  <si>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</si>
  <si>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</si>
  <si>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</si>
  <si>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</si>
  <si>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</si>
  <si>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</si>
  <si>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</si>
  <si>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</si>
  <si>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</si>
  <si>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</si>
  <si>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</si>
  <si>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</si>
  <si>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</si>
  <si>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</si>
  <si>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</si>
  <si>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</si>
  <si>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</si>
  <si>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</si>
  <si>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</si>
  <si>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</si>
  <si>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</si>
  <si>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</si>
  <si>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</si>
  <si>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</si>
  <si>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</si>
  <si>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</si>
  <si>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</si>
  <si>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</si>
  <si>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</si>
  <si>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</si>
  <si>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</si>
  <si>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</si>
  <si>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</si>
  <si>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</si>
  <si>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</si>
  <si>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</si>
  <si>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</si>
  <si>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</si>
  <si>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</si>
  <si>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</si>
  <si>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</si>
  <si>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</si>
  <si>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</si>
  <si>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</si>
  <si>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</si>
  <si>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</si>
  <si>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</si>
  <si>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</si>
  <si>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</si>
  <si>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</si>
  <si>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</si>
  <si>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</si>
  <si>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</si>
  <si>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</si>
  <si>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</si>
  <si>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</si>
  <si>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</si>
  <si>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</si>
  <si>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</si>
  <si>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</si>
  <si>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</si>
  <si>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</si>
  <si>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</si>
  <si>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</si>
  <si>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</si>
  <si>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</si>
  <si>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</si>
  <si>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</si>
  <si>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</si>
  <si>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</si>
  <si>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</si>
  <si>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</si>
  <si>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</si>
  <si>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</si>
  <si>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</si>
  <si>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</si>
  <si>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</si>
  <si>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</si>
  <si>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</si>
  <si>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</si>
  <si>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</si>
  <si>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</si>
  <si>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</si>
  <si>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</si>
  <si>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</si>
  <si>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</si>
  <si>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</si>
  <si>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</si>
  <si>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</si>
  <si>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</si>
  <si>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</si>
  <si>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</si>
  <si>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</si>
  <si>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</si>
  <si>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</si>
  <si>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</si>
  <si>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</si>
  <si>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</si>
  <si>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</si>
  <si>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</si>
  <si>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</si>
  <si>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</si>
  <si>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</si>
  <si>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</si>
  <si>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</si>
  <si>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</si>
  <si>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</si>
  <si>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</si>
  <si>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</si>
  <si>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</si>
  <si>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</si>
  <si>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</si>
  <si>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</si>
  <si>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</si>
  <si>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</si>
  <si>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</si>
  <si>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</si>
  <si>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</si>
  <si>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</si>
  <si>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</si>
  <si>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</si>
  <si>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</si>
  <si>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</si>
  <si>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</si>
  <si>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</si>
  <si>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</si>
  <si>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</si>
  <si>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</si>
  <si>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</si>
  <si>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</si>
  <si>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</si>
  <si>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</si>
  <si>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</si>
  <si>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</si>
  <si>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</si>
  <si>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</si>
  <si>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</si>
  <si>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</si>
  <si>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</si>
  <si>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</si>
  <si>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</si>
  <si>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</si>
  <si>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</si>
  <si>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</si>
  <si>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</si>
  <si>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</si>
  <si>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</si>
  <si>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</si>
  <si>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</si>
  <si>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</si>
  <si>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</si>
  <si>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</si>
  <si>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</si>
  <si>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</si>
  <si>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</si>
  <si>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</si>
  <si>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</si>
  <si>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</si>
  <si>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</si>
  <si>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</si>
  <si>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</si>
  <si>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</si>
  <si>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</si>
  <si>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</si>
  <si>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</si>
  <si>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</si>
  <si>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</si>
  <si>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</si>
  <si>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</si>
  <si>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</si>
  <si>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</si>
  <si>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</si>
  <si>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</si>
  <si>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</si>
  <si>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</si>
  <si>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</si>
  <si>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</si>
  <si>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</si>
  <si>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</si>
  <si>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</si>
  <si>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</si>
  <si>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</si>
  <si>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</si>
  <si>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</si>
  <si>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</si>
  <si>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</si>
  <si>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</si>
  <si>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</si>
  <si>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</si>
  <si>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</si>
  <si>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</si>
  <si>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</si>
  <si>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</si>
  <si>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</si>
  <si>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</si>
  <si>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</si>
  <si>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</si>
  <si>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</si>
  <si>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</si>
  <si>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</si>
  <si>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</si>
  <si>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</si>
  <si>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</si>
  <si>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</si>
  <si>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</si>
  <si>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</si>
  <si>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</si>
  <si>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</si>
  <si>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</si>
  <si>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</si>
  <si>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</si>
  <si>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</si>
  <si>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</si>
  <si>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</si>
  <si>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</si>
  <si>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</si>
  <si>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</si>
  <si>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</si>
  <si>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</si>
  <si>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</si>
  <si>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</si>
  <si>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</si>
  <si>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</si>
  <si>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</si>
  <si>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</si>
  <si>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</si>
  <si>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</si>
  <si>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</si>
  <si>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</si>
  <si>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</si>
  <si>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</si>
  <si>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</si>
  <si>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</si>
  <si>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</si>
  <si>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</si>
  <si>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</si>
  <si>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</si>
  <si>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</si>
  <si>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</si>
  <si>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</si>
  <si>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</si>
  <si>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</si>
  <si>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</si>
  <si>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</si>
  <si>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</si>
  <si>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</si>
  <si>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</si>
  <si>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</si>
  <si>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</si>
  <si>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</si>
  <si>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</si>
  <si>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</si>
  <si>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</si>
  <si>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</si>
  <si>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</si>
  <si>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</si>
  <si>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</si>
  <si>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</si>
  <si>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</si>
  <si>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</si>
  <si>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</si>
  <si>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</si>
  <si>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</si>
  <si>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</si>
  <si>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</si>
  <si>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</si>
  <si>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</si>
  <si>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</si>
  <si>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</si>
  <si>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</si>
  <si>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</si>
  <si>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</si>
  <si>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</si>
  <si>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</si>
  <si>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</si>
  <si>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</si>
  <si>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</si>
  <si>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</si>
  <si>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</si>
  <si>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</si>
  <si>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</si>
  <si>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</si>
  <si>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</si>
  <si>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</si>
  <si>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</si>
  <si>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</si>
  <si>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</si>
  <si>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</si>
  <si>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</si>
  <si>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</si>
  <si>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</si>
  <si>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</si>
  <si>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</si>
  <si>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</si>
  <si>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</si>
  <si>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</si>
  <si>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</si>
  <si>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</si>
  <si>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</si>
  <si>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</si>
  <si>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</si>
  <si>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</si>
  <si>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</si>
  <si>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</si>
  <si>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</si>
  <si>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</si>
  <si>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</si>
  <si>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</si>
  <si>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</si>
  <si>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</si>
  <si>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</si>
  <si>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</si>
  <si>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</si>
  <si>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</si>
  <si>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</si>
  <si>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</si>
  <si>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</si>
  <si>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</si>
  <si>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</si>
  <si>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</si>
  <si>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</si>
  <si>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</si>
  <si>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</si>
  <si>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</si>
  <si>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</si>
  <si>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</si>
  <si>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</si>
  <si>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</si>
  <si>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</si>
  <si>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</si>
  <si>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</si>
  <si>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</si>
  <si>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</si>
  <si>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</si>
  <si>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</si>
  <si>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</si>
  <si>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</si>
  <si>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</si>
  <si>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</si>
  <si>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</si>
  <si>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</si>
  <si>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</si>
  <si>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</si>
  <si>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</si>
  <si>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</si>
  <si>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</si>
  <si>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</si>
  <si>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</si>
  <si>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</si>
  <si>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</si>
  <si>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</si>
  <si>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</si>
  <si>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</si>
  <si>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</si>
  <si>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</si>
  <si>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</si>
  <si>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</si>
  <si>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</si>
  <si>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</si>
  <si>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</si>
  <si>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</si>
  <si>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</si>
  <si>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</si>
  <si>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</si>
  <si>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</si>
  <si>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</si>
  <si>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</si>
  <si>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</si>
  <si>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</si>
  <si>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UC_Historic_TRAELC-cons_Multi</t>
  </si>
  <si>
    <t>Historic electricity consumption in TRA -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</si>
</sst>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2" fontId="0" fillId="18" borderId="0" xfId="0" applyNumberFormat="1" applyFill="1"/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EBAA6E2-D3EC-429B-B80A-AFBE5C02E27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2-09-16T03:05:16.52" personId="{0EBAA6E2-D3EC-429B-B80A-AFBE5C02E277}" id="{EA2214DE-E5ED-4BA3-B779-4C671AA758DE}">
    <text>Relax this bound to avoid dummies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7" t="s">
        <v>404</v>
      </c>
      <c r="B16" s="387"/>
      <c r="C16" s="387"/>
      <c r="D16" s="387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6" t="s">
        <v>416</v>
      </c>
      <c r="C19" s="386"/>
      <c r="D19" s="386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6" t="s">
        <v>419</v>
      </c>
      <c r="C20" s="386"/>
      <c r="D20" s="386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6" t="s">
        <v>418</v>
      </c>
      <c r="C23" s="386"/>
      <c r="D23" s="386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6" t="s">
        <v>417</v>
      </c>
      <c r="C24" s="386"/>
      <c r="D24" s="386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6" t="s">
        <v>418</v>
      </c>
      <c r="C26" s="386"/>
      <c r="D26" s="386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8" t="s">
        <v>412</v>
      </c>
      <c r="C30" s="386"/>
      <c r="D30" s="386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6" t="s">
        <v>414</v>
      </c>
      <c r="C31" s="386"/>
      <c r="D31" s="386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5"/>
  <sheetViews>
    <sheetView workbookViewId="0">
      <selection activeCell="I25" sqref="I25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9" t="str">
        <f>"~UC_Sets: R_E: "  &amp; _xlfn.TEXTJOIN(",",TRUE,Regions!C3,Regions!D3)</f>
        <v>~UC_Sets: R_E: IE,National</v>
      </c>
    </row>
    <row r="3" spans="1:11">
      <c r="B3" s="379" t="s">
        <v>459</v>
      </c>
    </row>
    <row r="4" spans="1:11">
      <c r="H4" t="str">
        <f>IF(RIGHT(B2,1)&lt;&gt;" ","~UC_T","")</f>
        <v>~UC_T</v>
      </c>
    </row>
    <row r="5" spans="1:11">
      <c r="B5" s="380" t="s">
        <v>461</v>
      </c>
      <c r="C5" s="381" t="s">
        <v>474</v>
      </c>
      <c r="D5" s="381" t="s">
        <v>492</v>
      </c>
      <c r="E5" s="381" t="s">
        <v>225</v>
      </c>
      <c r="F5" s="381" t="s">
        <v>226</v>
      </c>
      <c r="G5" s="381" t="s">
        <v>227</v>
      </c>
      <c r="H5" s="381" t="s">
        <v>486</v>
      </c>
      <c r="I5" s="382" t="s">
        <v>488</v>
      </c>
      <c r="J5" s="383" t="s">
        <v>462</v>
      </c>
      <c r="K5" s="38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4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5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5">
        <f>Conversions!$B$2*'EB2019'!$AO$3</f>
        <v>7.8478965511531191</v>
      </c>
    </row>
    <row r="9" spans="1:11">
      <c r="F9">
        <v>2020</v>
      </c>
      <c r="G9" t="s">
        <v>223</v>
      </c>
      <c r="J9" s="385">
        <f>Conversions!$B$2*'EB2020'!$AO$3</f>
        <v>6.3411436804464003</v>
      </c>
    </row>
    <row r="10" spans="1:11">
      <c r="F10">
        <v>2021</v>
      </c>
      <c r="G10" t="s">
        <v>223</v>
      </c>
      <c r="J10" s="385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504</v>
      </c>
      <c r="C12" t="s">
        <v>493</v>
      </c>
      <c r="D12" t="s">
        <v>494</v>
      </c>
      <c r="E12" t="s">
        <v>496</v>
      </c>
      <c r="F12">
        <v>2018</v>
      </c>
      <c r="G12" t="s">
        <v>223</v>
      </c>
      <c r="H12" t="s">
        <v>498</v>
      </c>
      <c r="I12">
        <v>1</v>
      </c>
      <c r="J12" s="385">
        <f>Conversions!$B$2*'EB2018'!$AO$4</f>
        <v>5.9383641411770398</v>
      </c>
      <c r="K12" t="s">
        <v>491</v>
      </c>
    </row>
    <row r="13" spans="1:11">
      <c r="F13">
        <v>2019</v>
      </c>
      <c r="G13" t="s">
        <v>223</v>
      </c>
      <c r="J13" s="385">
        <f>Conversions!$B$2*'EB2019'!$AO$4</f>
        <v>5.5271334489739186</v>
      </c>
    </row>
    <row r="14" spans="1:11">
      <c r="F14">
        <v>2020</v>
      </c>
      <c r="G14" t="s">
        <v>223</v>
      </c>
      <c r="J14" s="385">
        <f>Conversions!$B$2*'EB2020'!$AO$4</f>
        <v>6.8879157977152801</v>
      </c>
    </row>
    <row r="15" spans="1:11">
      <c r="F15">
        <v>2021</v>
      </c>
      <c r="G15" t="s">
        <v>223</v>
      </c>
      <c r="J15" s="385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  <row r="19" spans="2:11">
      <c r="H19" t="s">
        <v>460</v>
      </c>
    </row>
    <row r="20" spans="2:11">
      <c r="B20" s="380" t="s">
        <v>461</v>
      </c>
      <c r="C20" s="381" t="s">
        <v>474</v>
      </c>
      <c r="D20" s="381" t="s">
        <v>492</v>
      </c>
      <c r="E20" s="381" t="s">
        <v>225</v>
      </c>
      <c r="F20" s="381" t="s">
        <v>226</v>
      </c>
      <c r="G20" s="381" t="s">
        <v>227</v>
      </c>
      <c r="H20" s="381" t="s">
        <v>486</v>
      </c>
      <c r="I20" t="s">
        <v>499</v>
      </c>
      <c r="J20" s="383" t="s">
        <v>462</v>
      </c>
      <c r="K20" s="380" t="s">
        <v>463</v>
      </c>
    </row>
    <row r="21" spans="2:11">
      <c r="B21" t="s">
        <v>503</v>
      </c>
      <c r="C21" t="s">
        <v>500</v>
      </c>
      <c r="F21">
        <v>2018</v>
      </c>
      <c r="G21" t="s">
        <v>501</v>
      </c>
      <c r="I21">
        <v>1</v>
      </c>
      <c r="J21" s="19">
        <f>Conversions!$B$2*'EB2018'!$AH$2</f>
        <v>0.70393223471436184</v>
      </c>
      <c r="K21" t="s">
        <v>502</v>
      </c>
    </row>
    <row r="22" spans="2:11">
      <c r="F22">
        <v>2019</v>
      </c>
      <c r="G22" t="s">
        <v>501</v>
      </c>
      <c r="J22" s="19">
        <f>Conversions!$B$2*'EB2019'!$AH$2</f>
        <v>0.78962633124536741</v>
      </c>
    </row>
    <row r="23" spans="2:11">
      <c r="F23">
        <v>2020</v>
      </c>
      <c r="G23" t="s">
        <v>501</v>
      </c>
      <c r="J23" s="19">
        <f>Conversions!$B$2*'EB2020'!$AH$2</f>
        <v>0.87833840712769273</v>
      </c>
    </row>
    <row r="24" spans="2:11">
      <c r="F24">
        <v>2021</v>
      </c>
      <c r="G24" t="s">
        <v>501</v>
      </c>
      <c r="J24" s="19">
        <f>Conversions!$B$2*'EB2021'!$AH$2</f>
        <v>0.94933194191684911</v>
      </c>
    </row>
    <row r="25" spans="2:11">
      <c r="F25">
        <v>0</v>
      </c>
      <c r="G25" t="s">
        <v>501</v>
      </c>
      <c r="J2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Q6" sqref="Q6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8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6" t="s">
        <v>466</v>
      </c>
      <c r="C8" s="376" t="s">
        <v>467</v>
      </c>
      <c r="D8" s="376">
        <v>2019</v>
      </c>
      <c r="E8" s="376" t="s">
        <v>223</v>
      </c>
      <c r="F8" s="376">
        <v>1</v>
      </c>
      <c r="G8" s="377">
        <f>4.015-0.025</f>
        <v>3.9899999999999998</v>
      </c>
      <c r="H8" s="376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5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5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5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6" t="s">
        <v>469</v>
      </c>
      <c r="C13" s="376" t="s">
        <v>472</v>
      </c>
      <c r="D13" s="376">
        <v>2019</v>
      </c>
      <c r="E13" s="376" t="s">
        <v>223</v>
      </c>
      <c r="F13" s="376">
        <v>1</v>
      </c>
      <c r="G13" s="377">
        <v>0.02</v>
      </c>
      <c r="H13" s="376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5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5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5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F18" sqref="F18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I8" sqref="I8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4"/>
  <sheetViews>
    <sheetView workbookViewId="0">
      <selection activeCell="Q5" sqref="Q5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216</v>
      </c>
      <c r="D4" t="s">
        <v>200</v>
      </c>
      <c r="E4" s="19" t="str">
        <f>_xlfn.TEXTJOIN(",",TRUE,Regions!$C$3:$D$3)</f>
        <v>IE,National</v>
      </c>
      <c r="F4" s="19">
        <f>ROUNDUP(Conversions!$B$2*SUM('EB2018'!$AI$57),1)</f>
        <v>0</v>
      </c>
      <c r="G4" s="19">
        <f>ROUNDUP(Conversions!$B$2*SUM('EB2019'!$AI$57),1)</f>
        <v>0</v>
      </c>
      <c r="H4" s="19">
        <f>ROUNDUP(Conversions!$B$2*SUM('EB2020'!$AI$57),1)</f>
        <v>0</v>
      </c>
      <c r="I4" s="19">
        <f>ROUNDUP(Conversions!$B$2*SUM('EB2021'!$AI$57),1)</f>
        <v>0</v>
      </c>
      <c r="J4">
        <v>1</v>
      </c>
    </row>
    <row r="5" spans="2:10">
      <c r="C5" t="s">
        <v>210</v>
      </c>
      <c r="D5" t="s">
        <v>200</v>
      </c>
      <c r="E5" s="19" t="str">
        <f>_xlfn.TEXTJOIN(",",TRUE,Regions!$C$3:$D$3)</f>
        <v>IE,National</v>
      </c>
      <c r="F5" s="19">
        <f>ROUNDUP(Conversions!$B$2*SUM('EB2018'!$AH$57),1)</f>
        <v>0.30000000000000004</v>
      </c>
      <c r="G5" s="19">
        <f>ROUNDUP(Conversions!$B$2*SUM('EB2019'!$AH$57),1)</f>
        <v>0.30000000000000004</v>
      </c>
      <c r="H5" s="19">
        <f>ROUNDUP(Conversions!$B$2*SUM('EB2020'!$AH$57),1)</f>
        <v>0.30000000000000004</v>
      </c>
      <c r="I5" s="19">
        <f>ROUNDUP(Conversions!$B$2*SUM('EB2021'!$AH$57),1)</f>
        <v>0.30000000000000004</v>
      </c>
      <c r="J5">
        <v>1</v>
      </c>
    </row>
    <row r="6" spans="2:10">
      <c r="C6" t="s">
        <v>211</v>
      </c>
      <c r="D6" t="s">
        <v>200</v>
      </c>
      <c r="E6" s="19" t="str">
        <f>_xlfn.TEXTJOIN(",",TRUE,Regions!$C$3:$D$3)</f>
        <v>IE,National</v>
      </c>
      <c r="F6" s="19">
        <f>ROUNDUP(Conversions!$B$2*SUM('EB2018'!$AE$57),1)</f>
        <v>0.79999999999999993</v>
      </c>
      <c r="G6" s="19">
        <f>ROUNDUP(Conversions!$B$2*SUM('EB2019'!$AE$57),1)</f>
        <v>0.6</v>
      </c>
      <c r="H6" s="19">
        <f>ROUNDUP(Conversions!$B$2*SUM('EB2020'!$AE$57),1)</f>
        <v>0.7</v>
      </c>
      <c r="I6" s="19">
        <f>ROUNDUP(Conversions!$B$2*SUM('EB2021'!$AE$57),1)</f>
        <v>0.79999999999999993</v>
      </c>
      <c r="J6">
        <v>1</v>
      </c>
    </row>
    <row r="7" spans="2:10">
      <c r="C7" t="s">
        <v>212</v>
      </c>
      <c r="D7" t="s">
        <v>200</v>
      </c>
      <c r="E7" s="19" t="str">
        <f>_xlfn.TEXTJOIN(",",TRUE,Regions!$C$3:$D$3)</f>
        <v>IE,National</v>
      </c>
      <c r="F7" s="19">
        <f>ROUNDUP(Conversions!$B$2*SUM('EB2018'!$C$57),1)</f>
        <v>0.1</v>
      </c>
      <c r="G7" s="19">
        <f>ROUNDUP(Conversions!$B$2*SUM('EB2019'!$C$57),1)</f>
        <v>0.1</v>
      </c>
      <c r="H7" s="19">
        <f>ROUNDUP(Conversions!$B$2*SUM('EB2020'!$C$57),1)</f>
        <v>0.1</v>
      </c>
      <c r="I7" s="19">
        <f>ROUNDUP(Conversions!$B$2*SUM('EB2021'!$C$57),1)</f>
        <v>0.1</v>
      </c>
      <c r="J7">
        <v>1</v>
      </c>
    </row>
    <row r="8" spans="2:10">
      <c r="C8" t="s">
        <v>217</v>
      </c>
      <c r="D8" t="s">
        <v>200</v>
      </c>
      <c r="E8" s="19" t="str">
        <f>_xlfn.TEXTJOIN(",",TRUE,Regions!$C$3:$D$3)</f>
        <v>IE,National</v>
      </c>
      <c r="F8" s="19">
        <f>ROUNDUP(Conversions!$B$2*SUM('EB2018'!$AO$57),1)</f>
        <v>45.2</v>
      </c>
      <c r="G8" s="19">
        <f>ROUNDUP(Conversions!$B$2*SUM('EB2019'!$AO$57),1)</f>
        <v>46.9</v>
      </c>
      <c r="H8" s="19">
        <f>ROUNDUP(Conversions!$B$2*SUM('EB2020'!$AO$57),1)</f>
        <v>47.1</v>
      </c>
      <c r="I8" s="374">
        <f>ROUNDUP(Conversions!$B$2*SUM('EB2021'!$AO$57),1)+0.8</f>
        <v>50.699999999999996</v>
      </c>
      <c r="J8">
        <v>1</v>
      </c>
    </row>
    <row r="9" spans="2:10">
      <c r="C9" t="s">
        <v>220</v>
      </c>
      <c r="D9" t="s">
        <v>200</v>
      </c>
      <c r="E9" s="19" t="str">
        <f>_xlfn.TEXTJOIN(",",TRUE,Regions!$C$3:$D$3)</f>
        <v>IE,National</v>
      </c>
      <c r="F9" s="19">
        <f>ROUNDUP(Conversions!$B$2*SUM('EB2018'!$AJ$57),1)</f>
        <v>0</v>
      </c>
      <c r="G9" s="19">
        <f>ROUNDUP(Conversions!$B$2*SUM('EB2019'!$AJ$57),1)</f>
        <v>0</v>
      </c>
      <c r="H9" s="19">
        <f>ROUNDUP(Conversions!$B$2*SUM('EB2020'!$AJ$57),1)</f>
        <v>0</v>
      </c>
      <c r="I9" s="19">
        <f>ROUNDUP(Conversions!$B$2*SUM('EB2021'!$AJ$57),1)</f>
        <v>0</v>
      </c>
      <c r="J9">
        <v>1</v>
      </c>
    </row>
    <row r="10" spans="2:10">
      <c r="C10" t="s">
        <v>213</v>
      </c>
      <c r="D10" t="s">
        <v>200</v>
      </c>
      <c r="E10" s="19" t="str">
        <f>_xlfn.TEXTJOIN(",",TRUE,Regions!$C$3:$D$3)</f>
        <v>IE,National</v>
      </c>
      <c r="F10" s="19">
        <f>ROUNDUP(Conversions!$B$2*SUM('EB2018'!$AA$57),1)</f>
        <v>13.799999999999999</v>
      </c>
      <c r="G10" s="19">
        <f>ROUNDUP(Conversions!$B$2*SUM('EB2019'!$AA$57),1)</f>
        <v>14.2</v>
      </c>
      <c r="H10" s="19">
        <f>ROUNDUP(Conversions!$B$2*SUM('EB2020'!$AA$57),1)</f>
        <v>14.7</v>
      </c>
      <c r="I10" s="19">
        <f>ROUNDUP(Conversions!$B$2*SUM('EB2021'!$AA$57),1)</f>
        <v>14.1</v>
      </c>
      <c r="J10">
        <v>1</v>
      </c>
    </row>
    <row r="11" spans="2:10">
      <c r="C11" t="s">
        <v>219</v>
      </c>
      <c r="D11" t="s">
        <v>200</v>
      </c>
      <c r="E11" s="19" t="str">
        <f>_xlfn.TEXTJOIN(",",TRUE,Regions!$C$3:$D$3)</f>
        <v>IE,National</v>
      </c>
      <c r="F11" s="19">
        <f>ROUNDUP(Conversions!$B$2*SUM('EB2018'!$AP$57),1)</f>
        <v>0</v>
      </c>
      <c r="G11" s="19">
        <f>ROUNDUP(Conversions!$B$2*SUM('EB2019'!$AP$57),1)</f>
        <v>0</v>
      </c>
      <c r="H11" s="19">
        <f>ROUNDUP(Conversions!$B$2*SUM('EB2020'!$AP$57),1)</f>
        <v>0</v>
      </c>
      <c r="I11" s="19">
        <f>ROUNDUP(Conversions!$B$2*SUM('EB2021'!$AP$57),1)</f>
        <v>0</v>
      </c>
      <c r="J11">
        <v>1</v>
      </c>
    </row>
    <row r="12" spans="2:10">
      <c r="C12" t="s">
        <v>218</v>
      </c>
      <c r="D12" t="s">
        <v>200</v>
      </c>
      <c r="E12" s="19" t="str">
        <f>_xlfn.TEXTJOIN(",",TRUE,Regions!$C$3:$D$3)</f>
        <v>IE,National</v>
      </c>
      <c r="F12" s="19">
        <f>ROUNDUP(Conversions!$B$2*SUM('EB2018'!$T$57),1)</f>
        <v>3</v>
      </c>
      <c r="G12" s="19">
        <f>ROUNDUP(Conversions!$B$2*SUM('EB2019'!$T$57),1)</f>
        <v>3</v>
      </c>
      <c r="H12" s="19">
        <f>ROUNDUP(Conversions!$B$2*SUM('EB2020'!$T$57),1)</f>
        <v>2.8000000000000003</v>
      </c>
      <c r="I12" s="19">
        <f>ROUNDUP(Conversions!$B$2*SUM('EB2021'!$T$57),1)</f>
        <v>3</v>
      </c>
      <c r="J12">
        <v>1</v>
      </c>
    </row>
    <row r="13" spans="2:10">
      <c r="C13" t="s">
        <v>215</v>
      </c>
      <c r="D13" t="s">
        <v>200</v>
      </c>
      <c r="E13" s="19" t="str">
        <f>_xlfn.TEXTJOIN(",",TRUE,Regions!$C$3:$D$3)</f>
        <v>IE,National</v>
      </c>
      <c r="F13" s="19">
        <f>ROUNDUP(Conversions!$B$2*SUM('EB2018'!$Q$57,'EB2018'!$S$57,'EB2018'!$U$57),1)</f>
        <v>7.1999999999999993</v>
      </c>
      <c r="G13" s="19">
        <f>ROUNDUP(Conversions!$B$2*SUM('EB2019'!$Q$57,'EB2019'!$S$57,'EB2019'!$U$57),1)</f>
        <v>6.3999999999999995</v>
      </c>
      <c r="H13" s="19">
        <f>ROUNDUP(Conversions!$B$2*SUM('EB2020'!$Q$57,'EB2020'!$S$57,'EB2020'!$U$57),1)</f>
        <v>6.8999999999999995</v>
      </c>
      <c r="I13" s="19">
        <f>ROUNDUP(Conversions!$B$2*SUM('EB2021'!$Q$57,'EB2021'!$S$57,'EB2021'!$U$57),1)</f>
        <v>6.5</v>
      </c>
      <c r="J13">
        <v>1</v>
      </c>
    </row>
    <row r="14" spans="2:10">
      <c r="C14" t="s">
        <v>214</v>
      </c>
      <c r="D14" t="s">
        <v>200</v>
      </c>
      <c r="E14" s="19" t="str">
        <f>_xlfn.TEXTJOIN(",",TRUE,Regions!$C$3:$D$3)</f>
        <v>IE,National</v>
      </c>
      <c r="F14" s="19">
        <f>ROUNDUP(Conversions!$B$2*SUM('EB2018'!$AL$57),1)</f>
        <v>0.1</v>
      </c>
      <c r="G14" s="19">
        <f>ROUNDUP(Conversions!$B$2*SUM('EB2019'!$AL$57),1)</f>
        <v>0.1</v>
      </c>
      <c r="H14" s="19">
        <f>ROUNDUP(Conversions!$B$2*SUM('EB2020'!$AL$57),1)</f>
        <v>0.1</v>
      </c>
      <c r="I14" s="19">
        <f>ROUNDUP(Conversions!$B$2*SUM('EB2021'!$AL$57),1)</f>
        <v>0.1</v>
      </c>
      <c r="J14">
        <v>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17"/>
  <sheetViews>
    <sheetView tabSelected="1" workbookViewId="0">
      <selection activeCell="L14" sqref="L14"/>
    </sheetView>
  </sheetViews>
  <sheetFormatPr defaultRowHeight="15"/>
  <cols>
    <col min="2" max="2" width="28" customWidth="1"/>
    <col min="3" max="3" width="11.8554687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9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9" t="s">
        <v>459</v>
      </c>
    </row>
    <row r="4" spans="2:10">
      <c r="G4" t="str">
        <f>IF(RIGHT(B2,1)&lt;&gt;" ","~UC_T","")</f>
        <v>~UC_T</v>
      </c>
    </row>
    <row r="5" spans="2:10">
      <c r="B5" s="380" t="s">
        <v>461</v>
      </c>
      <c r="C5" s="381" t="s">
        <v>474</v>
      </c>
      <c r="D5" s="381" t="s">
        <v>475</v>
      </c>
      <c r="E5" s="381" t="s">
        <v>225</v>
      </c>
      <c r="F5" s="381" t="s">
        <v>226</v>
      </c>
      <c r="G5" s="381" t="s">
        <v>227</v>
      </c>
      <c r="H5" s="382" t="s">
        <v>499</v>
      </c>
      <c r="I5" s="383" t="s">
        <v>480</v>
      </c>
      <c r="J5" s="380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">
        <v>510</v>
      </c>
      <c r="C7" t="s">
        <v>509</v>
      </c>
      <c r="F7">
        <v>2018</v>
      </c>
      <c r="G7" t="s">
        <v>501</v>
      </c>
      <c r="H7">
        <v>1</v>
      </c>
      <c r="I7" s="19">
        <f>F17</f>
        <v>0.38300000000000006</v>
      </c>
      <c r="J7" t="s">
        <v>511</v>
      </c>
    </row>
    <row r="8" spans="2:10">
      <c r="F8">
        <v>2019</v>
      </c>
      <c r="G8" t="s">
        <v>501</v>
      </c>
      <c r="I8" s="19">
        <f>G17</f>
        <v>0.30000000000000004</v>
      </c>
    </row>
    <row r="9" spans="2:10">
      <c r="F9">
        <v>2020</v>
      </c>
      <c r="G9" t="s">
        <v>501</v>
      </c>
      <c r="I9" s="19">
        <f>H17</f>
        <v>0.30000000000000004</v>
      </c>
    </row>
    <row r="10" spans="2:10">
      <c r="F10">
        <v>2021</v>
      </c>
      <c r="G10" t="s">
        <v>501</v>
      </c>
      <c r="I10" s="19">
        <f>I17</f>
        <v>0.5</v>
      </c>
    </row>
    <row r="11" spans="2:10">
      <c r="F11">
        <v>0</v>
      </c>
      <c r="I11">
        <f>VLOOKUP("Value", 'CO2-config'!$B$4:$D$14,MATCH($F11,'CO2-config'!$B$6:$D$6,),FALSE)</f>
        <v>1</v>
      </c>
    </row>
    <row r="15" spans="2:10">
      <c r="B15" s="28" t="s">
        <v>199</v>
      </c>
      <c r="D15" s="18"/>
    </row>
    <row r="16" spans="2:10" ht="15.75" thickBot="1">
      <c r="B16" s="29" t="s">
        <v>227</v>
      </c>
      <c r="C16" s="29" t="s">
        <v>197</v>
      </c>
      <c r="D16" s="29" t="s">
        <v>198</v>
      </c>
      <c r="E16" s="29" t="s">
        <v>156</v>
      </c>
      <c r="F16" s="29">
        <v>2018</v>
      </c>
      <c r="G16" s="29">
        <v>2019</v>
      </c>
      <c r="H16" s="29">
        <v>2020</v>
      </c>
      <c r="I16" s="29">
        <v>2021</v>
      </c>
      <c r="J16" s="29">
        <v>0</v>
      </c>
    </row>
    <row r="17" spans="3:10">
      <c r="C17" t="s">
        <v>507</v>
      </c>
      <c r="D17" t="s">
        <v>200</v>
      </c>
      <c r="E17" s="19" t="str">
        <f>_xlfn.TEXTJOIN(",",TRUE,Regions!$C$3)</f>
        <v>IE</v>
      </c>
      <c r="F17" s="378">
        <f>ROUNDUP(Conversions!$B$2*SUM('EB2018'!$AO$45),1)+0.083</f>
        <v>0.38300000000000006</v>
      </c>
      <c r="G17" s="19">
        <f>ROUNDUP(Conversions!$B$2*SUM('EB2019'!$AO$45),1)</f>
        <v>0.30000000000000004</v>
      </c>
      <c r="H17" s="19">
        <f>ROUNDUP(Conversions!$B$2*SUM('EB2020'!$AO$45),1)</f>
        <v>0.30000000000000004</v>
      </c>
      <c r="I17" s="19">
        <f>ROUNDUP(Conversions!$B$2*SUM('EB2021'!$AO$45),1)</f>
        <v>0.5</v>
      </c>
      <c r="J17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U24" sqref="U2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9" t="str">
        <f>"~UC_Sets: R_E: "  &amp; _xlfn.TEXTJOIN(",",TRUE,Regions!C3)</f>
        <v>~UC_Sets: R_E: IE</v>
      </c>
    </row>
    <row r="3" spans="1:11">
      <c r="B3" s="379" t="s">
        <v>459</v>
      </c>
    </row>
    <row r="4" spans="1:11">
      <c r="G4" t="str">
        <f>IF(RIGHT(B2,1)&lt;&gt;" ","~UC_T","")</f>
        <v>~UC_T</v>
      </c>
    </row>
    <row r="5" spans="1:11">
      <c r="B5" s="380" t="s">
        <v>461</v>
      </c>
      <c r="C5" s="381" t="s">
        <v>474</v>
      </c>
      <c r="D5" s="381" t="s">
        <v>475</v>
      </c>
      <c r="E5" s="381" t="s">
        <v>225</v>
      </c>
      <c r="F5" s="381" t="s">
        <v>226</v>
      </c>
      <c r="G5" s="381" t="s">
        <v>227</v>
      </c>
      <c r="H5" s="382" t="s">
        <v>476</v>
      </c>
      <c r="I5" s="382" t="s">
        <v>477</v>
      </c>
      <c r="J5" s="383" t="s">
        <v>462</v>
      </c>
      <c r="K5" s="38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4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9" t="s">
        <v>459</v>
      </c>
    </row>
    <row r="4" spans="1:11">
      <c r="G4" t="str">
        <f>IF(RIGHT(B2,1)&lt;&gt;" ","~UC_T","")</f>
        <v>~UC_T</v>
      </c>
    </row>
    <row r="5" spans="1:11">
      <c r="B5" s="380" t="s">
        <v>461</v>
      </c>
      <c r="C5" s="381" t="s">
        <v>474</v>
      </c>
      <c r="D5" s="381" t="s">
        <v>475</v>
      </c>
      <c r="E5" s="381" t="s">
        <v>225</v>
      </c>
      <c r="F5" s="381" t="s">
        <v>226</v>
      </c>
      <c r="G5" s="381" t="s">
        <v>227</v>
      </c>
      <c r="H5" s="382" t="s">
        <v>476</v>
      </c>
      <c r="I5" s="382" t="s">
        <v>477</v>
      </c>
      <c r="J5" s="383" t="s">
        <v>480</v>
      </c>
      <c r="K5" s="38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89" t="s">
        <v>382</v>
      </c>
      <c r="C49" s="389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R23" activePane="bottomRight" state="frozen"/>
      <selection activeCell="C3" sqref="C3"/>
      <selection pane="topRight" activeCell="C3" sqref="C3"/>
      <selection pane="bottomLeft" activeCell="C3" sqref="C3"/>
      <selection pane="bottomRight" activeCell="AO30" sqref="AO30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2" activePane="bottomRight" state="frozen"/>
      <selection activeCell="AJ80" sqref="AJ80"/>
      <selection pane="topRight" activeCell="AJ80" sqref="AJ80"/>
      <selection pane="bottomLeft" activeCell="AJ80" sqref="AJ80"/>
      <selection pane="bottomRight" activeCell="S10" sqref="S10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K33" sqref="AK33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P45" sqref="AP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2022-09-30T02:38:58Z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154155910015106</vt:r8>
  </property>
</Properties>
</file>