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A17C06B-21A3-4542-9056-0F3E558444DB}" xr6:coauthVersionLast="47" xr6:coauthVersionMax="47" xr10:uidLastSave="{00000000-0000-0000-0000-000000000000}"/>
  <bookViews>
    <workbookView xWindow="-98" yWindow="-98" windowWidth="20715" windowHeight="1315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L11" i="22"/>
  <c r="K11" i="22"/>
  <c r="I11" i="22"/>
  <c r="H11" i="22"/>
  <c r="G11" i="22"/>
  <c r="F11" i="22"/>
  <c r="D11" i="22"/>
  <c r="C11" i="22"/>
  <c r="B11" i="22"/>
  <c r="J10" i="22"/>
  <c r="F10" i="22"/>
  <c r="E10" i="22"/>
  <c r="D10" i="22"/>
  <c r="C10" i="22"/>
  <c r="L9" i="22"/>
  <c r="K9" i="22"/>
  <c r="I9" i="22"/>
  <c r="H9" i="22"/>
  <c r="G9" i="22"/>
  <c r="F9" i="22"/>
  <c r="D9" i="22"/>
  <c r="C9" i="22"/>
  <c r="B9" i="22"/>
  <c r="J8" i="22"/>
  <c r="F8" i="22"/>
  <c r="E8" i="22"/>
  <c r="D8" i="22"/>
  <c r="C8" i="22"/>
  <c r="L7" i="22"/>
  <c r="K7" i="22"/>
  <c r="I7" i="22"/>
  <c r="H7" i="22"/>
  <c r="G7" i="22"/>
  <c r="F7" i="22"/>
  <c r="D7" i="22"/>
  <c r="C7" i="22"/>
  <c r="B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L11" i="21"/>
  <c r="K11" i="21"/>
  <c r="I11" i="21"/>
  <c r="H11" i="21"/>
  <c r="G11" i="21"/>
  <c r="F11" i="21"/>
  <c r="D11" i="21"/>
  <c r="C11" i="21"/>
  <c r="B11" i="21"/>
  <c r="J10" i="21"/>
  <c r="F10" i="21"/>
  <c r="E10" i="21"/>
  <c r="D10" i="21"/>
  <c r="C10" i="21"/>
  <c r="L9" i="21"/>
  <c r="K9" i="21"/>
  <c r="I9" i="21"/>
  <c r="H9" i="21"/>
  <c r="G9" i="21"/>
  <c r="F9" i="21"/>
  <c r="D9" i="21"/>
  <c r="C9" i="21"/>
  <c r="B9" i="21"/>
  <c r="J8" i="21"/>
  <c r="F8" i="21"/>
  <c r="E8" i="21"/>
  <c r="D8" i="21"/>
  <c r="C8" i="21"/>
  <c r="L7" i="21"/>
  <c r="K7" i="21"/>
  <c r="I7" i="21"/>
  <c r="H7" i="21"/>
  <c r="G7" i="21"/>
  <c r="F7" i="21"/>
  <c r="D7" i="21"/>
  <c r="C7" i="21"/>
  <c r="B7" i="21"/>
  <c r="F4" i="20"/>
  <c r="F5" i="20"/>
  <c r="D4" i="20"/>
  <c r="E4" i="20"/>
  <c r="D5" i="20"/>
  <c r="E5" i="20"/>
  <c r="C5" i="20"/>
  <c r="C4" i="20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<sst xmlns="http://schemas.openxmlformats.org/spreadsheetml/2006/main" count="151" uniqueCount="110">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</sst>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4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4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4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4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4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4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4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4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4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4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4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4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4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4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45">
      <c r="A16" s="36" t="s">
        <v>91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4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4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45">
      <c r="A19" s="27" t="s">
        <v>92</v>
      </c>
      <c r="B19" s="35" t="s">
        <v>105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45">
      <c r="A20" s="27" t="s">
        <v>93</v>
      </c>
      <c r="B20" s="35" t="s">
        <v>103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45">
      <c r="A21" s="27" t="s">
        <v>94</v>
      </c>
      <c r="B21" s="30" t="s">
        <v>109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4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45">
      <c r="A23" s="27" t="s">
        <v>95</v>
      </c>
      <c r="B23" s="35" t="s">
        <v>104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45">
      <c r="A24" s="27"/>
      <c r="B24" s="30"/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4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45">
      <c r="A26" s="27" t="s">
        <v>96</v>
      </c>
      <c r="B26" s="35" t="s">
        <v>104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4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4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45">
      <c r="A29" s="27" t="s">
        <v>97</v>
      </c>
      <c r="B29" s="31"/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45">
      <c r="A30" s="27" t="s">
        <v>98</v>
      </c>
      <c r="B30" s="37" t="s">
        <v>99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45">
      <c r="A31" s="27" t="s">
        <v>100</v>
      </c>
      <c r="B31" s="35" t="s">
        <v>101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45">
      <c r="A32" s="33"/>
      <c r="B32" s="34" t="s">
        <v>102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4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4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4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4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4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4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4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4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4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4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4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4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4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4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4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4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4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4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4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4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4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4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4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4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4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4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4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4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4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4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4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4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4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4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4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4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4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4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4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4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4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4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4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4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4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4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4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4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4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4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4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4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4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4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4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4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4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4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4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4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4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4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4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4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4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4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7"/>
  <sheetViews>
    <sheetView workbookViewId="0">
      <selection activeCell="F13" sqref="F13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30.1328125" style="8" bestFit="1" customWidth="1"/>
    <col min="4" max="4" width="28" style="8" bestFit="1" customWidth="1"/>
    <col min="5" max="5" width="25.9296875" style="8" bestFit="1" customWidth="1"/>
    <col min="6" max="6" width="27.9296875" style="8" bestFit="1" customWidth="1"/>
    <col min="7" max="12" width="9.1328125" style="8"/>
    <col min="13" max="13" width="10.59765625" style="8" bestFit="1" customWidth="1"/>
    <col min="14" max="14" width="12" style="8" bestFit="1" customWidth="1"/>
    <col min="15" max="16384" width="9.1328125" style="8"/>
  </cols>
  <sheetData>
    <row r="1" spans="1:17" x14ac:dyDescent="0.4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45">
      <c r="A4"/>
      <c r="B4" t="s">
        <v>61</v>
      </c>
      <c r="C4" s="8" t="str">
        <f xml:space="preserve"> _xlfn.TEXTJOIN("_",TRUE,"UC","CB",ROUND(C7,0),"Mt",C6)</f>
        <v>UC_CB_170_Mt_2021-2025</v>
      </c>
      <c r="D4" s="8" t="str">
        <f t="shared" ref="D4:E4" si="0" xml:space="preserve"> _xlfn.TEXTJOIN("_",TRUE,"UC","CB",ROUND(D7,0),"Mt",D6)</f>
        <v>UC_CB_104_Mt_2026-2030</v>
      </c>
      <c r="E4" s="8" t="str">
        <f t="shared" si="0"/>
        <v>UC_CB_104_Mt_2031-2050</v>
      </c>
      <c r="F4" s="8" t="str">
        <f t="shared" ref="F4" si="1" xml:space="preserve"> _xlfn.TEXTJOIN("_",TRUE,"UC","CB",ROUND(F7,0),"Mt",F6)</f>
        <v>UC_CB_0_Mt_2051-2100</v>
      </c>
      <c r="G4"/>
      <c r="H4"/>
      <c r="I4"/>
      <c r="J4"/>
      <c r="K4"/>
      <c r="L4"/>
      <c r="M4"/>
      <c r="N4"/>
      <c r="O4"/>
      <c r="P4"/>
      <c r="Q4"/>
    </row>
    <row r="5" spans="1:17" x14ac:dyDescent="0.45">
      <c r="A5"/>
      <c r="B5" t="s">
        <v>68</v>
      </c>
      <c r="C5" t="str">
        <f xml:space="preserve"> _xlfn.TEXTJOIN(" ",TRUE,"Carbon budget",ROUND(C7,0),"Mt",C6)</f>
        <v>Carbon budget 170 Mt 2021-2025</v>
      </c>
      <c r="D5" s="8" t="str">
        <f t="shared" ref="D5:F5" si="2" xml:space="preserve"> _xlfn.TEXTJOIN(" ",TRUE,"Carbon budget",ROUND(D7,0),"Mt",D6)</f>
        <v>Carbon budget 104 Mt 2026-2030</v>
      </c>
      <c r="E5" s="8" t="str">
        <f t="shared" si="2"/>
        <v>Carbon budget 104 Mt 2031-2050</v>
      </c>
      <c r="F5" s="8" t="str">
        <f t="shared" si="2"/>
        <v>Carbon budget 0 Mt 2051-2100</v>
      </c>
      <c r="G5"/>
      <c r="H5"/>
      <c r="I5"/>
      <c r="J5"/>
      <c r="K5"/>
      <c r="L5"/>
      <c r="M5"/>
      <c r="N5"/>
      <c r="O5"/>
      <c r="P5"/>
      <c r="Q5"/>
    </row>
    <row r="6" spans="1:17" x14ac:dyDescent="0.45">
      <c r="B6" s="8" t="s">
        <v>74</v>
      </c>
      <c r="C6" s="8" t="s">
        <v>106</v>
      </c>
      <c r="D6" s="8" t="s">
        <v>107</v>
      </c>
      <c r="E6" s="8" t="s">
        <v>108</v>
      </c>
      <c r="F6" s="8" t="s">
        <v>84</v>
      </c>
    </row>
    <row r="7" spans="1:17" x14ac:dyDescent="0.45">
      <c r="B7" s="8" t="s">
        <v>69</v>
      </c>
      <c r="C7" s="8">
        <v>170.2</v>
      </c>
      <c r="D7" s="8">
        <v>104.33</v>
      </c>
      <c r="E7" s="8">
        <v>104.33</v>
      </c>
      <c r="F7" s="8">
        <v>0</v>
      </c>
    </row>
    <row r="8" spans="1:17" x14ac:dyDescent="0.45">
      <c r="B8" s="8" t="s">
        <v>82</v>
      </c>
      <c r="C8" s="8" t="s">
        <v>83</v>
      </c>
      <c r="D8" s="8" t="s">
        <v>83</v>
      </c>
      <c r="E8" s="8" t="s">
        <v>83</v>
      </c>
      <c r="F8" s="8" t="s">
        <v>83</v>
      </c>
    </row>
    <row r="9" spans="1:17" x14ac:dyDescent="0.45">
      <c r="B9" s="8" t="s">
        <v>62</v>
      </c>
      <c r="C9" s="8" t="s">
        <v>80</v>
      </c>
      <c r="D9" s="8" t="s">
        <v>80</v>
      </c>
      <c r="E9" s="8" t="s">
        <v>80</v>
      </c>
      <c r="F9" s="8" t="s">
        <v>80</v>
      </c>
    </row>
    <row r="10" spans="1:17" x14ac:dyDescent="0.45">
      <c r="B10" s="8" t="s">
        <v>73</v>
      </c>
      <c r="C10" s="8" t="s">
        <v>79</v>
      </c>
      <c r="D10" s="8" t="s">
        <v>79</v>
      </c>
      <c r="E10" s="8" t="s">
        <v>79</v>
      </c>
      <c r="F10" s="8" t="s">
        <v>79</v>
      </c>
    </row>
    <row r="11" spans="1:17" x14ac:dyDescent="0.45">
      <c r="B11" s="8" t="s">
        <v>77</v>
      </c>
      <c r="C11" s="8" t="s">
        <v>78</v>
      </c>
      <c r="D11" s="8" t="s">
        <v>78</v>
      </c>
      <c r="E11" s="8" t="s">
        <v>78</v>
      </c>
      <c r="F11" s="8" t="s">
        <v>78</v>
      </c>
    </row>
    <row r="12" spans="1:17" x14ac:dyDescent="0.45">
      <c r="B12" s="8" t="s">
        <v>0</v>
      </c>
      <c r="C12" s="8" t="s">
        <v>70</v>
      </c>
      <c r="D12" s="8" t="s">
        <v>70</v>
      </c>
      <c r="E12" s="8" t="s">
        <v>70</v>
      </c>
      <c r="F12" s="8" t="s">
        <v>70</v>
      </c>
    </row>
    <row r="13" spans="1:17" x14ac:dyDescent="0.45">
      <c r="B13" s="8" t="s">
        <v>81</v>
      </c>
      <c r="C13" s="8">
        <v>-1</v>
      </c>
      <c r="D13" s="8">
        <v>-1</v>
      </c>
      <c r="E13" s="8">
        <v>-1</v>
      </c>
      <c r="F13" s="8">
        <v>-1</v>
      </c>
    </row>
    <row r="14" spans="1:17" x14ac:dyDescent="0.45">
      <c r="A14"/>
      <c r="B14" t="s">
        <v>76</v>
      </c>
      <c r="C14">
        <v>1</v>
      </c>
      <c r="D14" s="8">
        <v>1</v>
      </c>
      <c r="E14" s="8">
        <v>1</v>
      </c>
      <c r="F14" s="8">
        <v>1</v>
      </c>
      <c r="G14"/>
      <c r="H14"/>
      <c r="I14"/>
      <c r="J14"/>
      <c r="K14"/>
      <c r="L14"/>
      <c r="M14"/>
      <c r="N14"/>
      <c r="O14"/>
      <c r="P14"/>
      <c r="Q14"/>
    </row>
    <row r="15" spans="1:17" x14ac:dyDescent="0.4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4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4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A17" sqref="A17"/>
    </sheetView>
  </sheetViews>
  <sheetFormatPr defaultColWidth="9.1328125" defaultRowHeight="14.25" x14ac:dyDescent="0.45"/>
  <cols>
    <col min="1" max="1" width="9.1328125" style="8"/>
    <col min="2" max="2" width="28.59765625" style="8" bestFit="1" customWidth="1"/>
    <col min="3" max="3" width="12" style="8" bestFit="1" customWidth="1"/>
    <col min="4" max="4" width="8.46484375" style="8" bestFit="1" customWidth="1"/>
    <col min="5" max="5" width="14.3984375" style="8" bestFit="1" customWidth="1"/>
    <col min="6" max="6" width="9.33203125" style="8" bestFit="1" customWidth="1"/>
    <col min="7" max="7" width="13.46484375" style="8" bestFit="1" customWidth="1"/>
    <col min="8" max="8" width="8.46484375" style="8" bestFit="1" customWidth="1"/>
    <col min="9" max="9" width="12.59765625" style="8" bestFit="1" customWidth="1"/>
    <col min="10" max="10" width="12.1328125" style="8" bestFit="1" customWidth="1"/>
    <col min="11" max="11" width="9.46484375" style="8" bestFit="1" customWidth="1"/>
    <col min="12" max="12" width="34.265625" style="8" bestFit="1" customWidth="1"/>
    <col min="13" max="16384" width="9.1328125" style="8"/>
  </cols>
  <sheetData>
    <row r="1" spans="1:12" x14ac:dyDescent="0.45">
      <c r="A1" s="8" t="s">
        <v>64</v>
      </c>
    </row>
    <row r="2" spans="1:12" x14ac:dyDescent="0.45">
      <c r="B2" s="11" t="str">
        <f>"~UC_Sets: R_E: "  &amp; _xlfn.TEXTJOIN(",",TRUE,Regions!C3)</f>
        <v>~UC_Sets: R_E: IE</v>
      </c>
    </row>
    <row r="3" spans="1:12" x14ac:dyDescent="0.45">
      <c r="B3" s="11" t="s">
        <v>75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4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45">
      <c r="B7" s="8" t="str">
        <f>VLOOKUP($B$5, config!$B$4:$F$14,2,FALSE) &amp; "_Single"</f>
        <v>UC_CB_170_Mt_2021-2025_Single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 t="str">
        <f>VLOOKUP(F$5, config!$B$4:$F$14,2,FALSE)</f>
        <v>2021-2025</v>
      </c>
      <c r="G7" s="8" t="str">
        <f>VLOOKUP(G$5, config!$B$4:$F$14,2,FALSE)</f>
        <v>NET</v>
      </c>
      <c r="H7" s="8" t="str">
        <f>VLOOKUP(H$5, config!$B$4:$F$14,2,FALSE)</f>
        <v>UP</v>
      </c>
      <c r="I7" s="8">
        <f>VLOOKUP(I$5, config!$B$4:$F$14,2,FALSE)</f>
        <v>1</v>
      </c>
      <c r="K7" s="8">
        <f>VLOOKUP("Value", config!$B$4:$F$14,2,FALSE)*1000</f>
        <v>170200</v>
      </c>
      <c r="L7" s="8" t="str">
        <f>VLOOKUP($L$5, config!$B$4:$F$14,2,FALSE) &amp; " - Single"</f>
        <v>Carbon budget 170 Mt 2021-2025 - Single</v>
      </c>
    </row>
    <row r="8" spans="1:12" x14ac:dyDescent="0.4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 t="str">
        <f>VLOOKUP(F$5, config!$B$4:$F$14,2,FALSE)</f>
        <v>2021-2025</v>
      </c>
      <c r="J8" s="8">
        <f>VLOOKUP(J$5, config!$B$4:$F$14,2,FALSE)</f>
        <v>-1</v>
      </c>
    </row>
    <row r="9" spans="1:12" x14ac:dyDescent="0.45">
      <c r="B9" s="8" t="str">
        <f>VLOOKUP($B$5, config!$B$4:$F$14,3,FALSE) &amp; "_Single"</f>
        <v>UC_CB_104_Mt_2026-2030_Single</v>
      </c>
      <c r="C9" s="8" t="str">
        <f>VLOOKUP(C$5, config!$B$4:$F$14,3,FALSE)</f>
        <v>*CO2*,-*CO2S</v>
      </c>
      <c r="D9" s="8" t="str">
        <f>VLOOKUP(D$5, config!$B$4:$F$14,3,FALSE)</f>
        <v>ENV</v>
      </c>
      <c r="F9" s="8" t="str">
        <f>VLOOKUP(F$5, config!$B$4:$F$14,3,FALSE)</f>
        <v>2026-2030</v>
      </c>
      <c r="G9" s="8" t="str">
        <f>VLOOKUP(G$5, config!$B$4:$F$14,3,FALSE)</f>
        <v>NET</v>
      </c>
      <c r="H9" s="8" t="str">
        <f>VLOOKUP(H$5, config!$B$4:$F$14,3,FALSE)</f>
        <v>UP</v>
      </c>
      <c r="I9" s="8">
        <f>VLOOKUP(I$5, config!$B$4:$F$14,3,FALSE)</f>
        <v>1</v>
      </c>
      <c r="K9" s="8">
        <f>VLOOKUP("Value", config!$B$4:$F$14,3,FALSE)*1000</f>
        <v>104330</v>
      </c>
      <c r="L9" s="8" t="str">
        <f>VLOOKUP($L$5, config!$B$4:$F$14,3,FALSE) &amp; " - Single"</f>
        <v>Carbon budget 104 Mt 2026-2030 - Single</v>
      </c>
    </row>
    <row r="10" spans="1:12" x14ac:dyDescent="0.4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 t="str">
        <f>VLOOKUP(F$5, config!$B$4:$F$14,3,FALSE)</f>
        <v>2026-2030</v>
      </c>
      <c r="J10" s="8">
        <f>VLOOKUP(J$5, config!$B$4:$F$14,3,FALSE)</f>
        <v>-1</v>
      </c>
    </row>
    <row r="11" spans="1:12" x14ac:dyDescent="0.45">
      <c r="B11" s="8" t="str">
        <f>VLOOKUP($B$5, config!$B$4:$F$14,4,FALSE) &amp; "_Single"</f>
        <v>UC_CB_104_Mt_2031-2050_Single</v>
      </c>
      <c r="C11" s="8" t="str">
        <f>VLOOKUP(C$5, config!$B$4:$F$14,4,FALSE)</f>
        <v>*CO2*,-*CO2S</v>
      </c>
      <c r="D11" s="8" t="str">
        <f>VLOOKUP(D$5, config!$B$4:$F$14,4,FALSE)</f>
        <v>ENV</v>
      </c>
      <c r="F11" s="8" t="str">
        <f>VLOOKUP(F$5, config!$B$4:$F$14,4,FALSE)</f>
        <v>2031-2050</v>
      </c>
      <c r="G11" s="8" t="str">
        <f>VLOOKUP(G$5, config!$B$4:$F$14,4,FALSE)</f>
        <v>NET</v>
      </c>
      <c r="H11" s="8" t="str">
        <f>VLOOKUP(H$5, config!$B$4:$F$14,4,FALSE)</f>
        <v>UP</v>
      </c>
      <c r="I11" s="8">
        <f>VLOOKUP(I$5, config!$B$4:$F$14,4,FALSE)</f>
        <v>1</v>
      </c>
      <c r="K11" s="8">
        <f>VLOOKUP("Value", config!$B$4:$F$14,4,FALSE)*1000</f>
        <v>104330</v>
      </c>
      <c r="L11" s="8" t="str">
        <f>VLOOKUP($L$5, config!$B$4:$F$14,4,FALSE) &amp; " - Single"</f>
        <v>Carbon budget 104 Mt 2031-2050 - Single</v>
      </c>
    </row>
    <row r="12" spans="1:12" x14ac:dyDescent="0.4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 t="str">
        <f>VLOOKUP(F$5, config!$B$4:$F$14,4,FALSE)</f>
        <v>2031-2050</v>
      </c>
      <c r="J12" s="8">
        <f>VLOOKUP(J$5, config!$B$4:$F$14,4,FALSE)</f>
        <v>-1</v>
      </c>
    </row>
    <row r="13" spans="1:12" x14ac:dyDescent="0.45">
      <c r="B13" s="8" t="str">
        <f>VLOOKUP($B$5, config!$B$4:$F$14,5,FALSE) &amp; "_Single"</f>
        <v>UC_CB_0_Mt_2051-2100_Single</v>
      </c>
      <c r="C13" s="8" t="str">
        <f>VLOOKUP(C$5, config!$B$4:$F$14,5,FALSE)</f>
        <v>*CO2*,-*CO2S</v>
      </c>
      <c r="D13" s="8" t="str">
        <f>VLOOKUP(D$5, config!$B$4:$F$14,5,FALSE)</f>
        <v>ENV</v>
      </c>
      <c r="F13" s="8" t="str">
        <f>VLOOKUP(F$5, config!$B$4:$F$14,5,FALSE)</f>
        <v>2051-2100</v>
      </c>
      <c r="G13" s="8" t="str">
        <f>VLOOKUP(G$5, config!$B$4:$F$14,5,FALSE)</f>
        <v>NET</v>
      </c>
      <c r="H13" s="8" t="str">
        <f>VLOOKUP(H$5, config!$B$4:$F$14,5,FALSE)</f>
        <v>UP</v>
      </c>
      <c r="I13" s="8">
        <f>VLOOKUP(I$5, config!$B$4:$F$14,5,FALSE)</f>
        <v>1</v>
      </c>
      <c r="K13" s="8">
        <f>VLOOKUP("Value", config!$B$4:$F$14,5,FALSE)*1000</f>
        <v>0</v>
      </c>
      <c r="L13" s="8" t="str">
        <f>VLOOKUP($L$5, config!$B$4:$F$14,5,FALSE) &amp; " - Single"</f>
        <v>Carbon budget 0 Mt 2051-2100 - Single</v>
      </c>
    </row>
    <row r="14" spans="1:12" x14ac:dyDescent="0.45">
      <c r="C14" s="8" t="str">
        <f>VLOOKUP(C$5, config!$B$4:$F$14,5,FALSE)</f>
        <v>*CO2*,-*CO2S</v>
      </c>
      <c r="D14" s="8" t="str">
        <f>VLOOKUP(D$5, config!$B$4:$F$14,5,FALSE)</f>
        <v>ENV</v>
      </c>
      <c r="E14" s="8" t="str">
        <f>VLOOKUP(E$5, config!$B$4:$F$14,5,FALSE)</f>
        <v>T-A*INT*,T-NAV*</v>
      </c>
      <c r="F14" s="8" t="str">
        <f>VLOOKUP(F$5, config!$B$4:$F$14,5,FALSE)</f>
        <v>2051-2100</v>
      </c>
      <c r="J14" s="8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A4" sqref="A4"/>
    </sheetView>
  </sheetViews>
  <sheetFormatPr defaultColWidth="9.1328125" defaultRowHeight="14.25" x14ac:dyDescent="0.45"/>
  <cols>
    <col min="1" max="1" width="9.1328125" style="8"/>
    <col min="2" max="2" width="28.33203125" style="8" customWidth="1"/>
    <col min="3" max="3" width="12" style="8" bestFit="1" customWidth="1"/>
    <col min="4" max="4" width="8.46484375" style="8" bestFit="1" customWidth="1"/>
    <col min="5" max="5" width="14.3984375" style="8" bestFit="1" customWidth="1"/>
    <col min="6" max="6" width="9.33203125" style="8" bestFit="1" customWidth="1"/>
    <col min="7" max="7" width="13.46484375" style="8" bestFit="1" customWidth="1"/>
    <col min="8" max="8" width="8.46484375" style="8" bestFit="1" customWidth="1"/>
    <col min="9" max="9" width="12.59765625" style="8" bestFit="1" customWidth="1"/>
    <col min="10" max="10" width="12.1328125" style="8" bestFit="1" customWidth="1"/>
    <col min="11" max="11" width="8.3984375" style="8" bestFit="1" customWidth="1"/>
    <col min="12" max="12" width="33.86328125" style="8" bestFit="1" customWidth="1"/>
    <col min="13" max="16384" width="9.1328125" style="8"/>
  </cols>
  <sheetData>
    <row r="1" spans="1:12" x14ac:dyDescent="0.45">
      <c r="A1" s="8" t="s">
        <v>66</v>
      </c>
    </row>
    <row r="2" spans="1:12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5">
      <c r="B3" s="11" t="s">
        <v>75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4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45">
      <c r="B7" s="8" t="str">
        <f>VLOOKUP(B$5, config!$B$4:$F$14,2,FALSE) &amp; "_Multi"</f>
        <v>UC_CB_170_Mt_2021-2025_Multi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 t="str">
        <f>VLOOKUP(F$5, config!$B$4:$F$14,2,FALSE)</f>
        <v>2021-2025</v>
      </c>
      <c r="G7" s="8" t="str">
        <f>VLOOKUP(G$5, config!$B$4:$F$14,2,FALSE)</f>
        <v>NET</v>
      </c>
      <c r="H7" s="8" t="str">
        <f>VLOOKUP(H$5, config!$B$4:$F$14,2,FALSE)</f>
        <v>UP</v>
      </c>
      <c r="I7" s="8">
        <f>VLOOKUP(I$5, config!$B$4:$F$14,2,FALSE)</f>
        <v>1</v>
      </c>
      <c r="K7" s="8">
        <f>VLOOKUP("Value", config!$B$4:$F$14,2,FALSE)*1000</f>
        <v>170200</v>
      </c>
      <c r="L7" s="8" t="str">
        <f>VLOOKUP(L$5, config!$B$4:$F$14,2,FALSE) &amp; " - Multi"</f>
        <v>Carbon budget 170 Mt 2021-2025 - Multi</v>
      </c>
    </row>
    <row r="8" spans="1:12" x14ac:dyDescent="0.4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 t="str">
        <f>VLOOKUP(F$5, config!$B$4:$F$14,2,FALSE)</f>
        <v>2021-2025</v>
      </c>
      <c r="J8" s="8">
        <f>VLOOKUP(J$5, config!$B$4:$F$14,2,FALSE)</f>
        <v>-1</v>
      </c>
    </row>
    <row r="9" spans="1:12" x14ac:dyDescent="0.45">
      <c r="B9" s="8" t="str">
        <f>VLOOKUP(B$5, config!$B$4:$F$14,3,FALSE) &amp; "_Multi"</f>
        <v>UC_CB_104_Mt_2026-2030_Multi</v>
      </c>
      <c r="C9" s="8" t="str">
        <f>VLOOKUP(C$5, config!$B$4:$F$14,3,FALSE)</f>
        <v>*CO2*,-*CO2S</v>
      </c>
      <c r="D9" s="8" t="str">
        <f>VLOOKUP(D$5, config!$B$4:$F$14,3,FALSE)</f>
        <v>ENV</v>
      </c>
      <c r="F9" s="8" t="str">
        <f>VLOOKUP(F$5, config!$B$4:$F$14,3,FALSE)</f>
        <v>2026-2030</v>
      </c>
      <c r="G9" s="8" t="str">
        <f>VLOOKUP(G$5, config!$B$4:$F$14,3,FALSE)</f>
        <v>NET</v>
      </c>
      <c r="H9" s="8" t="str">
        <f>VLOOKUP(H$5, config!$B$4:$F$14,3,FALSE)</f>
        <v>UP</v>
      </c>
      <c r="I9" s="8">
        <f>VLOOKUP(I$5, config!$B$4:$F$14,3,FALSE)</f>
        <v>1</v>
      </c>
      <c r="K9" s="8">
        <f>VLOOKUP("Value", config!$B$4:$F$14,3,FALSE)*1000</f>
        <v>104330</v>
      </c>
      <c r="L9" s="8" t="str">
        <f>VLOOKUP(L$5, config!$B$4:$F$14,3,FALSE) &amp; " - Multi"</f>
        <v>Carbon budget 104 Mt 2026-2030 - Multi</v>
      </c>
    </row>
    <row r="10" spans="1:12" x14ac:dyDescent="0.4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 t="str">
        <f>VLOOKUP(F$5, config!$B$4:$F$14,3,FALSE)</f>
        <v>2026-2030</v>
      </c>
      <c r="J10" s="8">
        <f>VLOOKUP(J$5, config!$B$4:$F$14,3,FALSE)</f>
        <v>-1</v>
      </c>
    </row>
    <row r="11" spans="1:12" x14ac:dyDescent="0.45">
      <c r="B11" s="8" t="str">
        <f>VLOOKUP(B$5, config!$B$4:$F$14,4,FALSE) &amp; "_Multi"</f>
        <v>UC_CB_104_Mt_2031-2050_Multi</v>
      </c>
      <c r="C11" s="8" t="str">
        <f>VLOOKUP(C$5, config!$B$4:$F$14,4,FALSE)</f>
        <v>*CO2*,-*CO2S</v>
      </c>
      <c r="D11" s="8" t="str">
        <f>VLOOKUP(D$5, config!$B$4:$F$14,4,FALSE)</f>
        <v>ENV</v>
      </c>
      <c r="F11" s="8" t="str">
        <f>VLOOKUP(F$5, config!$B$4:$F$14,4,FALSE)</f>
        <v>2031-2050</v>
      </c>
      <c r="G11" s="8" t="str">
        <f>VLOOKUP(G$5, config!$B$4:$F$14,4,FALSE)</f>
        <v>NET</v>
      </c>
      <c r="H11" s="8" t="str">
        <f>VLOOKUP(H$5, config!$B$4:$F$14,4,FALSE)</f>
        <v>UP</v>
      </c>
      <c r="I11" s="8">
        <f>VLOOKUP(I$5, config!$B$4:$F$14,4,FALSE)</f>
        <v>1</v>
      </c>
      <c r="K11" s="8">
        <f>VLOOKUP("Value", config!$B$4:$F$14,4,FALSE)*1000</f>
        <v>104330</v>
      </c>
      <c r="L11" s="8" t="str">
        <f>VLOOKUP(L$5, config!$B$4:$F$14,4,FALSE) &amp; " - Multi"</f>
        <v>Carbon budget 104 Mt 2031-2050 - Multi</v>
      </c>
    </row>
    <row r="12" spans="1:12" x14ac:dyDescent="0.4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 t="str">
        <f>VLOOKUP(F$5, config!$B$4:$F$14,4,FALSE)</f>
        <v>2031-2050</v>
      </c>
      <c r="J12" s="8">
        <f>VLOOKUP(J$5, config!$B$4:$F$14,4,FALSE)</f>
        <v>-1</v>
      </c>
    </row>
    <row r="13" spans="1:12" x14ac:dyDescent="0.45">
      <c r="B13" s="8" t="str">
        <f>VLOOKUP(B$5, config!$B$4:$F$14,5,FALSE) &amp; "_Multi"</f>
        <v>UC_CB_0_Mt_2051-2100_Multi</v>
      </c>
      <c r="C13" s="8" t="str">
        <f>VLOOKUP(C$5, config!$B$4:$F$14,5,FALSE)</f>
        <v>*CO2*,-*CO2S</v>
      </c>
      <c r="D13" s="8" t="str">
        <f>VLOOKUP(D$5, config!$B$4:$F$14,5,FALSE)</f>
        <v>ENV</v>
      </c>
      <c r="F13" s="8" t="str">
        <f>VLOOKUP(F$5, config!$B$4:$F$14,5,FALSE)</f>
        <v>2051-2100</v>
      </c>
      <c r="G13" s="8" t="str">
        <f>VLOOKUP(G$5, config!$B$4:$F$14,5,FALSE)</f>
        <v>NET</v>
      </c>
      <c r="H13" s="8" t="str">
        <f>VLOOKUP(H$5, config!$B$4:$F$14,5,FALSE)</f>
        <v>UP</v>
      </c>
      <c r="I13" s="8">
        <f>VLOOKUP(I$5, config!$B$4:$F$14,5,FALSE)</f>
        <v>1</v>
      </c>
      <c r="K13" s="8">
        <f>VLOOKUP("Value", config!$B$4:$F$14,5,FALSE)*1000</f>
        <v>0</v>
      </c>
      <c r="L13" s="8" t="str">
        <f>VLOOKUP(L$5, config!$B$4:$F$14,5,FALSE) &amp; " - Multi"</f>
        <v>Carbon budget 0 Mt 2051-2100 - Multi</v>
      </c>
    </row>
    <row r="14" spans="1:12" x14ac:dyDescent="0.45">
      <c r="C14" s="8" t="str">
        <f>VLOOKUP(C$5, config!$B$4:$F$14,5,FALSE)</f>
        <v>*CO2*,-*CO2S</v>
      </c>
      <c r="D14" s="8" t="str">
        <f>VLOOKUP(D$5, config!$B$4:$F$14,5,FALSE)</f>
        <v>ENV</v>
      </c>
      <c r="E14" s="8" t="str">
        <f>VLOOKUP(E$5, config!$B$4:$F$14,5,FALSE)</f>
        <v>T-A*INT*,T-NAV*</v>
      </c>
      <c r="F14" s="8" t="str">
        <f>VLOOKUP(F$5, config!$B$4:$F$14,5,FALSE)</f>
        <v>2051-2100</v>
      </c>
      <c r="J14" s="8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25" x14ac:dyDescent="0.45"/>
  <cols>
    <col min="2" max="2" width="10.1328125" bestFit="1" customWidth="1"/>
    <col min="4" max="4" width="13.73046875" bestFit="1" customWidth="1"/>
    <col min="5" max="5" width="5.1328125" bestFit="1" customWidth="1"/>
    <col min="6" max="6" width="10.1328125" bestFit="1" customWidth="1"/>
  </cols>
  <sheetData>
    <row r="2" spans="2:8" x14ac:dyDescent="0.45">
      <c r="B2" s="16" t="s">
        <v>85</v>
      </c>
      <c r="C2" s="8"/>
      <c r="D2" s="8"/>
      <c r="E2" s="8"/>
      <c r="F2" s="8"/>
      <c r="G2" s="8"/>
      <c r="H2" s="8"/>
    </row>
    <row r="3" spans="2:8" ht="14.65" thickBot="1" x14ac:dyDescent="0.5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4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2022-04-29T12:15:36Z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755413293838500</vt:r8>
  </property>
</Properties>
</file>