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6C31551-F0DC-4244-83CA-F326A7EF1C6E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7" i="20"/>
  <c r="J14" i="22"/>
  <c r="F14" i="22"/>
  <c r="E14" i="22"/>
  <c r="D14" i="22"/>
  <c r="C14" i="22"/>
  <c r="L13" i="22"/>
  <c r="K13" i="22"/>
  <c r="I13" i="22"/>
  <c r="H13" i="22"/>
  <c r="G13" i="22"/>
  <c r="F13" i="22"/>
  <c r="D13" i="22"/>
  <c r="C13" i="22"/>
  <c r="B13" i="22"/>
  <c r="J12" i="22"/>
  <c r="F12" i="22"/>
  <c r="E12" i="22"/>
  <c r="D12" i="22"/>
  <c r="C12" i="22"/>
  <c r="L11" i="22"/>
  <c r="K11" i="22"/>
  <c r="I11" i="22"/>
  <c r="H11" i="22"/>
  <c r="G11" i="22"/>
  <c r="F11" i="22"/>
  <c r="D11" i="22"/>
  <c r="C11" i="22"/>
  <c r="B11" i="22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4" i="21"/>
  <c r="F14" i="21"/>
  <c r="E14" i="21"/>
  <c r="D14" i="21"/>
  <c r="C14" i="21"/>
  <c r="L13" i="21"/>
  <c r="K13" i="21"/>
  <c r="I13" i="21"/>
  <c r="H13" i="21"/>
  <c r="G13" i="21"/>
  <c r="F13" i="21"/>
  <c r="D13" i="21"/>
  <c r="C13" i="21"/>
  <c r="B13" i="21"/>
  <c r="J12" i="21"/>
  <c r="F12" i="21"/>
  <c r="E12" i="21"/>
  <c r="D12" i="21"/>
  <c r="C12" i="21"/>
  <c r="L11" i="21"/>
  <c r="K11" i="21"/>
  <c r="I11" i="21"/>
  <c r="H11" i="21"/>
  <c r="G11" i="21"/>
  <c r="F11" i="21"/>
  <c r="D11" i="21"/>
  <c r="C11" i="21"/>
  <c r="B11" i="21"/>
  <c r="J10" i="21"/>
  <c r="F10" i="21"/>
  <c r="E10" i="21"/>
  <c r="D10" i="21"/>
  <c r="C10" i="21"/>
  <c r="K9" i="21"/>
  <c r="I9" i="21"/>
  <c r="H9" i="21"/>
  <c r="G9" i="21"/>
  <c r="F9" i="21"/>
  <c r="D9" i="21"/>
  <c r="C9" i="21"/>
  <c r="J8" i="21"/>
  <c r="F8" i="21"/>
  <c r="E8" i="21"/>
  <c r="D8" i="21"/>
  <c r="C8" i="21"/>
  <c r="K7" i="21"/>
  <c r="I7" i="21"/>
  <c r="H7" i="21"/>
  <c r="G7" i="21"/>
  <c r="F7" i="21"/>
  <c r="D7" i="21"/>
  <c r="C7" i="21"/>
  <c r="F4" i="20"/>
  <c r="F5" i="20"/>
  <c r="D4" i="20"/>
  <c r="B9" i="22" s="1"/>
  <c r="E4" i="20"/>
  <c r="D5" i="20"/>
  <c r="L9" i="21" s="1"/>
  <c r="E5" i="20"/>
  <c r="C5" i="20"/>
  <c r="L7" i="22" s="1"/>
  <c r="C4" i="20"/>
  <c r="B7" i="22" s="1"/>
  <c r="B9" i="21" l="1"/>
  <c r="L9" i="22"/>
  <c r="B7" i="21"/>
  <c r="L7" i="21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<sst xmlns="http://schemas.openxmlformats.org/spreadsheetml/2006/main" count="151" uniqueCount="110">
  <si>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</si>
  <si>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</si>
  <si>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</si>
  <si>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</si>
  <si>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</si>
  <si>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</si>
  <si>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</si>
  <si>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</si>
  <si>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</si>
  <si>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</si>
  <si>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</si>
  <si>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</si>
  <si>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</si>
  <si>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</si>
  <si>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</si>
  <si>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</si>
  <si>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</si>
  <si>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</si>
  <si>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</si>
  <si>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</si>
  <si>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</si>
  <si>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</si>
  <si>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</si>
  <si>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</si>
  <si>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</si>
  <si>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</si>
  <si>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</si>
  <si>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</si>
  <si>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</si>
  <si>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</si>
  <si>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</si>
  <si>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</si>
  <si>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</si>
  <si>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</si>
  <si>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</si>
  <si>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</si>
  <si>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</si>
  <si>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</si>
  <si>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</si>
  <si>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</si>
  <si>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</si>
  <si>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</si>
  <si>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</si>
  <si>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</si>
  <si>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</si>
  <si>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</si>
  <si>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</si>
  <si>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</si>
  <si>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</si>
  <si>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</si>
  <si>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</si>
  <si>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</si>
  <si>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</si>
  <si>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</si>
  <si>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</si>
  <si>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</si>
  <si>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</si>
  <si>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</si>
  <si>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</si>
  <si>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</si>
  <si>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</si>
  <si>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</si>
  <si>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</si>
  <si>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</si>
  <si>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</si>
  <si>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</si>
  <si>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</si>
  <si>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</si>
  <si>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</si>
  <si>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</si>
  <si>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</si>
  <si>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</si>
  <si>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</si>
  <si>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</si>
  <si>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</si>
  <si>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</si>
  <si>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</si>
  <si>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</si>
  <si>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</si>
  <si>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</si>
  <si>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</si>
  <si>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</si>
  <si>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</si>
  <si>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</si>
  <si>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</si>
  <si>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</si>
  <si>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</si>
  <si>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</si>
  <si>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</si>
  <si>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</si>
  <si>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</si>
  <si>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</si>
  <si>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</si>
  <si>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</si>
  <si>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</si>
  <si>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</si>
  <si>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</si>
  <si>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</si>
  <si>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</si>
  <si>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</si>
  <si>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</si>
  <si>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</si>
  <si>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</si>
  <si>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</si>
  <si>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</si>
  <si>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</si>
  <si>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2021-2025</t>
  </si>
  <si>
    <t>2026-2030</t>
  </si>
  <si>
    <t>2031-2050</t>
  </si>
  <si>
    <t>Specify a carbon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</si>
</sst>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38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5" zoomScaleNormal="100" workbookViewId="0">
      <selection activeCell="B15" sqref="B15"/>
    </sheetView>
  </sheetViews>
  <sheetFormatPr defaultColWidth="8.86328125" defaultRowHeight="14.25" x14ac:dyDescent="0.45"/>
  <cols>
    <col min="1" max="4" width="21.73046875" style="8" customWidth="1"/>
    <col min="5" max="6" width="14.1328125" style="8" customWidth="1"/>
    <col min="7" max="7" width="12.1328125" style="8" customWidth="1"/>
    <col min="8" max="10" width="8.1328125" style="8" customWidth="1"/>
    <col min="11" max="11" width="9.73046875" style="8" customWidth="1"/>
    <col min="12" max="12" width="8.1328125" style="8" customWidth="1"/>
    <col min="13" max="13" width="10" style="8" customWidth="1"/>
    <col min="14" max="14" width="11.3984375" style="8" customWidth="1"/>
    <col min="15" max="15" width="13.3984375" style="8" customWidth="1"/>
    <col min="16" max="16384" width="8.86328125" style="8"/>
  </cols>
  <sheetData>
    <row r="1" spans="1:26" x14ac:dyDescent="0.45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45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45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45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45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45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4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45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45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45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45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45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45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45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45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 x14ac:dyDescent="0.45">
      <c r="A16" s="36" t="s">
        <v>91</v>
      </c>
      <c r="B16" s="36"/>
      <c r="C16" s="36"/>
      <c r="D16" s="36"/>
      <c r="E16" s="22"/>
      <c r="F16" s="22"/>
      <c r="G16" s="23"/>
      <c r="H16" s="23"/>
      <c r="I16" s="23"/>
      <c r="J16" s="23"/>
      <c r="K16" s="23"/>
      <c r="L16" s="2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 x14ac:dyDescent="0.45">
      <c r="A17" s="24"/>
      <c r="B17" s="24"/>
      <c r="C17" s="24"/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 x14ac:dyDescent="0.45">
      <c r="A18" s="24"/>
      <c r="B18" s="24"/>
      <c r="C18" s="24"/>
      <c r="D18" s="24"/>
      <c r="E18" s="25"/>
      <c r="F18" s="25"/>
      <c r="G18" s="26"/>
      <c r="H18" s="26"/>
      <c r="I18" s="26"/>
      <c r="J18" s="26"/>
      <c r="K18" s="26"/>
      <c r="L18" s="2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 x14ac:dyDescent="0.45">
      <c r="A19" s="27" t="s">
        <v>92</v>
      </c>
      <c r="B19" s="35" t="s">
        <v>105</v>
      </c>
      <c r="C19" s="35"/>
      <c r="D19" s="35"/>
      <c r="E19" s="28"/>
      <c r="F19" s="28"/>
      <c r="G19" s="29"/>
      <c r="H19" s="29"/>
      <c r="I19" s="29"/>
      <c r="J19" s="29"/>
      <c r="K19" s="29"/>
      <c r="L19" s="29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 x14ac:dyDescent="0.45">
      <c r="A20" s="27" t="s">
        <v>93</v>
      </c>
      <c r="B20" s="35" t="s">
        <v>103</v>
      </c>
      <c r="C20" s="35"/>
      <c r="D20" s="35"/>
      <c r="E20" s="28"/>
      <c r="F20" s="28"/>
      <c r="G20" s="29"/>
      <c r="H20" s="29"/>
      <c r="I20" s="29"/>
      <c r="J20" s="29"/>
      <c r="K20" s="29"/>
      <c r="L20" s="29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 x14ac:dyDescent="0.45">
      <c r="A21" s="27" t="s">
        <v>94</v>
      </c>
      <c r="B21" s="30" t="s">
        <v>109</v>
      </c>
      <c r="C21" s="30"/>
      <c r="D21" s="30"/>
      <c r="E21" s="28"/>
      <c r="F21" s="28"/>
      <c r="G21" s="29"/>
      <c r="H21" s="29"/>
      <c r="I21" s="29"/>
      <c r="J21" s="29"/>
      <c r="K21" s="29"/>
      <c r="L21" s="29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 x14ac:dyDescent="0.45">
      <c r="A22" s="27"/>
      <c r="B22" s="30"/>
      <c r="C22" s="30"/>
      <c r="D22" s="30"/>
      <c r="E22" s="28"/>
      <c r="F22" s="28"/>
      <c r="G22" s="29"/>
      <c r="H22" s="29"/>
      <c r="I22" s="29"/>
      <c r="J22" s="29"/>
      <c r="K22" s="29"/>
      <c r="L22" s="29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 x14ac:dyDescent="0.45">
      <c r="A23" s="27" t="s">
        <v>95</v>
      </c>
      <c r="B23" s="35" t="s">
        <v>104</v>
      </c>
      <c r="C23" s="35"/>
      <c r="D23" s="35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 x14ac:dyDescent="0.45">
      <c r="A24" s="27"/>
      <c r="B24" s="30"/>
      <c r="C24" s="30"/>
      <c r="D24" s="3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 x14ac:dyDescent="0.45">
      <c r="A25" s="27"/>
      <c r="B25" s="30"/>
      <c r="C25" s="30"/>
      <c r="D25" s="3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 x14ac:dyDescent="0.45">
      <c r="A26" s="27" t="s">
        <v>96</v>
      </c>
      <c r="B26" s="35" t="s">
        <v>104</v>
      </c>
      <c r="C26" s="35"/>
      <c r="D26" s="35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 x14ac:dyDescent="0.45">
      <c r="A27" s="27"/>
      <c r="B27" s="30"/>
      <c r="C27" s="30"/>
      <c r="D27" s="3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 x14ac:dyDescent="0.45">
      <c r="A28" s="27"/>
      <c r="B28" s="30"/>
      <c r="C28" s="30"/>
      <c r="D28" s="3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 x14ac:dyDescent="0.45">
      <c r="A29" s="27" t="s">
        <v>97</v>
      </c>
      <c r="B29" s="31"/>
      <c r="C29" s="30"/>
      <c r="D29" s="3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 x14ac:dyDescent="0.45">
      <c r="A30" s="27" t="s">
        <v>98</v>
      </c>
      <c r="B30" s="37" t="s">
        <v>99</v>
      </c>
      <c r="C30" s="35"/>
      <c r="D30" s="35"/>
      <c r="E30" s="32"/>
      <c r="F30" s="3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 x14ac:dyDescent="0.45">
      <c r="A31" s="27" t="s">
        <v>100</v>
      </c>
      <c r="B31" s="35" t="s">
        <v>101</v>
      </c>
      <c r="C31" s="35"/>
      <c r="D31" s="35"/>
      <c r="E31" s="32"/>
      <c r="F31" s="3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45">
      <c r="A32" s="33"/>
      <c r="B32" s="34" t="s">
        <v>102</v>
      </c>
      <c r="C32" s="33"/>
      <c r="D32" s="33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45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45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45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45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45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45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45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45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45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45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4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4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4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4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4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4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4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4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4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4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4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4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4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4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4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4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4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4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4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4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4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4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4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4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4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4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4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4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4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4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4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4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4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4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4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4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4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4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4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4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4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4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4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4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4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4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4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4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4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4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4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4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4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4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4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4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328125" defaultRowHeight="14.25" x14ac:dyDescent="0.45"/>
  <cols>
    <col min="1" max="1" width="12.1328125" style="1" customWidth="1"/>
    <col min="2" max="2" width="11.73046875" style="1" customWidth="1"/>
    <col min="3" max="3" width="3.1328125" style="1" bestFit="1" customWidth="1"/>
    <col min="4" max="4" width="8.59765625" style="1" bestFit="1" customWidth="1"/>
    <col min="5" max="5" width="6.3984375" style="1" bestFit="1" customWidth="1"/>
    <col min="6" max="6" width="4.86328125" style="1" bestFit="1" customWidth="1"/>
    <col min="7" max="7" width="5.73046875" style="1" bestFit="1" customWidth="1"/>
    <col min="8" max="8" width="5.86328125" style="1" bestFit="1" customWidth="1"/>
    <col min="9" max="9" width="5.3984375" style="1" bestFit="1" customWidth="1"/>
    <col min="10" max="11" width="5.73046875" style="1" bestFit="1" customWidth="1"/>
    <col min="12" max="12" width="6.59765625" style="1" bestFit="1" customWidth="1"/>
    <col min="13" max="13" width="6.1328125" style="1" bestFit="1" customWidth="1"/>
    <col min="14" max="14" width="6.73046875" style="1" bestFit="1" customWidth="1"/>
    <col min="15" max="15" width="6.59765625" style="1" bestFit="1" customWidth="1"/>
    <col min="16" max="16" width="7.265625" style="1" bestFit="1" customWidth="1"/>
    <col min="17" max="17" width="5.73046875" style="1" bestFit="1" customWidth="1"/>
    <col min="18" max="18" width="6.1328125" style="1" bestFit="1" customWidth="1"/>
    <col min="19" max="19" width="5.73046875" style="1" bestFit="1" customWidth="1"/>
    <col min="20" max="20" width="5.59765625" style="1" bestFit="1" customWidth="1"/>
    <col min="21" max="21" width="5.86328125" style="1" bestFit="1" customWidth="1"/>
    <col min="22" max="22" width="6.73046875" style="1" bestFit="1" customWidth="1"/>
    <col min="23" max="23" width="4.86328125" style="1" bestFit="1" customWidth="1"/>
    <col min="24" max="24" width="7.59765625" style="1" customWidth="1"/>
    <col min="25" max="25" width="6.73046875" style="1" bestFit="1" customWidth="1"/>
    <col min="26" max="26" width="6.1328125" style="1" bestFit="1" customWidth="1"/>
    <col min="27" max="28" width="6" style="1" bestFit="1" customWidth="1"/>
    <col min="29" max="29" width="5.73046875" style="1" bestFit="1" customWidth="1"/>
    <col min="30" max="30" width="6.73046875" style="1" bestFit="1" customWidth="1"/>
    <col min="31" max="16384" width="9.1328125" style="1"/>
  </cols>
  <sheetData>
    <row r="3" spans="1:30" x14ac:dyDescent="0.4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45">
      <c r="A4" s="1">
        <v>1</v>
      </c>
    </row>
    <row r="5" spans="1:30" x14ac:dyDescent="0.4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4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4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4.65" thickBot="1" x14ac:dyDescent="0.5">
      <c r="A10" s="4" t="s">
        <v>32</v>
      </c>
      <c r="B10" s="4" t="s">
        <v>33</v>
      </c>
    </row>
    <row r="11" spans="1:30" x14ac:dyDescent="0.45">
      <c r="A11" s="5" t="s">
        <v>34</v>
      </c>
      <c r="B11" s="5" t="s">
        <v>26</v>
      </c>
    </row>
    <row r="12" spans="1:30" x14ac:dyDescent="0.45">
      <c r="A12" s="6" t="s">
        <v>35</v>
      </c>
      <c r="B12" s="6" t="s">
        <v>25</v>
      </c>
    </row>
    <row r="13" spans="1:30" x14ac:dyDescent="0.45">
      <c r="A13" s="6" t="s">
        <v>36</v>
      </c>
      <c r="B13" s="6" t="s">
        <v>24</v>
      </c>
    </row>
    <row r="14" spans="1:30" x14ac:dyDescent="0.45">
      <c r="A14" s="6" t="s">
        <v>37</v>
      </c>
      <c r="B14" s="6" t="s">
        <v>23</v>
      </c>
    </row>
    <row r="15" spans="1:30" x14ac:dyDescent="0.45">
      <c r="A15" s="6" t="s">
        <v>38</v>
      </c>
      <c r="B15" s="6" t="s">
        <v>22</v>
      </c>
    </row>
    <row r="16" spans="1:30" x14ac:dyDescent="0.45">
      <c r="A16" s="6" t="s">
        <v>39</v>
      </c>
      <c r="B16" s="6" t="s">
        <v>21</v>
      </c>
    </row>
    <row r="17" spans="1:2" x14ac:dyDescent="0.45">
      <c r="A17" s="6" t="s">
        <v>40</v>
      </c>
      <c r="B17" s="6" t="s">
        <v>20</v>
      </c>
    </row>
    <row r="18" spans="1:2" x14ac:dyDescent="0.45">
      <c r="A18" s="6" t="s">
        <v>41</v>
      </c>
      <c r="B18" s="6" t="s">
        <v>19</v>
      </c>
    </row>
    <row r="19" spans="1:2" x14ac:dyDescent="0.45">
      <c r="A19" s="6" t="s">
        <v>42</v>
      </c>
      <c r="B19" s="6" t="s">
        <v>18</v>
      </c>
    </row>
    <row r="20" spans="1:2" x14ac:dyDescent="0.45">
      <c r="A20" s="6" t="s">
        <v>43</v>
      </c>
      <c r="B20" s="6" t="s">
        <v>17</v>
      </c>
    </row>
    <row r="21" spans="1:2" x14ac:dyDescent="0.45">
      <c r="A21" s="6" t="s">
        <v>44</v>
      </c>
      <c r="B21" s="6" t="s">
        <v>16</v>
      </c>
    </row>
    <row r="22" spans="1:2" x14ac:dyDescent="0.45">
      <c r="A22" s="6" t="s">
        <v>45</v>
      </c>
      <c r="B22" s="6" t="s">
        <v>15</v>
      </c>
    </row>
    <row r="23" spans="1:2" x14ac:dyDescent="0.45">
      <c r="A23" s="6" t="s">
        <v>46</v>
      </c>
      <c r="B23" s="6" t="s">
        <v>14</v>
      </c>
    </row>
    <row r="24" spans="1:2" x14ac:dyDescent="0.45">
      <c r="A24" s="6" t="s">
        <v>47</v>
      </c>
      <c r="B24" s="6" t="s">
        <v>13</v>
      </c>
    </row>
    <row r="25" spans="1:2" x14ac:dyDescent="0.45">
      <c r="A25" s="6" t="s">
        <v>48</v>
      </c>
      <c r="B25" s="6" t="s">
        <v>12</v>
      </c>
    </row>
    <row r="26" spans="1:2" x14ac:dyDescent="0.45">
      <c r="A26" s="6" t="s">
        <v>49</v>
      </c>
      <c r="B26" s="6" t="s">
        <v>11</v>
      </c>
    </row>
    <row r="27" spans="1:2" x14ac:dyDescent="0.45">
      <c r="A27" s="6" t="s">
        <v>50</v>
      </c>
      <c r="B27" s="6" t="s">
        <v>10</v>
      </c>
    </row>
    <row r="28" spans="1:2" x14ac:dyDescent="0.45">
      <c r="A28" s="6" t="s">
        <v>51</v>
      </c>
      <c r="B28" s="6" t="s">
        <v>9</v>
      </c>
    </row>
    <row r="29" spans="1:2" x14ac:dyDescent="0.45">
      <c r="A29" s="6" t="s">
        <v>52</v>
      </c>
      <c r="B29" s="6" t="s">
        <v>8</v>
      </c>
    </row>
    <row r="30" spans="1:2" x14ac:dyDescent="0.45">
      <c r="A30" s="6" t="s">
        <v>53</v>
      </c>
      <c r="B30" s="6" t="s">
        <v>7</v>
      </c>
    </row>
    <row r="31" spans="1:2" x14ac:dyDescent="0.45">
      <c r="A31" s="6" t="s">
        <v>54</v>
      </c>
      <c r="B31" s="6" t="s">
        <v>6</v>
      </c>
    </row>
    <row r="32" spans="1:2" x14ac:dyDescent="0.45">
      <c r="A32" s="6" t="s">
        <v>55</v>
      </c>
      <c r="B32" s="6" t="s">
        <v>5</v>
      </c>
    </row>
    <row r="33" spans="1:2" x14ac:dyDescent="0.45">
      <c r="A33" s="6" t="s">
        <v>56</v>
      </c>
      <c r="B33" s="6" t="s">
        <v>4</v>
      </c>
    </row>
    <row r="34" spans="1:2" x14ac:dyDescent="0.45">
      <c r="A34" s="6" t="s">
        <v>57</v>
      </c>
      <c r="B34" s="6" t="s">
        <v>3</v>
      </c>
    </row>
    <row r="35" spans="1:2" x14ac:dyDescent="0.45">
      <c r="A35" s="6" t="s">
        <v>58</v>
      </c>
      <c r="B35" s="6" t="s">
        <v>2</v>
      </c>
    </row>
    <row r="36" spans="1:2" x14ac:dyDescent="0.45">
      <c r="A36" s="6" t="s">
        <v>59</v>
      </c>
      <c r="B36" s="6" t="s">
        <v>1</v>
      </c>
    </row>
    <row r="37" spans="1:2" x14ac:dyDescent="0.4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7"/>
  <sheetViews>
    <sheetView tabSelected="1" workbookViewId="0">
      <selection activeCell="H6" sqref="H6"/>
    </sheetView>
  </sheetViews>
  <sheetFormatPr defaultColWidth="9.1328125" defaultRowHeight="14.25" x14ac:dyDescent="0.45"/>
  <cols>
    <col min="1" max="1" width="9.1328125" style="8"/>
    <col min="2" max="2" width="14" style="8" bestFit="1" customWidth="1"/>
    <col min="3" max="3" width="27.9296875" style="8" bestFit="1" customWidth="1"/>
    <col min="4" max="4" width="26.9296875" style="8" bestFit="1" customWidth="1"/>
    <col min="5" max="5" width="27.9296875" style="8" bestFit="1" customWidth="1"/>
    <col min="6" max="6" width="25.9296875" style="8" bestFit="1" customWidth="1"/>
    <col min="7" max="12" width="9.1328125" style="8"/>
    <col min="13" max="13" width="10.59765625" style="8" bestFit="1" customWidth="1"/>
    <col min="14" max="14" width="12" style="8" bestFit="1" customWidth="1"/>
    <col min="15" max="16384" width="9.1328125" style="8"/>
  </cols>
  <sheetData>
    <row r="1" spans="1:17" x14ac:dyDescent="0.4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4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45">
      <c r="A4"/>
      <c r="B4" t="s">
        <v>61</v>
      </c>
      <c r="C4" s="8" t="str">
        <f xml:space="preserve"> _xlfn.TEXTJOIN("_",TRUE,"UC","CB",ROUND(C7,0),"Mt",C6)</f>
        <v>UC_CB_166_Mt_2021-2025</v>
      </c>
      <c r="D4" s="8" t="str">
        <f t="shared" ref="D4:E4" si="0" xml:space="preserve"> _xlfn.TEXTJOIN("_",TRUE,"UC","CB",ROUND(D7,0),"Mt",D6)</f>
        <v>UC_CB_96_Mt_2026-2030</v>
      </c>
      <c r="E4" s="8" t="str">
        <f t="shared" si="0"/>
        <v>UC_CB_104_Mt_2031-2050</v>
      </c>
      <c r="F4" s="8" t="str">
        <f t="shared" ref="F4" si="1" xml:space="preserve"> _xlfn.TEXTJOIN("_",TRUE,"UC","CB",ROUND(F7,0),"Mt",F6)</f>
        <v>UC_CB_0_Mt_2051-2100</v>
      </c>
      <c r="G4"/>
      <c r="H4"/>
      <c r="I4"/>
      <c r="J4"/>
      <c r="K4"/>
      <c r="L4"/>
      <c r="M4"/>
      <c r="N4"/>
      <c r="O4"/>
      <c r="P4"/>
      <c r="Q4"/>
    </row>
    <row r="5" spans="1:17" x14ac:dyDescent="0.45">
      <c r="A5"/>
      <c r="B5" t="s">
        <v>68</v>
      </c>
      <c r="C5" t="str">
        <f xml:space="preserve"> _xlfn.TEXTJOIN(" ",TRUE,"Carbon budget",ROUND(C7,0),"Mt",C6)</f>
        <v>Carbon budget 166 Mt 2021-2025</v>
      </c>
      <c r="D5" s="8" t="str">
        <f t="shared" ref="D5:F5" si="2" xml:space="preserve"> _xlfn.TEXTJOIN(" ",TRUE,"Carbon budget",ROUND(D7,0),"Mt",D6)</f>
        <v>Carbon budget 96 Mt 2026-2030</v>
      </c>
      <c r="E5" s="8" t="str">
        <f t="shared" si="2"/>
        <v>Carbon budget 104 Mt 2031-2050</v>
      </c>
      <c r="F5" s="8" t="str">
        <f t="shared" si="2"/>
        <v>Carbon budget 0 Mt 2051-2100</v>
      </c>
      <c r="G5"/>
      <c r="H5"/>
      <c r="I5"/>
      <c r="J5"/>
      <c r="K5"/>
      <c r="L5"/>
      <c r="M5"/>
      <c r="N5"/>
      <c r="O5"/>
      <c r="P5"/>
      <c r="Q5"/>
    </row>
    <row r="6" spans="1:17" x14ac:dyDescent="0.45">
      <c r="B6" s="8" t="s">
        <v>74</v>
      </c>
      <c r="C6" s="8" t="s">
        <v>106</v>
      </c>
      <c r="D6" s="8" t="s">
        <v>107</v>
      </c>
      <c r="E6" s="8" t="s">
        <v>108</v>
      </c>
      <c r="F6" s="8" t="s">
        <v>84</v>
      </c>
    </row>
    <row r="7" spans="1:17" x14ac:dyDescent="0.45">
      <c r="B7" s="8" t="s">
        <v>69</v>
      </c>
      <c r="C7" s="8">
        <f>170.2-3.9</f>
        <v>166.29999999999998</v>
      </c>
      <c r="D7" s="8">
        <f>104.33-7.85</f>
        <v>96.48</v>
      </c>
      <c r="E7" s="8">
        <v>104.33</v>
      </c>
      <c r="F7" s="8">
        <v>0</v>
      </c>
    </row>
    <row r="8" spans="1:17" x14ac:dyDescent="0.45">
      <c r="B8" s="8" t="s">
        <v>82</v>
      </c>
      <c r="C8" s="8" t="s">
        <v>83</v>
      </c>
      <c r="D8" s="8" t="s">
        <v>83</v>
      </c>
      <c r="E8" s="8" t="s">
        <v>83</v>
      </c>
      <c r="F8" s="8" t="s">
        <v>83</v>
      </c>
    </row>
    <row r="9" spans="1:17" x14ac:dyDescent="0.45">
      <c r="B9" s="8" t="s">
        <v>62</v>
      </c>
      <c r="C9" s="8" t="s">
        <v>80</v>
      </c>
      <c r="D9" s="8" t="s">
        <v>80</v>
      </c>
      <c r="E9" s="8" t="s">
        <v>80</v>
      </c>
      <c r="F9" s="8" t="s">
        <v>80</v>
      </c>
    </row>
    <row r="10" spans="1:17" x14ac:dyDescent="0.45">
      <c r="B10" s="8" t="s">
        <v>73</v>
      </c>
      <c r="C10" s="8" t="s">
        <v>79</v>
      </c>
      <c r="D10" s="8" t="s">
        <v>79</v>
      </c>
      <c r="E10" s="8" t="s">
        <v>79</v>
      </c>
      <c r="F10" s="8" t="s">
        <v>79</v>
      </c>
    </row>
    <row r="11" spans="1:17" x14ac:dyDescent="0.45">
      <c r="B11" s="8" t="s">
        <v>77</v>
      </c>
      <c r="C11" s="8" t="s">
        <v>78</v>
      </c>
      <c r="D11" s="8" t="s">
        <v>78</v>
      </c>
      <c r="E11" s="8" t="s">
        <v>78</v>
      </c>
      <c r="F11" s="8" t="s">
        <v>78</v>
      </c>
    </row>
    <row r="12" spans="1:17" x14ac:dyDescent="0.45">
      <c r="B12" s="8" t="s">
        <v>0</v>
      </c>
      <c r="C12" s="8" t="s">
        <v>70</v>
      </c>
      <c r="D12" s="8" t="s">
        <v>70</v>
      </c>
      <c r="E12" s="8" t="s">
        <v>70</v>
      </c>
      <c r="F12" s="8" t="s">
        <v>70</v>
      </c>
    </row>
    <row r="13" spans="1:17" x14ac:dyDescent="0.45">
      <c r="B13" s="8" t="s">
        <v>81</v>
      </c>
      <c r="C13" s="8">
        <v>-1</v>
      </c>
      <c r="D13" s="8">
        <v>-1</v>
      </c>
      <c r="E13" s="8">
        <v>-1</v>
      </c>
      <c r="F13" s="8">
        <v>-1</v>
      </c>
    </row>
    <row r="14" spans="1:17" x14ac:dyDescent="0.45">
      <c r="A14"/>
      <c r="B14" t="s">
        <v>76</v>
      </c>
      <c r="C14">
        <v>1</v>
      </c>
      <c r="D14" s="8">
        <v>1</v>
      </c>
      <c r="E14" s="8">
        <v>1</v>
      </c>
      <c r="F14" s="8">
        <v>1</v>
      </c>
      <c r="G14"/>
      <c r="H14"/>
      <c r="I14"/>
      <c r="J14"/>
      <c r="K14"/>
      <c r="L14"/>
      <c r="M14"/>
      <c r="N14"/>
      <c r="O14"/>
      <c r="P14"/>
      <c r="Q14"/>
    </row>
    <row r="15" spans="1:17" x14ac:dyDescent="0.4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4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4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4"/>
  <sheetViews>
    <sheetView workbookViewId="0">
      <selection activeCell="A17" sqref="A17"/>
    </sheetView>
  </sheetViews>
  <sheetFormatPr defaultColWidth="9.1328125" defaultRowHeight="14.25" x14ac:dyDescent="0.45"/>
  <cols>
    <col min="1" max="1" width="9.1328125" style="8"/>
    <col min="2" max="2" width="28.59765625" style="8" bestFit="1" customWidth="1"/>
    <col min="3" max="3" width="12" style="8" bestFit="1" customWidth="1"/>
    <col min="4" max="4" width="8.46484375" style="8" bestFit="1" customWidth="1"/>
    <col min="5" max="5" width="14.3984375" style="8" bestFit="1" customWidth="1"/>
    <col min="6" max="6" width="9.33203125" style="8" bestFit="1" customWidth="1"/>
    <col min="7" max="7" width="13.46484375" style="8" bestFit="1" customWidth="1"/>
    <col min="8" max="8" width="8.46484375" style="8" bestFit="1" customWidth="1"/>
    <col min="9" max="9" width="12.59765625" style="8" bestFit="1" customWidth="1"/>
    <col min="10" max="10" width="12.1328125" style="8" bestFit="1" customWidth="1"/>
    <col min="11" max="11" width="9.46484375" style="8" bestFit="1" customWidth="1"/>
    <col min="12" max="12" width="34.265625" style="8" bestFit="1" customWidth="1"/>
    <col min="13" max="16384" width="9.1328125" style="8"/>
  </cols>
  <sheetData>
    <row r="1" spans="1:12" x14ac:dyDescent="0.45">
      <c r="A1" s="8" t="s">
        <v>64</v>
      </c>
    </row>
    <row r="2" spans="1:12" x14ac:dyDescent="0.45">
      <c r="B2" s="11" t="str">
        <f>"~UC_Sets: R_E: "  &amp; _xlfn.TEXTJOIN(",",TRUE,Regions!C3)</f>
        <v>~UC_Sets: R_E: IE</v>
      </c>
    </row>
    <row r="3" spans="1:12" x14ac:dyDescent="0.45">
      <c r="B3" s="11" t="s">
        <v>75</v>
      </c>
    </row>
    <row r="4" spans="1:12" x14ac:dyDescent="0.45">
      <c r="H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4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45">
      <c r="B7" s="8" t="str">
        <f>VLOOKUP($B$5, config!$B$4:$F$14,2,FALSE) &amp; "_Single"</f>
        <v>UC_CB_166_Mt_2021-2025_Single</v>
      </c>
      <c r="C7" s="8" t="str">
        <f>VLOOKUP(C$5, config!$B$4:$F$14,2,FALSE)</f>
        <v>*CO2*,-*CO2S</v>
      </c>
      <c r="D7" s="8" t="str">
        <f>VLOOKUP(D$5, config!$B$4:$F$14,2,FALSE)</f>
        <v>ENV</v>
      </c>
      <c r="F7" s="8" t="str">
        <f>VLOOKUP(F$5, config!$B$4:$F$14,2,FALSE)</f>
        <v>2021-2025</v>
      </c>
      <c r="G7" s="8" t="str">
        <f>VLOOKUP(G$5, config!$B$4:$F$14,2,FALSE)</f>
        <v>NET</v>
      </c>
      <c r="H7" s="8" t="str">
        <f>VLOOKUP(H$5, config!$B$4:$F$14,2,FALSE)</f>
        <v>UP</v>
      </c>
      <c r="I7" s="8">
        <f>VLOOKUP(I$5, config!$B$4:$F$14,2,FALSE)</f>
        <v>1</v>
      </c>
      <c r="K7" s="8">
        <f>VLOOKUP("Value", config!$B$4:$F$14,2,FALSE)*1000</f>
        <v>166299.99999999997</v>
      </c>
      <c r="L7" s="8" t="str">
        <f>VLOOKUP($L$5, config!$B$4:$F$14,2,FALSE) &amp; " - Single"</f>
        <v>Carbon budget 166 Mt 2021-2025 - Single</v>
      </c>
    </row>
    <row r="8" spans="1:12" x14ac:dyDescent="0.4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 t="str">
        <f>VLOOKUP(F$5, config!$B$4:$F$14,2,FALSE)</f>
        <v>2021-2025</v>
      </c>
      <c r="J8" s="8">
        <f>VLOOKUP(J$5, config!$B$4:$F$14,2,FALSE)</f>
        <v>-1</v>
      </c>
    </row>
    <row r="9" spans="1:12" x14ac:dyDescent="0.45">
      <c r="B9" s="8" t="str">
        <f>VLOOKUP($B$5, config!$B$4:$F$14,3,FALSE) &amp; "_Single"</f>
        <v>UC_CB_96_Mt_2026-2030_Single</v>
      </c>
      <c r="C9" s="8" t="str">
        <f>VLOOKUP(C$5, config!$B$4:$F$14,3,FALSE)</f>
        <v>*CO2*,-*CO2S</v>
      </c>
      <c r="D9" s="8" t="str">
        <f>VLOOKUP(D$5, config!$B$4:$F$14,3,FALSE)</f>
        <v>ENV</v>
      </c>
      <c r="F9" s="8" t="str">
        <f>VLOOKUP(F$5, config!$B$4:$F$14,3,FALSE)</f>
        <v>2026-2030</v>
      </c>
      <c r="G9" s="8" t="str">
        <f>VLOOKUP(G$5, config!$B$4:$F$14,3,FALSE)</f>
        <v>NET</v>
      </c>
      <c r="H9" s="8" t="str">
        <f>VLOOKUP(H$5, config!$B$4:$F$14,3,FALSE)</f>
        <v>UP</v>
      </c>
      <c r="I9" s="8">
        <f>VLOOKUP(I$5, config!$B$4:$F$14,3,FALSE)</f>
        <v>1</v>
      </c>
      <c r="K9" s="8">
        <f>VLOOKUP("Value", config!$B$4:$F$14,3,FALSE)*1000</f>
        <v>96480</v>
      </c>
      <c r="L9" s="8" t="str">
        <f>VLOOKUP($L$5, config!$B$4:$F$14,3,FALSE) &amp; " - Single"</f>
        <v>Carbon budget 96 Mt 2026-2030 - Single</v>
      </c>
    </row>
    <row r="10" spans="1:12" x14ac:dyDescent="0.4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 t="str">
        <f>VLOOKUP(F$5, config!$B$4:$F$14,3,FALSE)</f>
        <v>2026-2030</v>
      </c>
      <c r="J10" s="8">
        <f>VLOOKUP(J$5, config!$B$4:$F$14,3,FALSE)</f>
        <v>-1</v>
      </c>
    </row>
    <row r="11" spans="1:12" x14ac:dyDescent="0.45">
      <c r="B11" s="8" t="str">
        <f>VLOOKUP($B$5, config!$B$4:$F$14,4,FALSE) &amp; "_Single"</f>
        <v>UC_CB_104_Mt_2031-2050_Single</v>
      </c>
      <c r="C11" s="8" t="str">
        <f>VLOOKUP(C$5, config!$B$4:$F$14,4,FALSE)</f>
        <v>*CO2*,-*CO2S</v>
      </c>
      <c r="D11" s="8" t="str">
        <f>VLOOKUP(D$5, config!$B$4:$F$14,4,FALSE)</f>
        <v>ENV</v>
      </c>
      <c r="F11" s="8" t="str">
        <f>VLOOKUP(F$5, config!$B$4:$F$14,4,FALSE)</f>
        <v>2031-2050</v>
      </c>
      <c r="G11" s="8" t="str">
        <f>VLOOKUP(G$5, config!$B$4:$F$14,4,FALSE)</f>
        <v>NET</v>
      </c>
      <c r="H11" s="8" t="str">
        <f>VLOOKUP(H$5, config!$B$4:$F$14,4,FALSE)</f>
        <v>UP</v>
      </c>
      <c r="I11" s="8">
        <f>VLOOKUP(I$5, config!$B$4:$F$14,4,FALSE)</f>
        <v>1</v>
      </c>
      <c r="K11" s="8">
        <f>VLOOKUP("Value", config!$B$4:$F$14,4,FALSE)*1000</f>
        <v>104330</v>
      </c>
      <c r="L11" s="8" t="str">
        <f>VLOOKUP($L$5, config!$B$4:$F$14,4,FALSE) &amp; " - Single"</f>
        <v>Carbon budget 104 Mt 2031-2050 - Single</v>
      </c>
    </row>
    <row r="12" spans="1:12" x14ac:dyDescent="0.4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 t="str">
        <f>VLOOKUP(F$5, config!$B$4:$F$14,4,FALSE)</f>
        <v>2031-2050</v>
      </c>
      <c r="J12" s="8">
        <f>VLOOKUP(J$5, config!$B$4:$F$14,4,FALSE)</f>
        <v>-1</v>
      </c>
    </row>
    <row r="13" spans="1:12" x14ac:dyDescent="0.45">
      <c r="B13" s="8" t="str">
        <f>VLOOKUP($B$5, config!$B$4:$F$14,5,FALSE) &amp; "_Single"</f>
        <v>UC_CB_0_Mt_2051-2100_Single</v>
      </c>
      <c r="C13" s="8" t="str">
        <f>VLOOKUP(C$5, config!$B$4:$F$14,5,FALSE)</f>
        <v>*CO2*,-*CO2S</v>
      </c>
      <c r="D13" s="8" t="str">
        <f>VLOOKUP(D$5, config!$B$4:$F$14,5,FALSE)</f>
        <v>ENV</v>
      </c>
      <c r="F13" s="8" t="str">
        <f>VLOOKUP(F$5, config!$B$4:$F$14,5,FALSE)</f>
        <v>2051-2100</v>
      </c>
      <c r="G13" s="8" t="str">
        <f>VLOOKUP(G$5, config!$B$4:$F$14,5,FALSE)</f>
        <v>NET</v>
      </c>
      <c r="H13" s="8" t="str">
        <f>VLOOKUP(H$5, config!$B$4:$F$14,5,FALSE)</f>
        <v>UP</v>
      </c>
      <c r="I13" s="8">
        <f>VLOOKUP(I$5, config!$B$4:$F$14,5,FALSE)</f>
        <v>1</v>
      </c>
      <c r="K13" s="8">
        <f>VLOOKUP("Value", config!$B$4:$F$14,5,FALSE)*1000</f>
        <v>0</v>
      </c>
      <c r="L13" s="8" t="str">
        <f>VLOOKUP($L$5, config!$B$4:$F$14,5,FALSE) &amp; " - Single"</f>
        <v>Carbon budget 0 Mt 2051-2100 - Single</v>
      </c>
    </row>
    <row r="14" spans="1:12" x14ac:dyDescent="0.45">
      <c r="C14" s="8" t="str">
        <f>VLOOKUP(C$5, config!$B$4:$F$14,5,FALSE)</f>
        <v>*CO2*,-*CO2S</v>
      </c>
      <c r="D14" s="8" t="str">
        <f>VLOOKUP(D$5, config!$B$4:$F$14,5,FALSE)</f>
        <v>ENV</v>
      </c>
      <c r="E14" s="8" t="str">
        <f>VLOOKUP(E$5, config!$B$4:$F$14,5,FALSE)</f>
        <v>T-A*INT*,T-NAV*</v>
      </c>
      <c r="F14" s="8" t="str">
        <f>VLOOKUP(F$5, config!$B$4:$F$14,5,FALSE)</f>
        <v>2051-2100</v>
      </c>
      <c r="J14" s="8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4"/>
  <sheetViews>
    <sheetView workbookViewId="0">
      <selection activeCell="A4" sqref="A4"/>
    </sheetView>
  </sheetViews>
  <sheetFormatPr defaultColWidth="9.1328125" defaultRowHeight="14.25" x14ac:dyDescent="0.45"/>
  <cols>
    <col min="1" max="1" width="9.1328125" style="8"/>
    <col min="2" max="2" width="28.33203125" style="8" customWidth="1"/>
    <col min="3" max="3" width="12" style="8" bestFit="1" customWidth="1"/>
    <col min="4" max="4" width="8.46484375" style="8" bestFit="1" customWidth="1"/>
    <col min="5" max="5" width="14.3984375" style="8" bestFit="1" customWidth="1"/>
    <col min="6" max="6" width="9.33203125" style="8" bestFit="1" customWidth="1"/>
    <col min="7" max="7" width="13.46484375" style="8" bestFit="1" customWidth="1"/>
    <col min="8" max="8" width="8.46484375" style="8" bestFit="1" customWidth="1"/>
    <col min="9" max="9" width="12.59765625" style="8" bestFit="1" customWidth="1"/>
    <col min="10" max="10" width="12.1328125" style="8" bestFit="1" customWidth="1"/>
    <col min="11" max="11" width="8.3984375" style="8" bestFit="1" customWidth="1"/>
    <col min="12" max="12" width="33.86328125" style="8" bestFit="1" customWidth="1"/>
    <col min="13" max="16384" width="9.1328125" style="8"/>
  </cols>
  <sheetData>
    <row r="1" spans="1:12" x14ac:dyDescent="0.45">
      <c r="A1" s="8" t="s">
        <v>66</v>
      </c>
    </row>
    <row r="2" spans="1:12" x14ac:dyDescent="0.4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45">
      <c r="B3" s="11" t="s">
        <v>75</v>
      </c>
    </row>
    <row r="4" spans="1:12" x14ac:dyDescent="0.45">
      <c r="H4" s="8" t="str">
        <f>IF(RIGHT(B2,1)&lt;&gt;" ","~UC_T","")</f>
        <v>~UC_T</v>
      </c>
    </row>
    <row r="5" spans="1:12" x14ac:dyDescent="0.4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4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45">
      <c r="B7" s="8" t="str">
        <f>VLOOKUP(B$5, config!$B$4:$F$14,2,FALSE) &amp; "_Multi"</f>
        <v>UC_CB_166_Mt_2021-2025_Multi</v>
      </c>
      <c r="C7" s="8" t="str">
        <f>VLOOKUP(C$5, config!$B$4:$F$14,2,FALSE)</f>
        <v>*CO2*,-*CO2S</v>
      </c>
      <c r="D7" s="8" t="str">
        <f>VLOOKUP(D$5, config!$B$4:$F$14,2,FALSE)</f>
        <v>ENV</v>
      </c>
      <c r="F7" s="8" t="str">
        <f>VLOOKUP(F$5, config!$B$4:$F$14,2,FALSE)</f>
        <v>2021-2025</v>
      </c>
      <c r="G7" s="8" t="str">
        <f>VLOOKUP(G$5, config!$B$4:$F$14,2,FALSE)</f>
        <v>NET</v>
      </c>
      <c r="H7" s="8" t="str">
        <f>VLOOKUP(H$5, config!$B$4:$F$14,2,FALSE)</f>
        <v>UP</v>
      </c>
      <c r="I7" s="8">
        <f>VLOOKUP(I$5, config!$B$4:$F$14,2,FALSE)</f>
        <v>1</v>
      </c>
      <c r="K7" s="8">
        <f>VLOOKUP("Value", config!$B$4:$F$14,2,FALSE)*1000</f>
        <v>166299.99999999997</v>
      </c>
      <c r="L7" s="8" t="str">
        <f>VLOOKUP(L$5, config!$B$4:$F$14,2,FALSE) &amp; " - Multi"</f>
        <v>Carbon budget 166 Mt 2021-2025 - Multi</v>
      </c>
    </row>
    <row r="8" spans="1:12" x14ac:dyDescent="0.45">
      <c r="C8" s="8" t="str">
        <f>VLOOKUP(C$5, config!$B$4:$F$14,2,FALSE)</f>
        <v>*CO2*,-*CO2S</v>
      </c>
      <c r="D8" s="8" t="str">
        <f>VLOOKUP(D$5, config!$B$4:$F$14,2,FALSE)</f>
        <v>ENV</v>
      </c>
      <c r="E8" s="8" t="str">
        <f>VLOOKUP(E$5, config!$B$4:$F$14,2,FALSE)</f>
        <v>T-A*INT*,T-NAV*</v>
      </c>
      <c r="F8" s="8" t="str">
        <f>VLOOKUP(F$5, config!$B$4:$F$14,2,FALSE)</f>
        <v>2021-2025</v>
      </c>
      <c r="J8" s="8">
        <f>VLOOKUP(J$5, config!$B$4:$F$14,2,FALSE)</f>
        <v>-1</v>
      </c>
    </row>
    <row r="9" spans="1:12" x14ac:dyDescent="0.45">
      <c r="B9" s="8" t="str">
        <f>VLOOKUP(B$5, config!$B$4:$F$14,3,FALSE) &amp; "_Multi"</f>
        <v>UC_CB_96_Mt_2026-2030_Multi</v>
      </c>
      <c r="C9" s="8" t="str">
        <f>VLOOKUP(C$5, config!$B$4:$F$14,3,FALSE)</f>
        <v>*CO2*,-*CO2S</v>
      </c>
      <c r="D9" s="8" t="str">
        <f>VLOOKUP(D$5, config!$B$4:$F$14,3,FALSE)</f>
        <v>ENV</v>
      </c>
      <c r="F9" s="8" t="str">
        <f>VLOOKUP(F$5, config!$B$4:$F$14,3,FALSE)</f>
        <v>2026-2030</v>
      </c>
      <c r="G9" s="8" t="str">
        <f>VLOOKUP(G$5, config!$B$4:$F$14,3,FALSE)</f>
        <v>NET</v>
      </c>
      <c r="H9" s="8" t="str">
        <f>VLOOKUP(H$5, config!$B$4:$F$14,3,FALSE)</f>
        <v>UP</v>
      </c>
      <c r="I9" s="8">
        <f>VLOOKUP(I$5, config!$B$4:$F$14,3,FALSE)</f>
        <v>1</v>
      </c>
      <c r="K9" s="8">
        <f>VLOOKUP("Value", config!$B$4:$F$14,3,FALSE)*1000</f>
        <v>96480</v>
      </c>
      <c r="L9" s="8" t="str">
        <f>VLOOKUP(L$5, config!$B$4:$F$14,3,FALSE) &amp; " - Multi"</f>
        <v>Carbon budget 96 Mt 2026-2030 - Multi</v>
      </c>
    </row>
    <row r="10" spans="1:12" x14ac:dyDescent="0.45">
      <c r="C10" s="8" t="str">
        <f>VLOOKUP(C$5, config!$B$4:$F$14,3,FALSE)</f>
        <v>*CO2*,-*CO2S</v>
      </c>
      <c r="D10" s="8" t="str">
        <f>VLOOKUP(D$5, config!$B$4:$F$14,3,FALSE)</f>
        <v>ENV</v>
      </c>
      <c r="E10" s="8" t="str">
        <f>VLOOKUP(E$5, config!$B$4:$F$14,3,FALSE)</f>
        <v>T-A*INT*,T-NAV*</v>
      </c>
      <c r="F10" s="8" t="str">
        <f>VLOOKUP(F$5, config!$B$4:$F$14,3,FALSE)</f>
        <v>2026-2030</v>
      </c>
      <c r="J10" s="8">
        <f>VLOOKUP(J$5, config!$B$4:$F$14,3,FALSE)</f>
        <v>-1</v>
      </c>
    </row>
    <row r="11" spans="1:12" x14ac:dyDescent="0.45">
      <c r="B11" s="8" t="str">
        <f>VLOOKUP(B$5, config!$B$4:$F$14,4,FALSE) &amp; "_Multi"</f>
        <v>UC_CB_104_Mt_2031-2050_Multi</v>
      </c>
      <c r="C11" s="8" t="str">
        <f>VLOOKUP(C$5, config!$B$4:$F$14,4,FALSE)</f>
        <v>*CO2*,-*CO2S</v>
      </c>
      <c r="D11" s="8" t="str">
        <f>VLOOKUP(D$5, config!$B$4:$F$14,4,FALSE)</f>
        <v>ENV</v>
      </c>
      <c r="F11" s="8" t="str">
        <f>VLOOKUP(F$5, config!$B$4:$F$14,4,FALSE)</f>
        <v>2031-2050</v>
      </c>
      <c r="G11" s="8" t="str">
        <f>VLOOKUP(G$5, config!$B$4:$F$14,4,FALSE)</f>
        <v>NET</v>
      </c>
      <c r="H11" s="8" t="str">
        <f>VLOOKUP(H$5, config!$B$4:$F$14,4,FALSE)</f>
        <v>UP</v>
      </c>
      <c r="I11" s="8">
        <f>VLOOKUP(I$5, config!$B$4:$F$14,4,FALSE)</f>
        <v>1</v>
      </c>
      <c r="K11" s="8">
        <f>VLOOKUP("Value", config!$B$4:$F$14,4,FALSE)*1000</f>
        <v>104330</v>
      </c>
      <c r="L11" s="8" t="str">
        <f>VLOOKUP(L$5, config!$B$4:$F$14,4,FALSE) &amp; " - Multi"</f>
        <v>Carbon budget 104 Mt 2031-2050 - Multi</v>
      </c>
    </row>
    <row r="12" spans="1:12" x14ac:dyDescent="0.45">
      <c r="C12" s="8" t="str">
        <f>VLOOKUP(C$5, config!$B$4:$F$14,4,FALSE)</f>
        <v>*CO2*,-*CO2S</v>
      </c>
      <c r="D12" s="8" t="str">
        <f>VLOOKUP(D$5, config!$B$4:$F$14,4,FALSE)</f>
        <v>ENV</v>
      </c>
      <c r="E12" s="8" t="str">
        <f>VLOOKUP(E$5, config!$B$4:$F$14,4,FALSE)</f>
        <v>T-A*INT*,T-NAV*</v>
      </c>
      <c r="F12" s="8" t="str">
        <f>VLOOKUP(F$5, config!$B$4:$F$14,4,FALSE)</f>
        <v>2031-2050</v>
      </c>
      <c r="J12" s="8">
        <f>VLOOKUP(J$5, config!$B$4:$F$14,4,FALSE)</f>
        <v>-1</v>
      </c>
    </row>
    <row r="13" spans="1:12" x14ac:dyDescent="0.45">
      <c r="B13" s="8" t="str">
        <f>VLOOKUP(B$5, config!$B$4:$F$14,5,FALSE) &amp; "_Multi"</f>
        <v>UC_CB_0_Mt_2051-2100_Multi</v>
      </c>
      <c r="C13" s="8" t="str">
        <f>VLOOKUP(C$5, config!$B$4:$F$14,5,FALSE)</f>
        <v>*CO2*,-*CO2S</v>
      </c>
      <c r="D13" s="8" t="str">
        <f>VLOOKUP(D$5, config!$B$4:$F$14,5,FALSE)</f>
        <v>ENV</v>
      </c>
      <c r="F13" s="8" t="str">
        <f>VLOOKUP(F$5, config!$B$4:$F$14,5,FALSE)</f>
        <v>2051-2100</v>
      </c>
      <c r="G13" s="8" t="str">
        <f>VLOOKUP(G$5, config!$B$4:$F$14,5,FALSE)</f>
        <v>NET</v>
      </c>
      <c r="H13" s="8" t="str">
        <f>VLOOKUP(H$5, config!$B$4:$F$14,5,FALSE)</f>
        <v>UP</v>
      </c>
      <c r="I13" s="8">
        <f>VLOOKUP(I$5, config!$B$4:$F$14,5,FALSE)</f>
        <v>1</v>
      </c>
      <c r="K13" s="8">
        <f>VLOOKUP("Value", config!$B$4:$F$14,5,FALSE)*1000</f>
        <v>0</v>
      </c>
      <c r="L13" s="8" t="str">
        <f>VLOOKUP(L$5, config!$B$4:$F$14,5,FALSE) &amp; " - Multi"</f>
        <v>Carbon budget 0 Mt 2051-2100 - Multi</v>
      </c>
    </row>
    <row r="14" spans="1:12" x14ac:dyDescent="0.45">
      <c r="C14" s="8" t="str">
        <f>VLOOKUP(C$5, config!$B$4:$F$14,5,FALSE)</f>
        <v>*CO2*,-*CO2S</v>
      </c>
      <c r="D14" s="8" t="str">
        <f>VLOOKUP(D$5, config!$B$4:$F$14,5,FALSE)</f>
        <v>ENV</v>
      </c>
      <c r="E14" s="8" t="str">
        <f>VLOOKUP(E$5, config!$B$4:$F$14,5,FALSE)</f>
        <v>T-A*INT*,T-NAV*</v>
      </c>
      <c r="F14" s="8" t="str">
        <f>VLOOKUP(F$5, config!$B$4:$F$14,5,FALSE)</f>
        <v>2051-2100</v>
      </c>
      <c r="J14" s="8">
        <f>VLOOKUP(J$5, config!$B$4:$F$14,5,FALSE)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4.25" x14ac:dyDescent="0.45"/>
  <cols>
    <col min="2" max="2" width="10.1328125" bestFit="1" customWidth="1"/>
    <col min="4" max="4" width="13.73046875" bestFit="1" customWidth="1"/>
    <col min="5" max="5" width="5.1328125" bestFit="1" customWidth="1"/>
    <col min="6" max="6" width="10.1328125" bestFit="1" customWidth="1"/>
  </cols>
  <sheetData>
    <row r="2" spans="2:8" x14ac:dyDescent="0.45">
      <c r="B2" s="16" t="s">
        <v>85</v>
      </c>
      <c r="C2" s="8"/>
      <c r="D2" s="8"/>
      <c r="E2" s="8"/>
      <c r="F2" s="8"/>
      <c r="G2" s="8"/>
      <c r="H2" s="8"/>
    </row>
    <row r="3" spans="2:8" ht="14.65" thickBot="1" x14ac:dyDescent="0.5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4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2022-04-29T12:18:26Z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458655953407287</vt:r8>
  </property>
</Properties>
</file>