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Veda\Veda_models\TIM 2100\"/>
    </mc:Choice>
  </mc:AlternateContent>
  <xr:revisionPtr revIDLastSave="0" documentId="13_ncr:1_{A8DEBDC8-46F4-4E06-AB11-538E674517DD}" xr6:coauthVersionLast="47" xr6:coauthVersionMax="47" xr10:uidLastSave="{00000000-0000-0000-0000-000000000000}"/>
  <bookViews>
    <workbookView xWindow="-110" yWindow="-110" windowWidth="25820" windowHeight="13900" firstSheet="3" activeTab="6" xr2:uid="{00000000-000D-0000-FFFF-FFFF00000000}"/>
  </bookViews>
  <sheets>
    <sheet name="Cover" sheetId="72" r:id="rId1"/>
    <sheet name="Intro" sheetId="57" r:id="rId2"/>
    <sheet name="EB2018" sheetId="56" r:id="rId3"/>
    <sheet name="Regions" sheetId="67" r:id="rId4"/>
    <sheet name="Commodities" sheetId="40" r:id="rId5"/>
    <sheet name="Processes" sheetId="70" r:id="rId6"/>
    <sheet name="FT" sheetId="65" r:id="rId7"/>
    <sheet name="Stock" sheetId="59" r:id="rId8"/>
    <sheet name="ACT2FLO" sheetId="58" r:id="rId9"/>
    <sheet name="Demands" sheetId="43" r:id="rId10"/>
    <sheet name="Aviation" sheetId="73" r:id="rId11"/>
    <sheet name="Efficiency" sheetId="60" r:id="rId12"/>
    <sheet name="AF" sheetId="61" r:id="rId13"/>
    <sheet name="On-Road Fac." sheetId="63" r:id="rId14"/>
    <sheet name="Conversions" sheetId="71" r:id="rId15"/>
  </sheets>
  <definedNames>
    <definedName name="__123Graph_AEUMILKPN" localSheetId="14" hidden="1">#REF!</definedName>
    <definedName name="__123Graph_AEUMILKPN" localSheetId="0" hidden="1">#REF!</definedName>
    <definedName name="__123Graph_AEUMILKPN" hidden="1">#REF!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1</definedName>
    <definedName name="_AtRisk_SimSetting_StdRecalcWithoutRiskStatic" hidden="1">0</definedName>
    <definedName name="_AtRisk_SimSetting_StdRecalcWithoutRiskStaticPercentile" hidden="1">0.5</definedName>
    <definedName name="_Regression_Y" localSheetId="14" hidden="1">#REF!</definedName>
    <definedName name="_Regression_Y" hidden="1">#REF!</definedName>
    <definedName name="aa"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2030000</definedName>
    <definedName name="RiskHasSettings" hidden="1">5</definedName>
    <definedName name="RiskMinimizeOnStart" hidden="1">FALSE</definedName>
    <definedName name="RiskMonitorConvergence"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table6"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3" i="65" l="1"/>
  <c r="O23" i="65"/>
  <c r="O22" i="65"/>
  <c r="N22" i="65"/>
  <c r="L22" i="65"/>
  <c r="E39" i="59"/>
  <c r="E38" i="59"/>
  <c r="D24" i="65"/>
  <c r="D23" i="65"/>
  <c r="D22" i="65"/>
  <c r="D21" i="65"/>
  <c r="D20" i="65"/>
  <c r="E21" i="65"/>
  <c r="E22" i="65"/>
  <c r="E23" i="65"/>
  <c r="E24" i="65"/>
  <c r="E20" i="65"/>
  <c r="C21" i="65"/>
  <c r="C22" i="65"/>
  <c r="C23" i="65"/>
  <c r="C24" i="65"/>
  <c r="C20" i="65"/>
  <c r="C59" i="70"/>
  <c r="C60" i="70"/>
  <c r="C61" i="70"/>
  <c r="C62" i="70"/>
  <c r="C63" i="70"/>
  <c r="C39" i="59"/>
  <c r="E19" i="73"/>
  <c r="E18" i="73"/>
  <c r="E17" i="73"/>
  <c r="C38" i="59"/>
  <c r="F42" i="73"/>
  <c r="H42" i="73"/>
  <c r="G41" i="73"/>
  <c r="G42" i="73" s="1"/>
  <c r="H41" i="73"/>
  <c r="F41" i="73"/>
  <c r="C41" i="73"/>
  <c r="C42" i="73"/>
  <c r="C40" i="73"/>
  <c r="G17" i="73"/>
  <c r="G18" i="73" s="1"/>
  <c r="G19" i="73" s="1"/>
  <c r="B31" i="73"/>
  <c r="B32" i="73"/>
  <c r="B30" i="73"/>
  <c r="U20" i="73"/>
  <c r="U19" i="73"/>
  <c r="U22" i="73"/>
  <c r="U18" i="73"/>
  <c r="U21" i="73" s="1"/>
  <c r="D19" i="73"/>
  <c r="D18" i="73"/>
  <c r="D17" i="73"/>
  <c r="F6" i="59"/>
  <c r="B18" i="73"/>
  <c r="B19" i="73"/>
  <c r="B17" i="73"/>
  <c r="E19" i="65"/>
  <c r="C19" i="65"/>
  <c r="C58" i="70"/>
  <c r="B34" i="40"/>
  <c r="B35" i="40"/>
  <c r="B36" i="40"/>
  <c r="B43" i="40"/>
  <c r="C7" i="43"/>
  <c r="E694" i="43" s="1"/>
  <c r="D5" i="43"/>
  <c r="E5" i="43"/>
  <c r="F5" i="43"/>
  <c r="G5" i="43"/>
  <c r="H5" i="43"/>
  <c r="I5" i="43"/>
  <c r="J5" i="43"/>
  <c r="K5" i="43"/>
  <c r="L5" i="43"/>
  <c r="M5" i="43"/>
  <c r="N5" i="43"/>
  <c r="O5" i="43"/>
  <c r="P5" i="43"/>
  <c r="Q5" i="43"/>
  <c r="R5" i="43"/>
  <c r="S5" i="43"/>
  <c r="T5" i="43"/>
  <c r="U5" i="43"/>
  <c r="V5" i="43"/>
  <c r="W5" i="43"/>
  <c r="X5" i="43"/>
  <c r="Y5" i="43"/>
  <c r="Z5" i="43"/>
  <c r="AA5" i="43"/>
  <c r="AB5" i="43"/>
  <c r="AC5" i="43"/>
  <c r="C5" i="43"/>
  <c r="D163" i="60"/>
  <c r="E163" i="60"/>
  <c r="F163" i="60"/>
  <c r="G163" i="60"/>
  <c r="I163" i="60"/>
  <c r="J163" i="60"/>
  <c r="K163" i="60"/>
  <c r="L163" i="60"/>
  <c r="M163" i="60"/>
  <c r="N163" i="60"/>
  <c r="O163" i="60"/>
  <c r="P163" i="60"/>
  <c r="Q163" i="60"/>
  <c r="R163" i="60"/>
  <c r="S163" i="60"/>
  <c r="T163" i="60"/>
  <c r="U163" i="60"/>
  <c r="V163" i="60"/>
  <c r="W163" i="60"/>
  <c r="X163" i="60"/>
  <c r="Y163" i="60"/>
  <c r="Z163" i="60"/>
  <c r="AA163" i="60"/>
  <c r="AB163" i="60"/>
  <c r="AC163" i="60"/>
  <c r="AD163" i="60"/>
  <c r="H163" i="60"/>
  <c r="E162" i="60"/>
  <c r="D162" i="60"/>
  <c r="C82" i="43"/>
  <c r="C404" i="43"/>
  <c r="D694" i="43"/>
  <c r="D695" i="43"/>
  <c r="D693" i="43"/>
  <c r="C693" i="43"/>
  <c r="C695" i="43"/>
  <c r="C405" i="43"/>
  <c r="E693" i="43" l="1"/>
  <c r="G693" i="43" s="1"/>
  <c r="E695" i="43"/>
  <c r="G695" i="43" s="1"/>
  <c r="E31" i="58" s="1"/>
  <c r="E696" i="43"/>
  <c r="F693" i="43"/>
  <c r="E9" i="60"/>
  <c r="E44" i="60" s="1"/>
  <c r="J14" i="65"/>
  <c r="J13" i="65"/>
  <c r="AB71" i="56"/>
  <c r="L71" i="56"/>
  <c r="H71" i="56"/>
  <c r="C71" i="56"/>
  <c r="AQ71" i="56" s="1"/>
  <c r="AB70" i="56"/>
  <c r="L70" i="56"/>
  <c r="H70" i="56"/>
  <c r="C70" i="56"/>
  <c r="AQ70" i="56" s="1"/>
  <c r="AB69" i="56"/>
  <c r="L69" i="56"/>
  <c r="H69" i="56"/>
  <c r="C69" i="56"/>
  <c r="AQ69" i="56" s="1"/>
  <c r="AB68" i="56"/>
  <c r="L68" i="56"/>
  <c r="H68" i="56"/>
  <c r="C68" i="56"/>
  <c r="AQ68" i="56" s="1"/>
  <c r="AB67" i="56"/>
  <c r="L67" i="56"/>
  <c r="H67" i="56"/>
  <c r="C67" i="56"/>
  <c r="AQ67" i="56" s="1"/>
  <c r="AB66" i="56"/>
  <c r="L66" i="56"/>
  <c r="AQ66" i="56" s="1"/>
  <c r="H66" i="56"/>
  <c r="C66" i="56"/>
  <c r="AE65" i="56"/>
  <c r="AB65" i="56"/>
  <c r="V65" i="56"/>
  <c r="L65" i="56" s="1"/>
  <c r="H65" i="56"/>
  <c r="D65" i="56"/>
  <c r="C65" i="56" s="1"/>
  <c r="AQ65" i="56" s="1"/>
  <c r="AQ64" i="56"/>
  <c r="AB64" i="56"/>
  <c r="L64" i="56"/>
  <c r="H64" i="56"/>
  <c r="C64" i="56"/>
  <c r="AB63" i="56"/>
  <c r="L63" i="56"/>
  <c r="H63" i="56"/>
  <c r="C63" i="56"/>
  <c r="AQ63" i="56" s="1"/>
  <c r="AB62" i="56"/>
  <c r="L62" i="56"/>
  <c r="H62" i="56"/>
  <c r="C62" i="56"/>
  <c r="AQ62" i="56" s="1"/>
  <c r="AB61" i="56"/>
  <c r="AQ61" i="56" s="1"/>
  <c r="L61" i="56"/>
  <c r="H61" i="56"/>
  <c r="C61" i="56"/>
  <c r="AB60" i="56"/>
  <c r="L60" i="56"/>
  <c r="H60" i="56"/>
  <c r="C60" i="56"/>
  <c r="AQ60" i="56" s="1"/>
  <c r="AB59" i="56"/>
  <c r="L59" i="56"/>
  <c r="H59" i="56"/>
  <c r="C59" i="56"/>
  <c r="AQ59" i="56" s="1"/>
  <c r="AP58" i="56"/>
  <c r="AP57" i="56" s="1"/>
  <c r="AN58" i="56"/>
  <c r="AN29" i="56" s="1"/>
  <c r="AJ58" i="56"/>
  <c r="AI58" i="56"/>
  <c r="AH58" i="56"/>
  <c r="AG58" i="56"/>
  <c r="AE58" i="56"/>
  <c r="AD58" i="56"/>
  <c r="AC58" i="56"/>
  <c r="AB58" i="56"/>
  <c r="AB57" i="56" s="1"/>
  <c r="Z58" i="56"/>
  <c r="Y58" i="56"/>
  <c r="X58" i="56"/>
  <c r="W58" i="56"/>
  <c r="W57" i="56" s="1"/>
  <c r="V58" i="56"/>
  <c r="R58" i="56"/>
  <c r="P58" i="56"/>
  <c r="P57" i="56" s="1"/>
  <c r="O58" i="56"/>
  <c r="O29" i="56" s="1"/>
  <c r="N58" i="56"/>
  <c r="M58" i="56"/>
  <c r="L58" i="56" s="1"/>
  <c r="L57" i="56" s="1"/>
  <c r="K58" i="56"/>
  <c r="K57" i="56" s="1"/>
  <c r="J58" i="56"/>
  <c r="I58" i="56"/>
  <c r="F58" i="56"/>
  <c r="C58" i="56" s="1"/>
  <c r="AO57" i="56"/>
  <c r="AM57" i="56"/>
  <c r="AL57" i="56"/>
  <c r="AK57" i="56"/>
  <c r="AJ57" i="56"/>
  <c r="AI57" i="56"/>
  <c r="AH57" i="56"/>
  <c r="AG57" i="56"/>
  <c r="AF57" i="56"/>
  <c r="AE57" i="56"/>
  <c r="AD57" i="56"/>
  <c r="AC57" i="56"/>
  <c r="AA57" i="56"/>
  <c r="Z57" i="56"/>
  <c r="Y57" i="56"/>
  <c r="X57" i="56"/>
  <c r="V57" i="56"/>
  <c r="U57" i="56"/>
  <c r="T57" i="56"/>
  <c r="S57" i="56"/>
  <c r="R57" i="56"/>
  <c r="Q57" i="56"/>
  <c r="N57" i="56"/>
  <c r="M57" i="56"/>
  <c r="J57" i="56"/>
  <c r="I57" i="56"/>
  <c r="G57" i="56"/>
  <c r="E57" i="56"/>
  <c r="D57" i="56"/>
  <c r="AB56" i="56"/>
  <c r="L56" i="56"/>
  <c r="H56" i="56"/>
  <c r="C56" i="56"/>
  <c r="AQ56" i="56" s="1"/>
  <c r="AQ55" i="56"/>
  <c r="AB55" i="56"/>
  <c r="L55" i="56"/>
  <c r="H55" i="56"/>
  <c r="C55" i="56"/>
  <c r="AB54" i="56"/>
  <c r="L54" i="56"/>
  <c r="H54" i="56"/>
  <c r="C54" i="56"/>
  <c r="AQ54" i="56" s="1"/>
  <c r="AB53" i="56"/>
  <c r="L53" i="56"/>
  <c r="H53" i="56"/>
  <c r="C53" i="56"/>
  <c r="AQ53" i="56" s="1"/>
  <c r="AB52" i="56"/>
  <c r="AQ52" i="56" s="1"/>
  <c r="L52" i="56"/>
  <c r="H52" i="56"/>
  <c r="C52" i="56"/>
  <c r="AB51" i="56"/>
  <c r="L51" i="56"/>
  <c r="H51" i="56"/>
  <c r="C51" i="56"/>
  <c r="AQ51" i="56" s="1"/>
  <c r="AB50" i="56"/>
  <c r="L50" i="56"/>
  <c r="H50" i="56"/>
  <c r="C50" i="56"/>
  <c r="AQ50" i="56" s="1"/>
  <c r="AB49" i="56"/>
  <c r="L49" i="56"/>
  <c r="L45" i="56" s="1"/>
  <c r="H49" i="56"/>
  <c r="C49" i="56"/>
  <c r="AB48" i="56"/>
  <c r="AB45" i="56" s="1"/>
  <c r="L48" i="56"/>
  <c r="H48" i="56"/>
  <c r="C48" i="56"/>
  <c r="AQ48" i="56" s="1"/>
  <c r="AQ47" i="56"/>
  <c r="AB47" i="56"/>
  <c r="L47" i="56"/>
  <c r="H47" i="56"/>
  <c r="C47" i="56"/>
  <c r="C45" i="56" s="1"/>
  <c r="AB46" i="56"/>
  <c r="L46" i="56"/>
  <c r="H46" i="56"/>
  <c r="H45" i="56" s="1"/>
  <c r="C46" i="56"/>
  <c r="AQ46" i="56" s="1"/>
  <c r="AP45" i="56"/>
  <c r="AO45" i="56"/>
  <c r="AN45" i="56"/>
  <c r="AM45" i="56"/>
  <c r="AL45" i="56"/>
  <c r="AK45" i="56"/>
  <c r="AK29" i="56" s="1"/>
  <c r="AJ45" i="56"/>
  <c r="AI45" i="56"/>
  <c r="AH45" i="56"/>
  <c r="AG45" i="56"/>
  <c r="AF45" i="56"/>
  <c r="AE45" i="56"/>
  <c r="AD45" i="56"/>
  <c r="AC45" i="56"/>
  <c r="AC29" i="56" s="1"/>
  <c r="AA45" i="56"/>
  <c r="Z45" i="56"/>
  <c r="Y45" i="56"/>
  <c r="X45" i="56"/>
  <c r="W45" i="56"/>
  <c r="V45" i="56"/>
  <c r="U45" i="56"/>
  <c r="U29" i="56" s="1"/>
  <c r="T45" i="56"/>
  <c r="S45" i="56"/>
  <c r="R45" i="56"/>
  <c r="Q45" i="56"/>
  <c r="P45" i="56"/>
  <c r="O45" i="56"/>
  <c r="N45" i="56"/>
  <c r="M45" i="56"/>
  <c r="K45" i="56"/>
  <c r="J45" i="56"/>
  <c r="I45" i="56"/>
  <c r="G45" i="56"/>
  <c r="F45" i="56"/>
  <c r="E45" i="56"/>
  <c r="E29" i="56" s="1"/>
  <c r="D45" i="56"/>
  <c r="AB44" i="56"/>
  <c r="L44" i="56"/>
  <c r="H44" i="56"/>
  <c r="C44" i="56"/>
  <c r="AQ44" i="56" s="1"/>
  <c r="AQ43" i="56"/>
  <c r="AB43" i="56"/>
  <c r="L43" i="56"/>
  <c r="H43" i="56"/>
  <c r="C43" i="56"/>
  <c r="AB42" i="56"/>
  <c r="L42" i="56"/>
  <c r="H42" i="56"/>
  <c r="C42" i="56"/>
  <c r="AQ42" i="56" s="1"/>
  <c r="AB41" i="56"/>
  <c r="L41" i="56"/>
  <c r="H41" i="56"/>
  <c r="C41" i="56"/>
  <c r="AQ41" i="56" s="1"/>
  <c r="AB40" i="56"/>
  <c r="AQ40" i="56" s="1"/>
  <c r="L40" i="56"/>
  <c r="H40" i="56"/>
  <c r="C40" i="56"/>
  <c r="AB39" i="56"/>
  <c r="L39" i="56"/>
  <c r="H39" i="56"/>
  <c r="C39" i="56"/>
  <c r="AQ39" i="56" s="1"/>
  <c r="AB38" i="56"/>
  <c r="L38" i="56"/>
  <c r="H38" i="56"/>
  <c r="C38" i="56"/>
  <c r="AQ38" i="56" s="1"/>
  <c r="AB37" i="56"/>
  <c r="L37" i="56"/>
  <c r="AQ37" i="56" s="1"/>
  <c r="H37" i="56"/>
  <c r="C37" i="56"/>
  <c r="AB36" i="56"/>
  <c r="L36" i="56"/>
  <c r="H36" i="56"/>
  <c r="C36" i="56"/>
  <c r="AQ36" i="56" s="1"/>
  <c r="AQ35" i="56"/>
  <c r="AB35" i="56"/>
  <c r="L35" i="56"/>
  <c r="H35" i="56"/>
  <c r="C35" i="56"/>
  <c r="AB34" i="56"/>
  <c r="L34" i="56"/>
  <c r="H34" i="56"/>
  <c r="H30" i="56" s="1"/>
  <c r="C34" i="56"/>
  <c r="AQ34" i="56" s="1"/>
  <c r="AB33" i="56"/>
  <c r="L33" i="56"/>
  <c r="L30" i="56" s="1"/>
  <c r="L29" i="56" s="1"/>
  <c r="H33" i="56"/>
  <c r="C33" i="56"/>
  <c r="AQ33" i="56" s="1"/>
  <c r="AB32" i="56"/>
  <c r="AQ32" i="56" s="1"/>
  <c r="L32" i="56"/>
  <c r="H32" i="56"/>
  <c r="C32" i="56"/>
  <c r="AB31" i="56"/>
  <c r="L31" i="56"/>
  <c r="H31" i="56"/>
  <c r="C31" i="56"/>
  <c r="AQ31" i="56" s="1"/>
  <c r="AP30" i="56"/>
  <c r="AN30" i="56"/>
  <c r="AM30" i="56"/>
  <c r="AM29" i="56" s="1"/>
  <c r="AL30" i="56"/>
  <c r="AK30" i="56"/>
  <c r="AJ30" i="56"/>
  <c r="AI30" i="56"/>
  <c r="AI29" i="56" s="1"/>
  <c r="AH30" i="56"/>
  <c r="AG30" i="56"/>
  <c r="AF30" i="56"/>
  <c r="AE30" i="56"/>
  <c r="AE29" i="56" s="1"/>
  <c r="AD30" i="56"/>
  <c r="AC30" i="56"/>
  <c r="Z30" i="56"/>
  <c r="Y30" i="56"/>
  <c r="X30" i="56"/>
  <c r="W30" i="56"/>
  <c r="R30" i="56"/>
  <c r="P30" i="56"/>
  <c r="O30" i="56"/>
  <c r="N30" i="56"/>
  <c r="M30" i="56"/>
  <c r="M29" i="56" s="1"/>
  <c r="K30" i="56"/>
  <c r="J30" i="56"/>
  <c r="I30" i="56"/>
  <c r="AP29" i="56"/>
  <c r="AO29" i="56"/>
  <c r="AL29" i="56"/>
  <c r="AJ29" i="56"/>
  <c r="AH29" i="56"/>
  <c r="AG29" i="56"/>
  <c r="AF29" i="56"/>
  <c r="AD29" i="56"/>
  <c r="AA29" i="56"/>
  <c r="Z29" i="56"/>
  <c r="Y29" i="56"/>
  <c r="X29" i="56"/>
  <c r="W29" i="56"/>
  <c r="V29" i="56"/>
  <c r="T29" i="56"/>
  <c r="S29" i="56"/>
  <c r="R29" i="56"/>
  <c r="Q29" i="56"/>
  <c r="P29" i="56"/>
  <c r="N29" i="56"/>
  <c r="K29" i="56"/>
  <c r="J29" i="56"/>
  <c r="I29" i="56"/>
  <c r="G29" i="56"/>
  <c r="D29" i="56"/>
  <c r="AB28" i="56"/>
  <c r="AB27" i="56" s="1"/>
  <c r="H28" i="56"/>
  <c r="C28" i="56"/>
  <c r="AP27" i="56"/>
  <c r="AO27" i="56"/>
  <c r="AN27" i="56"/>
  <c r="AM27" i="56"/>
  <c r="AL27" i="56"/>
  <c r="AK27" i="56"/>
  <c r="AJ27" i="56"/>
  <c r="AI27" i="56"/>
  <c r="AI8" i="56" s="1"/>
  <c r="AH27" i="56"/>
  <c r="AG27" i="56"/>
  <c r="AF27" i="56"/>
  <c r="AE27" i="56"/>
  <c r="AD27" i="56"/>
  <c r="AC27" i="56"/>
  <c r="AA27" i="56"/>
  <c r="AA8" i="56" s="1"/>
  <c r="V27" i="56"/>
  <c r="U27" i="56"/>
  <c r="T27" i="56"/>
  <c r="S27" i="56"/>
  <c r="R27" i="56"/>
  <c r="Q27" i="56"/>
  <c r="P27" i="56"/>
  <c r="O27" i="56"/>
  <c r="N27" i="56"/>
  <c r="M27" i="56"/>
  <c r="K27" i="56"/>
  <c r="J27" i="56"/>
  <c r="I27" i="56"/>
  <c r="H27" i="56"/>
  <c r="G27" i="56"/>
  <c r="F27" i="56"/>
  <c r="E27" i="56"/>
  <c r="D27" i="56"/>
  <c r="C27" i="56"/>
  <c r="AI26" i="56"/>
  <c r="AI72" i="56" s="1"/>
  <c r="AA26" i="56"/>
  <c r="AA72" i="56" s="1"/>
  <c r="S26" i="56"/>
  <c r="S72" i="56" s="1"/>
  <c r="K26" i="56"/>
  <c r="K72" i="56" s="1"/>
  <c r="AB25" i="56"/>
  <c r="L25" i="56"/>
  <c r="H25" i="56"/>
  <c r="AQ25" i="56" s="1"/>
  <c r="C25" i="56"/>
  <c r="AB24" i="56"/>
  <c r="L24" i="56"/>
  <c r="E24" i="56"/>
  <c r="C24" i="56" s="1"/>
  <c r="AQ23" i="56"/>
  <c r="AD22" i="56"/>
  <c r="AC22" i="56"/>
  <c r="AB22" i="56"/>
  <c r="AP21" i="56"/>
  <c r="AN21" i="56"/>
  <c r="AM21" i="56"/>
  <c r="AL21" i="56"/>
  <c r="AK21" i="56"/>
  <c r="AJ21" i="56"/>
  <c r="AI21" i="56"/>
  <c r="AH21" i="56"/>
  <c r="AG21" i="56"/>
  <c r="AF21" i="56"/>
  <c r="AE21" i="56"/>
  <c r="AD21" i="56"/>
  <c r="AC21" i="56"/>
  <c r="AB21" i="56"/>
  <c r="AA21" i="56"/>
  <c r="Z21" i="56"/>
  <c r="Y21" i="56"/>
  <c r="X21" i="56"/>
  <c r="W21" i="56"/>
  <c r="V21" i="56"/>
  <c r="U21" i="56"/>
  <c r="T21" i="56"/>
  <c r="S21" i="56"/>
  <c r="R21" i="56"/>
  <c r="Q21" i="56"/>
  <c r="P21" i="56"/>
  <c r="O21" i="56"/>
  <c r="N21" i="56"/>
  <c r="M21" i="56"/>
  <c r="L21" i="56"/>
  <c r="K21" i="56"/>
  <c r="J21" i="56"/>
  <c r="I21" i="56"/>
  <c r="H21" i="56"/>
  <c r="G21" i="56"/>
  <c r="F21" i="56"/>
  <c r="E21" i="56"/>
  <c r="D21" i="56"/>
  <c r="AB20" i="56"/>
  <c r="L20" i="56"/>
  <c r="H20" i="56"/>
  <c r="AQ20" i="56" s="1"/>
  <c r="AB19" i="56"/>
  <c r="L19" i="56"/>
  <c r="L15" i="56" s="1"/>
  <c r="H19" i="56"/>
  <c r="AQ19" i="56" s="1"/>
  <c r="AQ18" i="56"/>
  <c r="AB17" i="56"/>
  <c r="L17" i="56"/>
  <c r="H17" i="56"/>
  <c r="C17" i="56"/>
  <c r="AQ17" i="56" s="1"/>
  <c r="AQ16" i="56"/>
  <c r="AB16" i="56"/>
  <c r="L16" i="56"/>
  <c r="H16" i="56"/>
  <c r="C16" i="56"/>
  <c r="C15" i="56" s="1"/>
  <c r="AP15" i="56"/>
  <c r="AO15" i="56"/>
  <c r="AN15" i="56"/>
  <c r="AM15" i="56"/>
  <c r="AL15" i="56"/>
  <c r="AK15" i="56"/>
  <c r="AJ15" i="56"/>
  <c r="AI15" i="56"/>
  <c r="AH15" i="56"/>
  <c r="AG15" i="56"/>
  <c r="AF15" i="56"/>
  <c r="AE15" i="56"/>
  <c r="AD15" i="56"/>
  <c r="AC15" i="56"/>
  <c r="AB15" i="56"/>
  <c r="AA15" i="56"/>
  <c r="Z15" i="56"/>
  <c r="Y15" i="56"/>
  <c r="X15" i="56"/>
  <c r="W15" i="56"/>
  <c r="V15" i="56"/>
  <c r="U15" i="56"/>
  <c r="T15" i="56"/>
  <c r="S15" i="56"/>
  <c r="R15" i="56"/>
  <c r="Q15" i="56"/>
  <c r="P15" i="56"/>
  <c r="O15" i="56"/>
  <c r="N15" i="56"/>
  <c r="M15" i="56"/>
  <c r="K15" i="56"/>
  <c r="J15" i="56"/>
  <c r="I15" i="56"/>
  <c r="H15" i="56"/>
  <c r="G15" i="56"/>
  <c r="F15" i="56"/>
  <c r="E15" i="56"/>
  <c r="D15" i="56"/>
  <c r="AB14" i="56"/>
  <c r="L14" i="56"/>
  <c r="H14" i="56"/>
  <c r="C14" i="56"/>
  <c r="AQ14" i="56" s="1"/>
  <c r="AB13" i="56"/>
  <c r="AB9" i="56" s="1"/>
  <c r="L13" i="56"/>
  <c r="H13" i="56"/>
  <c r="C13" i="56"/>
  <c r="AQ13" i="56" s="1"/>
  <c r="AQ12" i="56"/>
  <c r="AB11" i="56"/>
  <c r="L11" i="56"/>
  <c r="H11" i="56"/>
  <c r="H9" i="56" s="1"/>
  <c r="C11" i="56"/>
  <c r="AQ11" i="56" s="1"/>
  <c r="AB10" i="56"/>
  <c r="L10" i="56"/>
  <c r="L9" i="56" s="1"/>
  <c r="H10" i="56"/>
  <c r="C10" i="56"/>
  <c r="AQ10" i="56" s="1"/>
  <c r="AP9" i="56"/>
  <c r="AO9" i="56"/>
  <c r="AN9" i="56"/>
  <c r="AM9" i="56"/>
  <c r="AL9" i="56"/>
  <c r="AK9" i="56"/>
  <c r="AJ9" i="56"/>
  <c r="AI9" i="56"/>
  <c r="AH9" i="56"/>
  <c r="AG9" i="56"/>
  <c r="AF9" i="56"/>
  <c r="AE9" i="56"/>
  <c r="AD9" i="56"/>
  <c r="AC9" i="56"/>
  <c r="AA9" i="56"/>
  <c r="Z9" i="56"/>
  <c r="Y9" i="56"/>
  <c r="X9" i="56"/>
  <c r="W9" i="56"/>
  <c r="V9" i="56"/>
  <c r="U9" i="56"/>
  <c r="T9" i="56"/>
  <c r="S9" i="56"/>
  <c r="R9" i="56"/>
  <c r="Q9" i="56"/>
  <c r="P9" i="56"/>
  <c r="O9" i="56"/>
  <c r="N9" i="56"/>
  <c r="M9" i="56"/>
  <c r="K9" i="56"/>
  <c r="J9" i="56"/>
  <c r="I9" i="56"/>
  <c r="G9" i="56"/>
  <c r="F9" i="56"/>
  <c r="E9" i="56"/>
  <c r="D9" i="56"/>
  <c r="C9" i="56"/>
  <c r="AM8" i="56"/>
  <c r="AE8" i="56"/>
  <c r="W8" i="56"/>
  <c r="S8" i="56"/>
  <c r="O8" i="56"/>
  <c r="K8" i="56"/>
  <c r="G8" i="56"/>
  <c r="AP7" i="56"/>
  <c r="AP26" i="56" s="1"/>
  <c r="AP72" i="56" s="1"/>
  <c r="AO7" i="56"/>
  <c r="AN7" i="56"/>
  <c r="AN26" i="56" s="1"/>
  <c r="AM7" i="56"/>
  <c r="AM26" i="56" s="1"/>
  <c r="AM72" i="56" s="1"/>
  <c r="AL7" i="56"/>
  <c r="AL8" i="56" s="1"/>
  <c r="AK7" i="56"/>
  <c r="AK8" i="56" s="1"/>
  <c r="AJ7" i="56"/>
  <c r="AJ8" i="56" s="1"/>
  <c r="AI7" i="56"/>
  <c r="AH7" i="56"/>
  <c r="AH26" i="56" s="1"/>
  <c r="AH72" i="56" s="1"/>
  <c r="AG7" i="56"/>
  <c r="AG26" i="56" s="1"/>
  <c r="AG72" i="56" s="1"/>
  <c r="AF7" i="56"/>
  <c r="AF26" i="56" s="1"/>
  <c r="AF72" i="56" s="1"/>
  <c r="AE7" i="56"/>
  <c r="AE26" i="56" s="1"/>
  <c r="AE72" i="56" s="1"/>
  <c r="AD7" i="56"/>
  <c r="AD8" i="56" s="1"/>
  <c r="AC7" i="56"/>
  <c r="AC8" i="56" s="1"/>
  <c r="AA7" i="56"/>
  <c r="Z7" i="56"/>
  <c r="Z26" i="56" s="1"/>
  <c r="Y7" i="56"/>
  <c r="Y26" i="56" s="1"/>
  <c r="X7" i="56"/>
  <c r="X26" i="56" s="1"/>
  <c r="W7" i="56"/>
  <c r="W26" i="56" s="1"/>
  <c r="W72" i="56" s="1"/>
  <c r="V7" i="56"/>
  <c r="V8" i="56" s="1"/>
  <c r="U7" i="56"/>
  <c r="U8" i="56" s="1"/>
  <c r="T7" i="56"/>
  <c r="T8" i="56" s="1"/>
  <c r="S7" i="56"/>
  <c r="R7" i="56"/>
  <c r="R26" i="56" s="1"/>
  <c r="R72" i="56" s="1"/>
  <c r="Q7" i="56"/>
  <c r="Q26" i="56" s="1"/>
  <c r="Q72" i="56" s="1"/>
  <c r="P7" i="56"/>
  <c r="P26" i="56" s="1"/>
  <c r="P72" i="56" s="1"/>
  <c r="O7" i="56"/>
  <c r="O26" i="56" s="1"/>
  <c r="N7" i="56"/>
  <c r="N8" i="56" s="1"/>
  <c r="M7" i="56"/>
  <c r="M8" i="56" s="1"/>
  <c r="K7" i="56"/>
  <c r="J7" i="56"/>
  <c r="J26" i="56" s="1"/>
  <c r="J72" i="56" s="1"/>
  <c r="I7" i="56"/>
  <c r="I26" i="56" s="1"/>
  <c r="I72" i="56" s="1"/>
  <c r="H7" i="56"/>
  <c r="G7" i="56"/>
  <c r="G26" i="56" s="1"/>
  <c r="G72" i="56" s="1"/>
  <c r="F7" i="56"/>
  <c r="F8" i="56" s="1"/>
  <c r="E7" i="56"/>
  <c r="E8" i="56" s="1"/>
  <c r="D7" i="56"/>
  <c r="D8" i="56" s="1"/>
  <c r="AB6" i="56"/>
  <c r="L6" i="56"/>
  <c r="H6" i="56"/>
  <c r="C6" i="56"/>
  <c r="AQ6" i="56" s="1"/>
  <c r="AB5" i="56"/>
  <c r="AB7" i="56" s="1"/>
  <c r="L5" i="56"/>
  <c r="H5" i="56"/>
  <c r="C5" i="56"/>
  <c r="AQ5" i="56" s="1"/>
  <c r="AQ4" i="56"/>
  <c r="AB4" i="56"/>
  <c r="L4" i="56"/>
  <c r="H4" i="56"/>
  <c r="C4" i="56"/>
  <c r="AB3" i="56"/>
  <c r="L3" i="56"/>
  <c r="H3" i="56"/>
  <c r="C3" i="56"/>
  <c r="AQ3" i="56" s="1"/>
  <c r="AB2" i="56"/>
  <c r="L2" i="56"/>
  <c r="L7" i="56" s="1"/>
  <c r="H2" i="56"/>
  <c r="C2" i="56"/>
  <c r="AQ2" i="56" s="1"/>
  <c r="F695" i="43" l="1"/>
  <c r="H26" i="56"/>
  <c r="Y72" i="56"/>
  <c r="Y28" i="56"/>
  <c r="Y27" i="56" s="1"/>
  <c r="AQ9" i="56"/>
  <c r="AB8" i="56"/>
  <c r="AB26" i="56"/>
  <c r="AB72" i="56" s="1"/>
  <c r="L26" i="56"/>
  <c r="Z28" i="56"/>
  <c r="Z27" i="56" s="1"/>
  <c r="Z8" i="56" s="1"/>
  <c r="C57" i="56"/>
  <c r="X28" i="56"/>
  <c r="AQ45" i="56"/>
  <c r="AQ15" i="56"/>
  <c r="O72" i="56"/>
  <c r="AN72" i="56"/>
  <c r="C21" i="56"/>
  <c r="AQ24" i="56"/>
  <c r="H8" i="56"/>
  <c r="P8" i="56"/>
  <c r="AF8" i="56"/>
  <c r="AN8" i="56"/>
  <c r="D26" i="56"/>
  <c r="D72" i="56" s="1"/>
  <c r="T26" i="56"/>
  <c r="T72" i="56" s="1"/>
  <c r="AJ26" i="56"/>
  <c r="AJ72" i="56" s="1"/>
  <c r="AB30" i="56"/>
  <c r="AB29" i="56" s="1"/>
  <c r="F57" i="56"/>
  <c r="H58" i="56"/>
  <c r="H57" i="56" s="1"/>
  <c r="I8" i="56"/>
  <c r="Q8" i="56"/>
  <c r="Y8" i="56"/>
  <c r="AG8" i="56"/>
  <c r="AO8" i="56"/>
  <c r="E26" i="56"/>
  <c r="E72" i="56" s="1"/>
  <c r="M26" i="56"/>
  <c r="M72" i="56" s="1"/>
  <c r="U26" i="56"/>
  <c r="U72" i="56" s="1"/>
  <c r="AC26" i="56"/>
  <c r="AC72" i="56" s="1"/>
  <c r="AK26" i="56"/>
  <c r="AK72" i="56" s="1"/>
  <c r="C30" i="56"/>
  <c r="AQ49" i="56"/>
  <c r="O57" i="56"/>
  <c r="C7" i="56"/>
  <c r="J8" i="56"/>
  <c r="R8" i="56"/>
  <c r="AH8" i="56"/>
  <c r="AP8" i="56"/>
  <c r="AO22" i="56"/>
  <c r="AO21" i="56" s="1"/>
  <c r="AO26" i="56" s="1"/>
  <c r="AO72" i="56" s="1"/>
  <c r="F26" i="56"/>
  <c r="N26" i="56"/>
  <c r="N72" i="56" s="1"/>
  <c r="V26" i="56"/>
  <c r="V72" i="56" s="1"/>
  <c r="AD26" i="56"/>
  <c r="AD72" i="56" s="1"/>
  <c r="AL26" i="56"/>
  <c r="AL72" i="56" s="1"/>
  <c r="AN57" i="56"/>
  <c r="F29" i="56"/>
  <c r="C26" i="56" l="1"/>
  <c r="C8" i="56"/>
  <c r="AQ7" i="56"/>
  <c r="F72" i="56"/>
  <c r="AQ22" i="56"/>
  <c r="AQ21" i="56" s="1"/>
  <c r="Z72" i="56"/>
  <c r="AQ58" i="56"/>
  <c r="X27" i="56"/>
  <c r="L28" i="56"/>
  <c r="AQ30" i="56"/>
  <c r="C29" i="56"/>
  <c r="H29" i="56"/>
  <c r="H72" i="56" s="1"/>
  <c r="AQ57" i="56"/>
  <c r="C72" i="56" l="1"/>
  <c r="AQ26" i="56"/>
  <c r="AQ29" i="56"/>
  <c r="X72" i="56"/>
  <c r="X8" i="56"/>
  <c r="AQ28" i="56"/>
  <c r="AQ27" i="56" s="1"/>
  <c r="L27" i="56"/>
  <c r="L8" i="56" l="1"/>
  <c r="AQ8" i="56" s="1"/>
  <c r="L72" i="56"/>
  <c r="AQ72" i="56" s="1"/>
  <c r="C5" i="71" l="1"/>
  <c r="E36" i="59" l="1"/>
  <c r="D130" i="59"/>
  <c r="F145" i="59"/>
  <c r="G145" i="59" s="1"/>
  <c r="D146" i="59"/>
  <c r="D145" i="59"/>
  <c r="B146" i="59"/>
  <c r="B145" i="59"/>
  <c r="F143" i="59"/>
  <c r="G143" i="59" s="1"/>
  <c r="D144" i="59"/>
  <c r="D143" i="59"/>
  <c r="F141" i="59"/>
  <c r="G141" i="59" s="1"/>
  <c r="F139" i="59"/>
  <c r="F140" i="59" s="1"/>
  <c r="G140" i="59" s="1"/>
  <c r="D142" i="59"/>
  <c r="D140" i="59"/>
  <c r="D138" i="59"/>
  <c r="F135" i="59"/>
  <c r="F136" i="59" s="1"/>
  <c r="D136" i="59"/>
  <c r="F133" i="59"/>
  <c r="F134" i="59" s="1"/>
  <c r="D134" i="59"/>
  <c r="D132" i="59"/>
  <c r="F131" i="59"/>
  <c r="F132" i="59" s="1"/>
  <c r="F129" i="59"/>
  <c r="F130" i="59" s="1"/>
  <c r="H127" i="59"/>
  <c r="H128" i="59"/>
  <c r="G128" i="59"/>
  <c r="G127" i="59"/>
  <c r="F127" i="59"/>
  <c r="F128" i="59" s="1"/>
  <c r="G125" i="59"/>
  <c r="H125" i="59"/>
  <c r="G126" i="59"/>
  <c r="H126" i="59"/>
  <c r="D128" i="59"/>
  <c r="D126" i="59"/>
  <c r="F123" i="59"/>
  <c r="F124" i="59" s="1"/>
  <c r="F121" i="59"/>
  <c r="F122" i="59" s="1"/>
  <c r="D124" i="59"/>
  <c r="D122" i="59"/>
  <c r="G117" i="59"/>
  <c r="H117" i="59"/>
  <c r="G118" i="59"/>
  <c r="H118" i="59"/>
  <c r="G115" i="59"/>
  <c r="H115" i="59"/>
  <c r="G116" i="59"/>
  <c r="H116" i="59"/>
  <c r="D120" i="59"/>
  <c r="D118" i="59"/>
  <c r="D116" i="59"/>
  <c r="G113" i="59"/>
  <c r="H113" i="59"/>
  <c r="G114" i="59"/>
  <c r="H114" i="59"/>
  <c r="F114" i="59"/>
  <c r="F113" i="59"/>
  <c r="G109" i="59"/>
  <c r="H109" i="59"/>
  <c r="G110" i="59"/>
  <c r="H110" i="59"/>
  <c r="D110" i="59"/>
  <c r="G107" i="59"/>
  <c r="G119" i="59" s="1"/>
  <c r="H107" i="59"/>
  <c r="H119" i="59" s="1"/>
  <c r="G108" i="59"/>
  <c r="G120" i="59" s="1"/>
  <c r="H108" i="59"/>
  <c r="H120" i="59" s="1"/>
  <c r="D108" i="59"/>
  <c r="D106" i="59"/>
  <c r="D104" i="59"/>
  <c r="D102" i="59"/>
  <c r="D100" i="59"/>
  <c r="D98" i="59"/>
  <c r="F97" i="59"/>
  <c r="F98" i="59" s="1"/>
  <c r="F99" i="59"/>
  <c r="F107" i="59" s="1"/>
  <c r="F119" i="59" s="1"/>
  <c r="B104" i="59"/>
  <c r="B105" i="59"/>
  <c r="B106" i="59"/>
  <c r="B107" i="59"/>
  <c r="B108" i="59"/>
  <c r="B109" i="59"/>
  <c r="B110" i="59"/>
  <c r="B111" i="59"/>
  <c r="B112" i="59"/>
  <c r="B113" i="59"/>
  <c r="B114" i="59"/>
  <c r="B115" i="59"/>
  <c r="B116" i="59"/>
  <c r="B117" i="59"/>
  <c r="B118" i="59"/>
  <c r="B119" i="59"/>
  <c r="B120" i="59"/>
  <c r="B121" i="59"/>
  <c r="B122" i="59"/>
  <c r="B123" i="59"/>
  <c r="B124" i="59"/>
  <c r="B125" i="59"/>
  <c r="B126" i="59"/>
  <c r="B127" i="59"/>
  <c r="B128" i="59"/>
  <c r="B129" i="59"/>
  <c r="B130" i="59"/>
  <c r="B131" i="59"/>
  <c r="B132" i="59"/>
  <c r="B133" i="59"/>
  <c r="B134" i="59"/>
  <c r="B135" i="59"/>
  <c r="B136" i="59"/>
  <c r="B137" i="59"/>
  <c r="B138" i="59"/>
  <c r="B139" i="59"/>
  <c r="B140" i="59"/>
  <c r="B141" i="59"/>
  <c r="B142" i="59"/>
  <c r="B143" i="59"/>
  <c r="B144" i="59"/>
  <c r="B99" i="59"/>
  <c r="B100" i="59"/>
  <c r="B101" i="59"/>
  <c r="B102" i="59"/>
  <c r="B103" i="59"/>
  <c r="B98" i="59"/>
  <c r="B97" i="59"/>
  <c r="B56" i="59"/>
  <c r="F109" i="59"/>
  <c r="D141" i="59"/>
  <c r="D139" i="59"/>
  <c r="D137" i="59"/>
  <c r="D135" i="59"/>
  <c r="D133" i="59"/>
  <c r="D131" i="59"/>
  <c r="D129" i="59"/>
  <c r="D127" i="59"/>
  <c r="D125" i="59"/>
  <c r="D123" i="59"/>
  <c r="D121" i="59"/>
  <c r="D119" i="59"/>
  <c r="D117" i="59"/>
  <c r="D115" i="59"/>
  <c r="D113" i="59"/>
  <c r="D111" i="59"/>
  <c r="D114" i="59"/>
  <c r="D112" i="59"/>
  <c r="D109" i="59"/>
  <c r="D107" i="59"/>
  <c r="D105" i="59"/>
  <c r="D103" i="59"/>
  <c r="D101" i="59"/>
  <c r="D99" i="59"/>
  <c r="D97" i="59"/>
  <c r="F100" i="59" l="1"/>
  <c r="F126" i="59" s="1"/>
  <c r="F115" i="59"/>
  <c r="F125" i="59"/>
  <c r="G139" i="59"/>
  <c r="F117" i="59"/>
  <c r="G123" i="59"/>
  <c r="G124" i="59" s="1"/>
  <c r="F142" i="59"/>
  <c r="G142" i="59" s="1"/>
  <c r="F144" i="59"/>
  <c r="G144" i="59" s="1"/>
  <c r="F146" i="59"/>
  <c r="G146" i="59" s="1"/>
  <c r="E6" i="59"/>
  <c r="E8" i="59"/>
  <c r="E28" i="59"/>
  <c r="E35" i="59"/>
  <c r="E34" i="59"/>
  <c r="E32" i="59"/>
  <c r="E31" i="59"/>
  <c r="E30" i="59"/>
  <c r="E29" i="59"/>
  <c r="E26" i="59"/>
  <c r="E22" i="59"/>
  <c r="E19" i="59"/>
  <c r="E9" i="59"/>
  <c r="E20" i="59"/>
  <c r="E18" i="59"/>
  <c r="E13" i="59"/>
  <c r="E12" i="59"/>
  <c r="E11" i="59"/>
  <c r="E62" i="58"/>
  <c r="AI5" i="59"/>
  <c r="AI7" i="59"/>
  <c r="AI17" i="59"/>
  <c r="AI21" i="59"/>
  <c r="AI23" i="59"/>
  <c r="F108" i="59" l="1"/>
  <c r="F120" i="59" s="1"/>
  <c r="F116" i="59"/>
  <c r="F110" i="59"/>
  <c r="F118" i="59"/>
  <c r="B81" i="59"/>
  <c r="B82" i="59"/>
  <c r="B83" i="59"/>
  <c r="B84" i="59"/>
  <c r="B85" i="59"/>
  <c r="B79" i="59"/>
  <c r="B78" i="59"/>
  <c r="B77" i="59"/>
  <c r="B75" i="59"/>
  <c r="B71" i="59"/>
  <c r="B72" i="59"/>
  <c r="B73" i="59"/>
  <c r="B61" i="59"/>
  <c r="B62" i="59"/>
  <c r="B63" i="59"/>
  <c r="B64" i="59"/>
  <c r="B65" i="59"/>
  <c r="B66" i="59"/>
  <c r="B67" i="59"/>
  <c r="B68" i="59"/>
  <c r="B69" i="59"/>
  <c r="B59" i="59"/>
  <c r="B57" i="59"/>
  <c r="B80" i="59"/>
  <c r="B76" i="59"/>
  <c r="B74" i="59"/>
  <c r="B70" i="59"/>
  <c r="B60" i="59"/>
  <c r="B58" i="59"/>
  <c r="D57" i="70" l="1"/>
  <c r="C18" i="65" s="1"/>
  <c r="D56" i="70"/>
  <c r="C17" i="65" s="1"/>
  <c r="D55" i="70"/>
  <c r="C16" i="65" s="1"/>
  <c r="D54" i="70"/>
  <c r="C15" i="65" s="1"/>
  <c r="D53" i="70"/>
  <c r="C14" i="65" s="1"/>
  <c r="D51" i="70"/>
  <c r="C12" i="65" s="1"/>
  <c r="D52" i="70"/>
  <c r="C13" i="65" s="1"/>
  <c r="D50" i="70"/>
  <c r="C11" i="65" s="1"/>
  <c r="D48" i="70"/>
  <c r="C9" i="65" s="1"/>
  <c r="D49" i="70"/>
  <c r="C10" i="65" s="1"/>
  <c r="D46" i="70"/>
  <c r="C7" i="65" s="1"/>
  <c r="D47" i="70"/>
  <c r="C8" i="65" s="1"/>
  <c r="D45" i="70"/>
  <c r="C6" i="65" s="1"/>
  <c r="C45" i="70"/>
  <c r="B6" i="65" s="1"/>
  <c r="C46" i="70"/>
  <c r="B7" i="65" s="1"/>
  <c r="C47" i="70"/>
  <c r="B8" i="65" s="1"/>
  <c r="C48" i="70"/>
  <c r="B9" i="65" s="1"/>
  <c r="C49" i="70"/>
  <c r="B10" i="65" s="1"/>
  <c r="C50" i="70"/>
  <c r="B11" i="65" s="1"/>
  <c r="C51" i="70"/>
  <c r="B12" i="65" s="1"/>
  <c r="C52" i="70"/>
  <c r="B13" i="65" s="1"/>
  <c r="C53" i="70"/>
  <c r="B14" i="65" s="1"/>
  <c r="C54" i="70"/>
  <c r="B15" i="65" s="1"/>
  <c r="C55" i="70"/>
  <c r="B16" i="65" s="1"/>
  <c r="C56" i="70"/>
  <c r="B17" i="65" s="1"/>
  <c r="C57" i="70"/>
  <c r="B18" i="65" s="1"/>
  <c r="B19" i="65" s="1"/>
  <c r="B20" i="65" s="1"/>
  <c r="B21" i="65" s="1"/>
  <c r="B22" i="65" s="1"/>
  <c r="B23" i="65" s="1"/>
  <c r="B24" i="65" s="1"/>
  <c r="E45" i="70"/>
  <c r="E46" i="70"/>
  <c r="E47" i="70"/>
  <c r="E48" i="70"/>
  <c r="E49" i="70"/>
  <c r="E50" i="70"/>
  <c r="E51" i="70"/>
  <c r="E52" i="70"/>
  <c r="E53" i="70"/>
  <c r="E54" i="70"/>
  <c r="E55" i="70"/>
  <c r="E56" i="70"/>
  <c r="E57" i="70"/>
  <c r="C66" i="70"/>
  <c r="C67" i="70"/>
  <c r="C68" i="70"/>
  <c r="C69" i="70"/>
  <c r="C65" i="70"/>
  <c r="C43" i="70"/>
  <c r="C42" i="70"/>
  <c r="C40" i="70"/>
  <c r="C39" i="70"/>
  <c r="C38" i="70"/>
  <c r="C34" i="70"/>
  <c r="C35" i="70"/>
  <c r="C36" i="70"/>
  <c r="C33" i="70"/>
  <c r="C32" i="70"/>
  <c r="C29" i="70"/>
  <c r="C28" i="70"/>
  <c r="C27" i="70"/>
  <c r="C25" i="70"/>
  <c r="C22" i="70"/>
  <c r="C23" i="70"/>
  <c r="C21" i="70"/>
  <c r="C14" i="70"/>
  <c r="C15" i="70"/>
  <c r="C16" i="70"/>
  <c r="C17" i="70"/>
  <c r="C18" i="70"/>
  <c r="C19" i="70"/>
  <c r="C13" i="70"/>
  <c r="C12" i="70"/>
  <c r="C11" i="70"/>
  <c r="C9" i="70"/>
  <c r="C7" i="70"/>
  <c r="C6" i="70"/>
  <c r="B25" i="40"/>
  <c r="B26" i="40"/>
  <c r="B27" i="40"/>
  <c r="B28" i="40"/>
  <c r="B29" i="40"/>
  <c r="B30" i="40"/>
  <c r="B31" i="40"/>
  <c r="B32" i="40"/>
  <c r="B33" i="40"/>
  <c r="B37" i="40"/>
  <c r="B38" i="40"/>
  <c r="B39" i="40"/>
  <c r="B40" i="40"/>
  <c r="B41" i="40"/>
  <c r="B42" i="40"/>
  <c r="B7" i="40"/>
  <c r="B8" i="40"/>
  <c r="B9" i="40"/>
  <c r="B10" i="40"/>
  <c r="B11" i="40"/>
  <c r="B12" i="40"/>
  <c r="B13" i="40"/>
  <c r="B14" i="40"/>
  <c r="B15" i="40"/>
  <c r="B16" i="40"/>
  <c r="B17" i="40"/>
  <c r="B18" i="40"/>
  <c r="B19" i="40" s="1"/>
  <c r="B20" i="40" s="1"/>
  <c r="B21" i="40" s="1"/>
  <c r="B22" i="40" s="1"/>
  <c r="B23" i="40" s="1"/>
  <c r="B24" i="40" s="1"/>
  <c r="B6" i="40"/>
  <c r="E6" i="67"/>
  <c r="F6" i="67"/>
  <c r="G6" i="67"/>
  <c r="H6" i="67"/>
  <c r="I6" i="67"/>
  <c r="J6" i="67"/>
  <c r="K6" i="67"/>
  <c r="L6" i="67"/>
  <c r="M6" i="67"/>
  <c r="N6" i="67"/>
  <c r="O6" i="67"/>
  <c r="P6" i="67"/>
  <c r="Q6" i="67"/>
  <c r="R6" i="67"/>
  <c r="S6" i="67"/>
  <c r="T6" i="67"/>
  <c r="U6" i="67"/>
  <c r="V6" i="67"/>
  <c r="W6" i="67"/>
  <c r="X6" i="67"/>
  <c r="Y6" i="67"/>
  <c r="Z6" i="67"/>
  <c r="AA6" i="67"/>
  <c r="AB6" i="67"/>
  <c r="AC6" i="67"/>
  <c r="AD6" i="67"/>
  <c r="D6" i="67"/>
  <c r="D3" i="67" a="1"/>
  <c r="D3" i="67" s="1"/>
  <c r="E3" i="67" a="1"/>
  <c r="E3" i="67" s="1"/>
  <c r="F3" i="67" a="1"/>
  <c r="F3" i="67" s="1"/>
  <c r="G3" i="67" a="1"/>
  <c r="G3" i="67"/>
  <c r="H3" i="67" a="1"/>
  <c r="H3" i="67" s="1"/>
  <c r="I3" i="67" a="1"/>
  <c r="I3" i="67" s="1"/>
  <c r="J3" i="67" a="1"/>
  <c r="J3" i="67" s="1"/>
  <c r="K3" i="67" a="1"/>
  <c r="K3" i="67"/>
  <c r="L3" i="67" a="1"/>
  <c r="L3" i="67" s="1"/>
  <c r="M3" i="67" a="1"/>
  <c r="M3" i="67" s="1"/>
  <c r="N3" i="67" a="1"/>
  <c r="N3" i="67" s="1"/>
  <c r="O3" i="67" a="1"/>
  <c r="O3" i="67"/>
  <c r="P3" i="67" a="1"/>
  <c r="P3" i="67" s="1"/>
  <c r="Q3" i="67" a="1"/>
  <c r="Q3" i="67" s="1"/>
  <c r="R3" i="67" a="1"/>
  <c r="R3" i="67" s="1"/>
  <c r="S3" i="67" a="1"/>
  <c r="S3" i="67" s="1"/>
  <c r="T3" i="67" a="1"/>
  <c r="T3" i="67" s="1"/>
  <c r="U3" i="67" a="1"/>
  <c r="U3" i="67" s="1"/>
  <c r="V3" i="67" a="1"/>
  <c r="V3" i="67" s="1"/>
  <c r="W3" i="67" a="1"/>
  <c r="W3" i="67" s="1"/>
  <c r="X3" i="67" a="1"/>
  <c r="X3" i="67" s="1"/>
  <c r="Y3" i="67" a="1"/>
  <c r="Y3" i="67" s="1"/>
  <c r="Z3" i="67" a="1"/>
  <c r="Z3" i="67" s="1"/>
  <c r="AA3" i="67" a="1"/>
  <c r="AA3" i="67" s="1"/>
  <c r="AB3" i="67" a="1"/>
  <c r="AB3" i="67" s="1"/>
  <c r="AC3" i="67" a="1"/>
  <c r="AC3" i="67" s="1"/>
  <c r="AD3" i="67" a="1"/>
  <c r="AD3" i="67" s="1"/>
  <c r="C3" i="67" a="1"/>
  <c r="C3" i="67" s="1"/>
  <c r="C396" i="43" l="1"/>
  <c r="C395" i="43"/>
  <c r="C394" i="43"/>
  <c r="F71" i="58"/>
  <c r="E32" i="58"/>
  <c r="F415" i="43"/>
  <c r="L413" i="43" s="1"/>
  <c r="F413" i="43"/>
  <c r="L412" i="43" s="1"/>
  <c r="F411" i="43"/>
  <c r="F70" i="58" s="1"/>
  <c r="E412" i="43"/>
  <c r="E416" i="43"/>
  <c r="E415" i="43"/>
  <c r="E414" i="43"/>
  <c r="E413" i="43"/>
  <c r="D599" i="43"/>
  <c r="F599" i="43"/>
  <c r="G599" i="43"/>
  <c r="H599" i="43"/>
  <c r="I599" i="43"/>
  <c r="J599" i="43"/>
  <c r="L599" i="43"/>
  <c r="M599" i="43"/>
  <c r="N599" i="43"/>
  <c r="O599" i="43"/>
  <c r="P599" i="43"/>
  <c r="Q599" i="43"/>
  <c r="R599" i="43"/>
  <c r="S599" i="43"/>
  <c r="T599" i="43"/>
  <c r="V599" i="43"/>
  <c r="W599" i="43"/>
  <c r="Y599" i="43"/>
  <c r="Z599" i="43"/>
  <c r="AA599" i="43"/>
  <c r="AB599" i="43"/>
  <c r="AC599" i="43"/>
  <c r="C424" i="43"/>
  <c r="C596" i="43" s="1"/>
  <c r="E12" i="65"/>
  <c r="C18" i="43"/>
  <c r="F32" i="59"/>
  <c r="G23" i="61"/>
  <c r="X23" i="61"/>
  <c r="M24" i="61"/>
  <c r="AD24" i="61"/>
  <c r="E93" i="61"/>
  <c r="E23" i="61" s="1"/>
  <c r="F93" i="61"/>
  <c r="F23" i="61" s="1"/>
  <c r="G93" i="61"/>
  <c r="H93" i="61"/>
  <c r="H23" i="61" s="1"/>
  <c r="I93" i="61"/>
  <c r="I23" i="61" s="1"/>
  <c r="J93" i="61"/>
  <c r="J23" i="61" s="1"/>
  <c r="K93" i="61"/>
  <c r="K23" i="61" s="1"/>
  <c r="L93" i="61"/>
  <c r="L23" i="61" s="1"/>
  <c r="M93" i="61"/>
  <c r="M23" i="61" s="1"/>
  <c r="N93" i="61"/>
  <c r="N23" i="61" s="1"/>
  <c r="O93" i="61"/>
  <c r="O23" i="61" s="1"/>
  <c r="P93" i="61"/>
  <c r="P23" i="61" s="1"/>
  <c r="Q93" i="61"/>
  <c r="Q23" i="61" s="1"/>
  <c r="R93" i="61"/>
  <c r="R23" i="61" s="1"/>
  <c r="S93" i="61"/>
  <c r="S23" i="61" s="1"/>
  <c r="T93" i="61"/>
  <c r="T23" i="61" s="1"/>
  <c r="U93" i="61"/>
  <c r="U23" i="61" s="1"/>
  <c r="V93" i="61"/>
  <c r="V23" i="61" s="1"/>
  <c r="W93" i="61"/>
  <c r="W23" i="61" s="1"/>
  <c r="X93" i="61"/>
  <c r="Y93" i="61"/>
  <c r="Y23" i="61" s="1"/>
  <c r="Z93" i="61"/>
  <c r="Z23" i="61" s="1"/>
  <c r="AA93" i="61"/>
  <c r="AA23" i="61" s="1"/>
  <c r="AB93" i="61"/>
  <c r="AB23" i="61" s="1"/>
  <c r="AC93" i="61"/>
  <c r="AC23" i="61" s="1"/>
  <c r="AD93" i="61"/>
  <c r="AD23" i="61" s="1"/>
  <c r="E94" i="61"/>
  <c r="E24" i="61" s="1"/>
  <c r="F94" i="61"/>
  <c r="F24" i="61" s="1"/>
  <c r="G94" i="61"/>
  <c r="G24" i="61" s="1"/>
  <c r="H94" i="61"/>
  <c r="H24" i="61" s="1"/>
  <c r="I94" i="61"/>
  <c r="I24" i="61" s="1"/>
  <c r="J94" i="61"/>
  <c r="J24" i="61" s="1"/>
  <c r="K94" i="61"/>
  <c r="K24" i="61" s="1"/>
  <c r="L94" i="61"/>
  <c r="L24" i="61" s="1"/>
  <c r="M94" i="61"/>
  <c r="N94" i="61"/>
  <c r="N24" i="61" s="1"/>
  <c r="O94" i="61"/>
  <c r="O24" i="61" s="1"/>
  <c r="P94" i="61"/>
  <c r="P24" i="61" s="1"/>
  <c r="Q94" i="61"/>
  <c r="Q24" i="61" s="1"/>
  <c r="R94" i="61"/>
  <c r="R24" i="61" s="1"/>
  <c r="S94" i="61"/>
  <c r="S24" i="61" s="1"/>
  <c r="T94" i="61"/>
  <c r="T24" i="61" s="1"/>
  <c r="U94" i="61"/>
  <c r="U24" i="61" s="1"/>
  <c r="V94" i="61"/>
  <c r="V24" i="61" s="1"/>
  <c r="W94" i="61"/>
  <c r="W24" i="61" s="1"/>
  <c r="X94" i="61"/>
  <c r="X24" i="61" s="1"/>
  <c r="Y94" i="61"/>
  <c r="Y24" i="61" s="1"/>
  <c r="Z94" i="61"/>
  <c r="Z24" i="61" s="1"/>
  <c r="AA94" i="61"/>
  <c r="AA24" i="61" s="1"/>
  <c r="AB94" i="61"/>
  <c r="AB24" i="61" s="1"/>
  <c r="AC94" i="61"/>
  <c r="AC24" i="61" s="1"/>
  <c r="AD94" i="61"/>
  <c r="E95" i="61"/>
  <c r="E25" i="61" s="1"/>
  <c r="F95" i="61"/>
  <c r="F25" i="61" s="1"/>
  <c r="G95" i="61"/>
  <c r="G25" i="61" s="1"/>
  <c r="H95" i="61"/>
  <c r="H25" i="61" s="1"/>
  <c r="I95" i="61"/>
  <c r="I25" i="61" s="1"/>
  <c r="J95" i="61"/>
  <c r="J25" i="61" s="1"/>
  <c r="K95" i="61"/>
  <c r="K25" i="61" s="1"/>
  <c r="L95" i="61"/>
  <c r="L25" i="61" s="1"/>
  <c r="M95" i="61"/>
  <c r="M25" i="61" s="1"/>
  <c r="N95" i="61"/>
  <c r="N25" i="61" s="1"/>
  <c r="O95" i="61"/>
  <c r="O25" i="61" s="1"/>
  <c r="P95" i="61"/>
  <c r="P25" i="61" s="1"/>
  <c r="Q95" i="61"/>
  <c r="Q25" i="61" s="1"/>
  <c r="R95" i="61"/>
  <c r="R25" i="61" s="1"/>
  <c r="S95" i="61"/>
  <c r="S25" i="61" s="1"/>
  <c r="T95" i="61"/>
  <c r="T25" i="61" s="1"/>
  <c r="U95" i="61"/>
  <c r="U25" i="61" s="1"/>
  <c r="V95" i="61"/>
  <c r="V25" i="61" s="1"/>
  <c r="W95" i="61"/>
  <c r="W25" i="61" s="1"/>
  <c r="X95" i="61"/>
  <c r="X25" i="61" s="1"/>
  <c r="Y95" i="61"/>
  <c r="Y25" i="61" s="1"/>
  <c r="Z95" i="61"/>
  <c r="Z25" i="61" s="1"/>
  <c r="AA95" i="61"/>
  <c r="AA25" i="61" s="1"/>
  <c r="AB95" i="61"/>
  <c r="AB25" i="61" s="1"/>
  <c r="AC95" i="61"/>
  <c r="AC25" i="61" s="1"/>
  <c r="AD95" i="61"/>
  <c r="AD25" i="61" s="1"/>
  <c r="E96" i="61"/>
  <c r="E26" i="61" s="1"/>
  <c r="F96" i="61"/>
  <c r="F26" i="61" s="1"/>
  <c r="G96" i="61"/>
  <c r="G26" i="61" s="1"/>
  <c r="H96" i="61"/>
  <c r="H26" i="61" s="1"/>
  <c r="I96" i="61"/>
  <c r="I26" i="61" s="1"/>
  <c r="J96" i="61"/>
  <c r="J26" i="61" s="1"/>
  <c r="K96" i="61"/>
  <c r="K26" i="61" s="1"/>
  <c r="L96" i="61"/>
  <c r="L26" i="61" s="1"/>
  <c r="M96" i="61"/>
  <c r="M26" i="61" s="1"/>
  <c r="N96" i="61"/>
  <c r="N26" i="61" s="1"/>
  <c r="O96" i="61"/>
  <c r="O26" i="61" s="1"/>
  <c r="P96" i="61"/>
  <c r="P26" i="61" s="1"/>
  <c r="Q96" i="61"/>
  <c r="Q26" i="61" s="1"/>
  <c r="R96" i="61"/>
  <c r="R26" i="61" s="1"/>
  <c r="S96" i="61"/>
  <c r="S26" i="61" s="1"/>
  <c r="T96" i="61"/>
  <c r="T26" i="61" s="1"/>
  <c r="U96" i="61"/>
  <c r="U26" i="61" s="1"/>
  <c r="V96" i="61"/>
  <c r="V26" i="61" s="1"/>
  <c r="W96" i="61"/>
  <c r="W26" i="61" s="1"/>
  <c r="X96" i="61"/>
  <c r="X26" i="61" s="1"/>
  <c r="Y96" i="61"/>
  <c r="Y26" i="61" s="1"/>
  <c r="Z96" i="61"/>
  <c r="Z26" i="61" s="1"/>
  <c r="AA96" i="61"/>
  <c r="AA26" i="61" s="1"/>
  <c r="AB96" i="61"/>
  <c r="AB26" i="61" s="1"/>
  <c r="AC96" i="61"/>
  <c r="AC26" i="61" s="1"/>
  <c r="AD96" i="61"/>
  <c r="AD26" i="61" s="1"/>
  <c r="D96" i="61"/>
  <c r="D26" i="61" s="1"/>
  <c r="D95" i="61"/>
  <c r="D25" i="61" s="1"/>
  <c r="D94" i="61"/>
  <c r="D24" i="61" s="1"/>
  <c r="D93" i="61"/>
  <c r="AE94" i="61"/>
  <c r="AE95" i="61"/>
  <c r="AE96" i="61" s="1"/>
  <c r="B62" i="61"/>
  <c r="B60" i="61"/>
  <c r="B61" i="61"/>
  <c r="B24" i="61"/>
  <c r="B94" i="61" s="1"/>
  <c r="B25" i="61"/>
  <c r="B95" i="61" s="1"/>
  <c r="B26" i="61"/>
  <c r="B96" i="61" s="1"/>
  <c r="E59" i="60"/>
  <c r="E60" i="60"/>
  <c r="E61" i="60"/>
  <c r="E62" i="60"/>
  <c r="E63" i="60"/>
  <c r="D60" i="60"/>
  <c r="D61" i="60"/>
  <c r="F26" i="60"/>
  <c r="G26" i="60" s="1"/>
  <c r="H26" i="60" s="1"/>
  <c r="I26" i="60" s="1"/>
  <c r="J26" i="60" s="1"/>
  <c r="K26" i="60" s="1"/>
  <c r="L26" i="60" s="1"/>
  <c r="M26" i="60" s="1"/>
  <c r="N26" i="60" s="1"/>
  <c r="O26" i="60" s="1"/>
  <c r="P26" i="60" s="1"/>
  <c r="Q26" i="60" s="1"/>
  <c r="R26" i="60" s="1"/>
  <c r="S26" i="60" s="1"/>
  <c r="T26" i="60" s="1"/>
  <c r="U26" i="60" s="1"/>
  <c r="V26" i="60" s="1"/>
  <c r="W26" i="60" s="1"/>
  <c r="X26" i="60" s="1"/>
  <c r="Y26" i="60" s="1"/>
  <c r="Z26" i="60" s="1"/>
  <c r="AA26" i="60" s="1"/>
  <c r="AB26" i="60" s="1"/>
  <c r="AC26" i="60" s="1"/>
  <c r="AD26" i="60" s="1"/>
  <c r="AE26" i="60" s="1"/>
  <c r="AE61" i="60" s="1"/>
  <c r="F25" i="60"/>
  <c r="G25" i="60" s="1"/>
  <c r="H25" i="60" s="1"/>
  <c r="I25" i="60" s="1"/>
  <c r="J25" i="60" s="1"/>
  <c r="K25" i="60" s="1"/>
  <c r="L25" i="60" s="1"/>
  <c r="M25" i="60" s="1"/>
  <c r="N25" i="60" s="1"/>
  <c r="O25" i="60" s="1"/>
  <c r="P25" i="60" s="1"/>
  <c r="Q25" i="60" s="1"/>
  <c r="R25" i="60" s="1"/>
  <c r="S25" i="60" s="1"/>
  <c r="T25" i="60" s="1"/>
  <c r="U25" i="60" s="1"/>
  <c r="V25" i="60" s="1"/>
  <c r="W25" i="60" s="1"/>
  <c r="X25" i="60" s="1"/>
  <c r="Y25" i="60" s="1"/>
  <c r="Z25" i="60" s="1"/>
  <c r="AA25" i="60" s="1"/>
  <c r="AB25" i="60" s="1"/>
  <c r="AC25" i="60" s="1"/>
  <c r="AD25" i="60" s="1"/>
  <c r="AE25" i="60" s="1"/>
  <c r="AE60" i="60" s="1"/>
  <c r="C403" i="43" l="1"/>
  <c r="E28" i="58"/>
  <c r="L411" i="43"/>
  <c r="S60" i="60"/>
  <c r="M60" i="60"/>
  <c r="L60" i="60"/>
  <c r="AC60" i="60"/>
  <c r="K60" i="60"/>
  <c r="AB60" i="60"/>
  <c r="AA60" i="60"/>
  <c r="U60" i="60"/>
  <c r="T60" i="60"/>
  <c r="AA61" i="60"/>
  <c r="Y61" i="60"/>
  <c r="S61" i="60"/>
  <c r="X61" i="60"/>
  <c r="P61" i="60"/>
  <c r="H61" i="60"/>
  <c r="Z60" i="60"/>
  <c r="R60" i="60"/>
  <c r="J60" i="60"/>
  <c r="W61" i="60"/>
  <c r="O61" i="60"/>
  <c r="G61" i="60"/>
  <c r="Y60" i="60"/>
  <c r="Q60" i="60"/>
  <c r="I60" i="60"/>
  <c r="K61" i="60"/>
  <c r="J61" i="60"/>
  <c r="AD61" i="60"/>
  <c r="V61" i="60"/>
  <c r="N61" i="60"/>
  <c r="F61" i="60"/>
  <c r="X60" i="60"/>
  <c r="P60" i="60"/>
  <c r="H60" i="60"/>
  <c r="Z61" i="60"/>
  <c r="I61" i="60"/>
  <c r="AC61" i="60"/>
  <c r="U61" i="60"/>
  <c r="M61" i="60"/>
  <c r="W60" i="60"/>
  <c r="O60" i="60"/>
  <c r="G60" i="60"/>
  <c r="R61" i="60"/>
  <c r="Q61" i="60"/>
  <c r="AB61" i="60"/>
  <c r="T61" i="60"/>
  <c r="L61" i="60"/>
  <c r="AD60" i="60"/>
  <c r="V60" i="60"/>
  <c r="N60" i="60"/>
  <c r="F60" i="60"/>
  <c r="D394" i="43"/>
  <c r="C397" i="43"/>
  <c r="F73" i="58"/>
  <c r="G70" i="58"/>
  <c r="F72" i="58"/>
  <c r="C599" i="43"/>
  <c r="C433" i="43"/>
  <c r="E29" i="58" l="1"/>
  <c r="D396" i="43"/>
  <c r="D395" i="43"/>
  <c r="G73" i="58"/>
  <c r="G72" i="58"/>
  <c r="H70" i="58"/>
  <c r="B25" i="60"/>
  <c r="B60" i="60" s="1"/>
  <c r="B26" i="60"/>
  <c r="B61" i="60" s="1"/>
  <c r="C28" i="58"/>
  <c r="D28" i="58"/>
  <c r="C29" i="58"/>
  <c r="D29" i="58"/>
  <c r="C30" i="58"/>
  <c r="D30" i="58"/>
  <c r="C31" i="58"/>
  <c r="D31" i="58"/>
  <c r="B71" i="58"/>
  <c r="B29" i="58" s="1"/>
  <c r="B72" i="58"/>
  <c r="B30" i="58" s="1"/>
  <c r="E395" i="43" l="1"/>
  <c r="D397" i="43"/>
  <c r="E396" i="43"/>
  <c r="H73" i="58"/>
  <c r="G71" i="58"/>
  <c r="E394" i="43" s="1"/>
  <c r="H72" i="58"/>
  <c r="I70" i="58"/>
  <c r="F203" i="59"/>
  <c r="H29" i="59" s="1"/>
  <c r="G203" i="59"/>
  <c r="I29" i="59" s="1"/>
  <c r="H203" i="59"/>
  <c r="J29" i="59" s="1"/>
  <c r="I203" i="59"/>
  <c r="K29" i="59" s="1"/>
  <c r="J203" i="59"/>
  <c r="L29" i="59" s="1"/>
  <c r="K203" i="59"/>
  <c r="M29" i="59" s="1"/>
  <c r="L203" i="59"/>
  <c r="N29" i="59" s="1"/>
  <c r="M203" i="59"/>
  <c r="O29" i="59" s="1"/>
  <c r="N203" i="59"/>
  <c r="P29" i="59" s="1"/>
  <c r="O203" i="59"/>
  <c r="Q29" i="59" s="1"/>
  <c r="P203" i="59"/>
  <c r="R29" i="59" s="1"/>
  <c r="Q203" i="59"/>
  <c r="S29" i="59" s="1"/>
  <c r="R203" i="59"/>
  <c r="T29" i="59" s="1"/>
  <c r="S203" i="59"/>
  <c r="U29" i="59" s="1"/>
  <c r="T203" i="59"/>
  <c r="V29" i="59" s="1"/>
  <c r="U203" i="59"/>
  <c r="W29" i="59" s="1"/>
  <c r="V203" i="59"/>
  <c r="X29" i="59" s="1"/>
  <c r="W203" i="59"/>
  <c r="Y29" i="59" s="1"/>
  <c r="X203" i="59"/>
  <c r="Z29" i="59" s="1"/>
  <c r="Y203" i="59"/>
  <c r="AA29" i="59" s="1"/>
  <c r="Z203" i="59"/>
  <c r="AB29" i="59" s="1"/>
  <c r="AA203" i="59"/>
  <c r="AC29" i="59" s="1"/>
  <c r="AB203" i="59"/>
  <c r="AD29" i="59" s="1"/>
  <c r="AC203" i="59"/>
  <c r="AE29" i="59" s="1"/>
  <c r="AD203" i="59"/>
  <c r="AF29" i="59" s="1"/>
  <c r="AE203" i="59"/>
  <c r="AG29" i="59" s="1"/>
  <c r="F204" i="59"/>
  <c r="H30" i="59" s="1"/>
  <c r="G204" i="59"/>
  <c r="I30" i="59" s="1"/>
  <c r="H204" i="59"/>
  <c r="J30" i="59" s="1"/>
  <c r="I204" i="59"/>
  <c r="K30" i="59" s="1"/>
  <c r="J204" i="59"/>
  <c r="L30" i="59" s="1"/>
  <c r="K204" i="59"/>
  <c r="M30" i="59" s="1"/>
  <c r="L204" i="59"/>
  <c r="N30" i="59" s="1"/>
  <c r="M204" i="59"/>
  <c r="O30" i="59" s="1"/>
  <c r="N204" i="59"/>
  <c r="P30" i="59" s="1"/>
  <c r="O204" i="59"/>
  <c r="Q30" i="59" s="1"/>
  <c r="P204" i="59"/>
  <c r="R30" i="59" s="1"/>
  <c r="Q204" i="59"/>
  <c r="S30" i="59" s="1"/>
  <c r="R204" i="59"/>
  <c r="T30" i="59" s="1"/>
  <c r="S204" i="59"/>
  <c r="U30" i="59" s="1"/>
  <c r="T204" i="59"/>
  <c r="V30" i="59" s="1"/>
  <c r="U204" i="59"/>
  <c r="W30" i="59" s="1"/>
  <c r="V204" i="59"/>
  <c r="X30" i="59" s="1"/>
  <c r="W204" i="59"/>
  <c r="Y30" i="59" s="1"/>
  <c r="X204" i="59"/>
  <c r="Z30" i="59" s="1"/>
  <c r="Y204" i="59"/>
  <c r="AA30" i="59" s="1"/>
  <c r="Z204" i="59"/>
  <c r="AB30" i="59" s="1"/>
  <c r="AA204" i="59"/>
  <c r="AC30" i="59" s="1"/>
  <c r="AB204" i="59"/>
  <c r="AD30" i="59" s="1"/>
  <c r="AC204" i="59"/>
  <c r="AE30" i="59" s="1"/>
  <c r="AD204" i="59"/>
  <c r="AF30" i="59" s="1"/>
  <c r="AE204" i="59"/>
  <c r="AG30" i="59" s="1"/>
  <c r="F205" i="59"/>
  <c r="H31" i="59" s="1"/>
  <c r="G205" i="59"/>
  <c r="I31" i="59" s="1"/>
  <c r="H205" i="59"/>
  <c r="J31" i="59" s="1"/>
  <c r="I205" i="59"/>
  <c r="K31" i="59" s="1"/>
  <c r="J205" i="59"/>
  <c r="L31" i="59" s="1"/>
  <c r="K205" i="59"/>
  <c r="M31" i="59" s="1"/>
  <c r="L205" i="59"/>
  <c r="N31" i="59" s="1"/>
  <c r="M205" i="59"/>
  <c r="O31" i="59" s="1"/>
  <c r="N205" i="59"/>
  <c r="P31" i="59" s="1"/>
  <c r="O205" i="59"/>
  <c r="Q31" i="59" s="1"/>
  <c r="P205" i="59"/>
  <c r="R31" i="59" s="1"/>
  <c r="Q205" i="59"/>
  <c r="S31" i="59" s="1"/>
  <c r="R205" i="59"/>
  <c r="T31" i="59" s="1"/>
  <c r="S205" i="59"/>
  <c r="U31" i="59" s="1"/>
  <c r="T205" i="59"/>
  <c r="V31" i="59" s="1"/>
  <c r="U205" i="59"/>
  <c r="W31" i="59" s="1"/>
  <c r="V205" i="59"/>
  <c r="X31" i="59" s="1"/>
  <c r="W205" i="59"/>
  <c r="Y31" i="59" s="1"/>
  <c r="X205" i="59"/>
  <c r="Z31" i="59" s="1"/>
  <c r="Y205" i="59"/>
  <c r="AA31" i="59" s="1"/>
  <c r="Z205" i="59"/>
  <c r="AB31" i="59" s="1"/>
  <c r="AA205" i="59"/>
  <c r="AC31" i="59" s="1"/>
  <c r="AB205" i="59"/>
  <c r="AD31" i="59" s="1"/>
  <c r="AC205" i="59"/>
  <c r="AE31" i="59" s="1"/>
  <c r="AD205" i="59"/>
  <c r="AF31" i="59" s="1"/>
  <c r="AE205" i="59"/>
  <c r="AG31" i="59" s="1"/>
  <c r="E205" i="59"/>
  <c r="E204" i="59"/>
  <c r="C374" i="43"/>
  <c r="F30" i="59"/>
  <c r="F29" i="59"/>
  <c r="F28" i="59"/>
  <c r="F395" i="43" l="1"/>
  <c r="F396" i="43"/>
  <c r="E397" i="43"/>
  <c r="I73" i="58"/>
  <c r="J73" i="58"/>
  <c r="J70" i="58"/>
  <c r="I72" i="58"/>
  <c r="H71" i="58"/>
  <c r="F394" i="43" s="1"/>
  <c r="G29" i="59"/>
  <c r="BN48" i="59" s="1"/>
  <c r="G31" i="59"/>
  <c r="G30" i="59"/>
  <c r="C29" i="59"/>
  <c r="C127" i="59" s="1"/>
  <c r="C128" i="59" s="1"/>
  <c r="C30" i="59"/>
  <c r="C129" i="59" s="1"/>
  <c r="C130" i="59" s="1"/>
  <c r="G396" i="43" l="1"/>
  <c r="H396" i="43"/>
  <c r="G395" i="43"/>
  <c r="C82" i="59"/>
  <c r="BM48" i="59"/>
  <c r="C83" i="59"/>
  <c r="BM49" i="59"/>
  <c r="F397" i="43"/>
  <c r="I71" i="58"/>
  <c r="G394" i="43" s="1"/>
  <c r="K73" i="58"/>
  <c r="J72" i="58"/>
  <c r="K70" i="58"/>
  <c r="C426" i="43"/>
  <c r="C425" i="43"/>
  <c r="D417" i="43"/>
  <c r="E417" i="43" s="1"/>
  <c r="C417" i="43"/>
  <c r="C597" i="43" l="1"/>
  <c r="C434" i="43"/>
  <c r="C598" i="43"/>
  <c r="C435" i="43"/>
  <c r="BN50" i="59"/>
  <c r="H395" i="43"/>
  <c r="I396" i="43"/>
  <c r="G397" i="43"/>
  <c r="K72" i="58"/>
  <c r="L70" i="58"/>
  <c r="L73" i="58"/>
  <c r="J71" i="58"/>
  <c r="H394" i="43" s="1"/>
  <c r="C427" i="43"/>
  <c r="J396" i="43" l="1"/>
  <c r="I395" i="43"/>
  <c r="H397" i="43"/>
  <c r="M70" i="58"/>
  <c r="K71" i="58"/>
  <c r="I394" i="43" s="1"/>
  <c r="M73" i="58"/>
  <c r="L72" i="58"/>
  <c r="C600" i="43"/>
  <c r="C606" i="43" s="1"/>
  <c r="E13" i="65"/>
  <c r="J395" i="43" l="1"/>
  <c r="K396" i="43"/>
  <c r="I397" i="43"/>
  <c r="M72" i="58"/>
  <c r="N73" i="58"/>
  <c r="L71" i="58"/>
  <c r="J394" i="43" s="1"/>
  <c r="N70" i="58"/>
  <c r="C609" i="43"/>
  <c r="C607" i="43"/>
  <c r="C608" i="43"/>
  <c r="F8" i="58"/>
  <c r="G8" i="58"/>
  <c r="H8" i="58"/>
  <c r="I8" i="58"/>
  <c r="J8" i="58"/>
  <c r="K8" i="58"/>
  <c r="L8" i="58"/>
  <c r="M8" i="58"/>
  <c r="N8" i="58"/>
  <c r="O8" i="58"/>
  <c r="P8" i="58"/>
  <c r="Q8" i="58"/>
  <c r="R8" i="58"/>
  <c r="S8" i="58"/>
  <c r="T8" i="58"/>
  <c r="U8" i="58"/>
  <c r="V8" i="58"/>
  <c r="W8" i="58"/>
  <c r="X8" i="58"/>
  <c r="Y8" i="58"/>
  <c r="Z8" i="58"/>
  <c r="AA8" i="58"/>
  <c r="AB8" i="58"/>
  <c r="AC8" i="58"/>
  <c r="AD8" i="58"/>
  <c r="AE8" i="58"/>
  <c r="F9" i="58"/>
  <c r="G9" i="58"/>
  <c r="H9" i="58"/>
  <c r="I9" i="58"/>
  <c r="J9" i="58"/>
  <c r="K9" i="58"/>
  <c r="L9" i="58"/>
  <c r="M9" i="58"/>
  <c r="N9" i="58"/>
  <c r="O9" i="58"/>
  <c r="P9" i="58"/>
  <c r="Q9" i="58"/>
  <c r="R9" i="58"/>
  <c r="S9" i="58"/>
  <c r="T9" i="58"/>
  <c r="U9" i="58"/>
  <c r="V9" i="58"/>
  <c r="W9" i="58"/>
  <c r="X9" i="58"/>
  <c r="Y9" i="58"/>
  <c r="Z9" i="58"/>
  <c r="AA9" i="58"/>
  <c r="AB9" i="58"/>
  <c r="AC9" i="58"/>
  <c r="AD9" i="58"/>
  <c r="AE9" i="58"/>
  <c r="E9" i="58"/>
  <c r="E8" i="58"/>
  <c r="L396" i="43" l="1"/>
  <c r="K395" i="43"/>
  <c r="J397" i="43"/>
  <c r="M71" i="58"/>
  <c r="K394" i="43" s="1"/>
  <c r="O70" i="58"/>
  <c r="O73" i="58"/>
  <c r="N72" i="58"/>
  <c r="C610" i="43"/>
  <c r="L395" i="43" l="1"/>
  <c r="M396" i="43"/>
  <c r="K397" i="43"/>
  <c r="P73" i="58"/>
  <c r="O72" i="58"/>
  <c r="N71" i="58"/>
  <c r="L394" i="43" s="1"/>
  <c r="P70" i="58"/>
  <c r="N396" i="43" l="1"/>
  <c r="M395" i="43"/>
  <c r="L397" i="43"/>
  <c r="Q70" i="58"/>
  <c r="O71" i="58"/>
  <c r="M394" i="43" s="1"/>
  <c r="P72" i="58"/>
  <c r="Q73" i="58"/>
  <c r="BO30" i="59"/>
  <c r="BQ30" i="59"/>
  <c r="BR30" i="59"/>
  <c r="BS30" i="59"/>
  <c r="BT30" i="59"/>
  <c r="BU30" i="59"/>
  <c r="BW30" i="59"/>
  <c r="BX30" i="59"/>
  <c r="BY30" i="59"/>
  <c r="BZ30" i="59"/>
  <c r="CA30" i="59"/>
  <c r="CB30" i="59"/>
  <c r="CC30" i="59"/>
  <c r="CD30" i="59"/>
  <c r="CE30" i="59"/>
  <c r="CG30" i="59"/>
  <c r="CH30" i="59"/>
  <c r="CJ30" i="59"/>
  <c r="CK30" i="59"/>
  <c r="CL30" i="59"/>
  <c r="CM30" i="59"/>
  <c r="CN30" i="59"/>
  <c r="BM12" i="59"/>
  <c r="BM20" i="59" s="1"/>
  <c r="BM28" i="59" s="1"/>
  <c r="BM36" i="59" s="1"/>
  <c r="D23" i="61"/>
  <c r="D27" i="61"/>
  <c r="N395" i="43" l="1"/>
  <c r="O396" i="43"/>
  <c r="M397" i="43"/>
  <c r="R73" i="58"/>
  <c r="P71" i="58"/>
  <c r="N394" i="43" s="1"/>
  <c r="R70" i="58"/>
  <c r="Q72" i="58"/>
  <c r="F6" i="61"/>
  <c r="F7" i="61"/>
  <c r="F8" i="61"/>
  <c r="F9" i="61"/>
  <c r="F10" i="61"/>
  <c r="F16" i="61"/>
  <c r="F17" i="61"/>
  <c r="F18" i="61"/>
  <c r="F19" i="61"/>
  <c r="P396" i="43" l="1"/>
  <c r="O395" i="43"/>
  <c r="N397" i="43"/>
  <c r="R72" i="58"/>
  <c r="Q71" i="58"/>
  <c r="O394" i="43" s="1"/>
  <c r="S70" i="58"/>
  <c r="S73" i="58"/>
  <c r="AJ28" i="59"/>
  <c r="C32" i="58"/>
  <c r="D32" i="58"/>
  <c r="C9" i="58"/>
  <c r="D9" i="58"/>
  <c r="C10" i="58"/>
  <c r="D10" i="58"/>
  <c r="C11" i="58"/>
  <c r="D11" i="58"/>
  <c r="C12" i="58"/>
  <c r="D12" i="58"/>
  <c r="C13" i="58"/>
  <c r="D13" i="58"/>
  <c r="C14" i="58"/>
  <c r="D14" i="58"/>
  <c r="C15" i="58"/>
  <c r="D15" i="58"/>
  <c r="C16" i="58"/>
  <c r="D16" i="58"/>
  <c r="C17" i="58"/>
  <c r="D17" i="58"/>
  <c r="C18" i="58"/>
  <c r="D18" i="58"/>
  <c r="C19" i="58"/>
  <c r="D19" i="58"/>
  <c r="C20" i="58"/>
  <c r="D20" i="58"/>
  <c r="C21" i="58"/>
  <c r="D21" i="58"/>
  <c r="C22" i="58"/>
  <c r="D22" i="58"/>
  <c r="C23" i="58"/>
  <c r="D23" i="58"/>
  <c r="C24" i="58"/>
  <c r="D24" i="58"/>
  <c r="C25" i="58"/>
  <c r="D25" i="58"/>
  <c r="C26" i="58"/>
  <c r="D26" i="58"/>
  <c r="C8" i="58"/>
  <c r="D8" i="58"/>
  <c r="C6" i="58"/>
  <c r="D6" i="58"/>
  <c r="B6" i="58"/>
  <c r="P395" i="43" l="1"/>
  <c r="Q396" i="43"/>
  <c r="O397" i="43"/>
  <c r="R71" i="58"/>
  <c r="P394" i="43" s="1"/>
  <c r="T73" i="58"/>
  <c r="S72" i="58"/>
  <c r="T70" i="58"/>
  <c r="C80" i="43"/>
  <c r="E6" i="61"/>
  <c r="G6" i="61"/>
  <c r="H6" i="61"/>
  <c r="I6" i="61"/>
  <c r="J6" i="61"/>
  <c r="K6" i="61"/>
  <c r="L6" i="61"/>
  <c r="M6" i="61"/>
  <c r="N6" i="61"/>
  <c r="O6" i="61"/>
  <c r="P6" i="61"/>
  <c r="Q6" i="61"/>
  <c r="R6" i="61"/>
  <c r="S6" i="61"/>
  <c r="T6" i="61"/>
  <c r="U6" i="61"/>
  <c r="V6" i="61"/>
  <c r="W6" i="61"/>
  <c r="X6" i="61"/>
  <c r="Y6" i="61"/>
  <c r="Z6" i="61"/>
  <c r="AA6" i="61"/>
  <c r="AB6" i="61"/>
  <c r="AC6" i="61"/>
  <c r="AD6" i="61"/>
  <c r="E7" i="61"/>
  <c r="G7" i="61"/>
  <c r="H7" i="61"/>
  <c r="I7" i="61"/>
  <c r="J7" i="61"/>
  <c r="K7" i="61"/>
  <c r="L7" i="61"/>
  <c r="M7" i="61"/>
  <c r="N7" i="61"/>
  <c r="O7" i="61"/>
  <c r="P7" i="61"/>
  <c r="Q7" i="61"/>
  <c r="R7" i="61"/>
  <c r="S7" i="61"/>
  <c r="T7" i="61"/>
  <c r="U7" i="61"/>
  <c r="V7" i="61"/>
  <c r="W7" i="61"/>
  <c r="X7" i="61"/>
  <c r="Y7" i="61"/>
  <c r="Z7" i="61"/>
  <c r="AA7" i="61"/>
  <c r="AB7" i="61"/>
  <c r="AC7" i="61"/>
  <c r="AD7" i="61"/>
  <c r="E8" i="61"/>
  <c r="G8" i="61"/>
  <c r="H8" i="61"/>
  <c r="I8" i="61"/>
  <c r="J8" i="61"/>
  <c r="K8" i="61"/>
  <c r="L8" i="61"/>
  <c r="M8" i="61"/>
  <c r="N8" i="61"/>
  <c r="O8" i="61"/>
  <c r="P8" i="61"/>
  <c r="Q8" i="61"/>
  <c r="R8" i="61"/>
  <c r="S8" i="61"/>
  <c r="T8" i="61"/>
  <c r="U8" i="61"/>
  <c r="V8" i="61"/>
  <c r="W8" i="61"/>
  <c r="X8" i="61"/>
  <c r="Y8" i="61"/>
  <c r="Z8" i="61"/>
  <c r="AA8" i="61"/>
  <c r="AB8" i="61"/>
  <c r="AC8" i="61"/>
  <c r="AD8" i="61"/>
  <c r="E9" i="61"/>
  <c r="G9" i="61"/>
  <c r="H9" i="61"/>
  <c r="I9" i="61"/>
  <c r="J9" i="61"/>
  <c r="K9" i="61"/>
  <c r="L9" i="61"/>
  <c r="M9" i="61"/>
  <c r="N9" i="61"/>
  <c r="O9" i="61"/>
  <c r="P9" i="61"/>
  <c r="Q9" i="61"/>
  <c r="R9" i="61"/>
  <c r="S9" i="61"/>
  <c r="T9" i="61"/>
  <c r="U9" i="61"/>
  <c r="V9" i="61"/>
  <c r="W9" i="61"/>
  <c r="X9" i="61"/>
  <c r="Y9" i="61"/>
  <c r="Z9" i="61"/>
  <c r="AA9" i="61"/>
  <c r="AB9" i="61"/>
  <c r="AC9" i="61"/>
  <c r="AD9" i="61"/>
  <c r="E10" i="61"/>
  <c r="G10" i="61"/>
  <c r="H10" i="61"/>
  <c r="I10" i="61"/>
  <c r="J10" i="61"/>
  <c r="K10" i="61"/>
  <c r="L10" i="61"/>
  <c r="M10" i="61"/>
  <c r="N10" i="61"/>
  <c r="O10" i="61"/>
  <c r="P10" i="61"/>
  <c r="Q10" i="61"/>
  <c r="R10" i="61"/>
  <c r="S10" i="61"/>
  <c r="T10" i="61"/>
  <c r="U10" i="61"/>
  <c r="V10" i="61"/>
  <c r="W10" i="61"/>
  <c r="X10" i="61"/>
  <c r="Y10" i="61"/>
  <c r="Z10" i="61"/>
  <c r="AA10" i="61"/>
  <c r="AB10" i="61"/>
  <c r="AC10" i="61"/>
  <c r="AD10" i="61"/>
  <c r="E16" i="61"/>
  <c r="G16" i="61"/>
  <c r="H16" i="61"/>
  <c r="I16" i="61"/>
  <c r="J16" i="61"/>
  <c r="K16" i="61"/>
  <c r="L16" i="61"/>
  <c r="M16" i="61"/>
  <c r="N16" i="61"/>
  <c r="O16" i="61"/>
  <c r="P16" i="61"/>
  <c r="Q16" i="61"/>
  <c r="R16" i="61"/>
  <c r="S16" i="61"/>
  <c r="T16" i="61"/>
  <c r="U16" i="61"/>
  <c r="V16" i="61"/>
  <c r="W16" i="61"/>
  <c r="X16" i="61"/>
  <c r="Y16" i="61"/>
  <c r="Z16" i="61"/>
  <c r="AA16" i="61"/>
  <c r="AB16" i="61"/>
  <c r="AC16" i="61"/>
  <c r="AD16" i="61"/>
  <c r="E17" i="61"/>
  <c r="G17" i="61"/>
  <c r="H17" i="61"/>
  <c r="I17" i="61"/>
  <c r="J17" i="61"/>
  <c r="K17" i="61"/>
  <c r="L17" i="61"/>
  <c r="M17" i="61"/>
  <c r="N17" i="61"/>
  <c r="O17" i="61"/>
  <c r="P17" i="61"/>
  <c r="Q17" i="61"/>
  <c r="R17" i="61"/>
  <c r="S17" i="61"/>
  <c r="T17" i="61"/>
  <c r="U17" i="61"/>
  <c r="V17" i="61"/>
  <c r="W17" i="61"/>
  <c r="X17" i="61"/>
  <c r="Y17" i="61"/>
  <c r="Z17" i="61"/>
  <c r="AA17" i="61"/>
  <c r="AB17" i="61"/>
  <c r="AC17" i="61"/>
  <c r="AD17" i="61"/>
  <c r="E18" i="61"/>
  <c r="G18" i="61"/>
  <c r="H18" i="61"/>
  <c r="I18" i="61"/>
  <c r="J18" i="61"/>
  <c r="K18" i="61"/>
  <c r="L18" i="61"/>
  <c r="M18" i="61"/>
  <c r="N18" i="61"/>
  <c r="O18" i="61"/>
  <c r="P18" i="61"/>
  <c r="Q18" i="61"/>
  <c r="R18" i="61"/>
  <c r="S18" i="61"/>
  <c r="T18" i="61"/>
  <c r="U18" i="61"/>
  <c r="V18" i="61"/>
  <c r="W18" i="61"/>
  <c r="X18" i="61"/>
  <c r="Y18" i="61"/>
  <c r="Z18" i="61"/>
  <c r="AA18" i="61"/>
  <c r="AB18" i="61"/>
  <c r="AC18" i="61"/>
  <c r="AD18" i="61"/>
  <c r="E19" i="61"/>
  <c r="G19" i="61"/>
  <c r="H19" i="61"/>
  <c r="I19" i="61"/>
  <c r="J19" i="61"/>
  <c r="K19" i="61"/>
  <c r="L19" i="61"/>
  <c r="M19" i="61"/>
  <c r="N19" i="61"/>
  <c r="O19" i="61"/>
  <c r="P19" i="61"/>
  <c r="Q19" i="61"/>
  <c r="R19" i="61"/>
  <c r="S19" i="61"/>
  <c r="T19" i="61"/>
  <c r="U19" i="61"/>
  <c r="V19" i="61"/>
  <c r="W19" i="61"/>
  <c r="X19" i="61"/>
  <c r="Y19" i="61"/>
  <c r="Z19" i="61"/>
  <c r="AA19" i="61"/>
  <c r="AB19" i="61"/>
  <c r="AC19" i="61"/>
  <c r="AD19" i="61"/>
  <c r="D7" i="61"/>
  <c r="D8" i="61"/>
  <c r="D9" i="61"/>
  <c r="D10" i="61"/>
  <c r="D16" i="61"/>
  <c r="D17" i="61"/>
  <c r="D18" i="61"/>
  <c r="D19" i="61"/>
  <c r="D20" i="61"/>
  <c r="D21" i="61"/>
  <c r="D22" i="61"/>
  <c r="D6" i="61"/>
  <c r="AJ29" i="59"/>
  <c r="D82" i="61"/>
  <c r="D12" i="61" s="1"/>
  <c r="E81" i="61"/>
  <c r="E11" i="61" s="1"/>
  <c r="Q395" i="43" l="1"/>
  <c r="R396" i="43"/>
  <c r="P397" i="43"/>
  <c r="U70" i="58"/>
  <c r="T72" i="58"/>
  <c r="U73" i="58"/>
  <c r="S71" i="58"/>
  <c r="Q394" i="43" s="1"/>
  <c r="S396" i="43" l="1"/>
  <c r="R395" i="43"/>
  <c r="Q397" i="43"/>
  <c r="V73" i="58"/>
  <c r="V70" i="58"/>
  <c r="T71" i="58"/>
  <c r="R394" i="43" s="1"/>
  <c r="U72" i="58"/>
  <c r="S395" i="43" l="1"/>
  <c r="T396" i="43"/>
  <c r="R397" i="43"/>
  <c r="W70" i="58"/>
  <c r="V72" i="58"/>
  <c r="U71" i="58"/>
  <c r="S394" i="43" s="1"/>
  <c r="W73" i="58"/>
  <c r="E10" i="59"/>
  <c r="T395" i="43" l="1"/>
  <c r="U396" i="43"/>
  <c r="S397" i="43"/>
  <c r="W72" i="58"/>
  <c r="X73" i="58"/>
  <c r="V71" i="58"/>
  <c r="T394" i="43" s="1"/>
  <c r="X70" i="58"/>
  <c r="V396" i="43" l="1"/>
  <c r="U395" i="43"/>
  <c r="T397" i="43"/>
  <c r="Y70" i="58"/>
  <c r="Y73" i="58"/>
  <c r="W71" i="58"/>
  <c r="U394" i="43" s="1"/>
  <c r="X72" i="58"/>
  <c r="V395" i="43" l="1"/>
  <c r="W396" i="43"/>
  <c r="U397" i="43"/>
  <c r="Y72" i="58"/>
  <c r="Z73" i="58"/>
  <c r="Z70" i="58"/>
  <c r="X71" i="58"/>
  <c r="V394" i="43" s="1"/>
  <c r="X396" i="43" l="1"/>
  <c r="W395" i="43"/>
  <c r="V397" i="43"/>
  <c r="AA73" i="58"/>
  <c r="Y71" i="58"/>
  <c r="W394" i="43" s="1"/>
  <c r="Z72" i="58"/>
  <c r="AA70" i="58"/>
  <c r="H32" i="59"/>
  <c r="J32" i="59"/>
  <c r="K32" i="59"/>
  <c r="L32" i="59"/>
  <c r="M32" i="59"/>
  <c r="N32" i="59"/>
  <c r="P32" i="59"/>
  <c r="Q32" i="59"/>
  <c r="R32" i="59"/>
  <c r="S32" i="59"/>
  <c r="T32" i="59"/>
  <c r="U32" i="59"/>
  <c r="V32" i="59"/>
  <c r="W32" i="59"/>
  <c r="X32" i="59"/>
  <c r="Z32" i="59"/>
  <c r="AA32" i="59"/>
  <c r="AC32" i="59"/>
  <c r="AD32" i="59"/>
  <c r="AE32" i="59"/>
  <c r="AF32" i="59"/>
  <c r="AG32" i="59"/>
  <c r="X395" i="43" l="1"/>
  <c r="Y396" i="43"/>
  <c r="W397" i="43"/>
  <c r="AA72" i="58"/>
  <c r="AB70" i="58"/>
  <c r="Z71" i="58"/>
  <c r="X394" i="43" s="1"/>
  <c r="AB73" i="58"/>
  <c r="BN30" i="59"/>
  <c r="Z396" i="43" l="1"/>
  <c r="Y395" i="43"/>
  <c r="X397" i="43"/>
  <c r="AA71" i="58"/>
  <c r="Y394" i="43" s="1"/>
  <c r="AC73" i="58"/>
  <c r="AC70" i="58"/>
  <c r="AB72" i="58"/>
  <c r="B7" i="43"/>
  <c r="Z395" i="43" l="1"/>
  <c r="AA396" i="43"/>
  <c r="Y397" i="43"/>
  <c r="AD73" i="58"/>
  <c r="AB71" i="58"/>
  <c r="Z394" i="43" s="1"/>
  <c r="AC72" i="58"/>
  <c r="AD70" i="58"/>
  <c r="E7" i="67"/>
  <c r="F7" i="67"/>
  <c r="G7" i="67"/>
  <c r="H7" i="67"/>
  <c r="I7" i="67"/>
  <c r="J7" i="67"/>
  <c r="K7" i="67"/>
  <c r="L7" i="67"/>
  <c r="M7" i="67"/>
  <c r="N7" i="67"/>
  <c r="O7" i="67"/>
  <c r="P7" i="67"/>
  <c r="Q7" i="67"/>
  <c r="R7" i="67"/>
  <c r="S7" i="67"/>
  <c r="T7" i="67"/>
  <c r="U7" i="67"/>
  <c r="V7" i="67"/>
  <c r="W7" i="67"/>
  <c r="X7" i="67"/>
  <c r="Y7" i="67"/>
  <c r="Z7" i="67"/>
  <c r="AA7" i="67"/>
  <c r="AB7" i="67"/>
  <c r="AC7" i="67"/>
  <c r="AD7" i="67"/>
  <c r="D7" i="67"/>
  <c r="C7" i="67"/>
  <c r="C6" i="67"/>
  <c r="AD5" i="67"/>
  <c r="AC5" i="67"/>
  <c r="AB5" i="67"/>
  <c r="AA5" i="67"/>
  <c r="Z5" i="67"/>
  <c r="Y5" i="67"/>
  <c r="X5" i="67"/>
  <c r="W5" i="67"/>
  <c r="V5" i="67"/>
  <c r="U5" i="67"/>
  <c r="T5" i="67"/>
  <c r="S5" i="67"/>
  <c r="R5" i="67"/>
  <c r="Q5" i="67"/>
  <c r="P5" i="67"/>
  <c r="O5" i="67"/>
  <c r="N5" i="67"/>
  <c r="M5" i="67"/>
  <c r="L5" i="67"/>
  <c r="K5" i="67"/>
  <c r="J5" i="67"/>
  <c r="I5" i="67"/>
  <c r="H5" i="67"/>
  <c r="G5" i="67"/>
  <c r="F5" i="67"/>
  <c r="E5" i="67"/>
  <c r="AA395" i="43" l="1"/>
  <c r="AB396" i="43"/>
  <c r="Z397" i="43"/>
  <c r="AD72" i="58"/>
  <c r="AC71" i="58"/>
  <c r="AA394" i="43" s="1"/>
  <c r="AE70" i="58"/>
  <c r="AE73" i="58"/>
  <c r="AC396" i="43" l="1"/>
  <c r="AB395" i="43"/>
  <c r="AA397" i="43"/>
  <c r="AE72" i="58"/>
  <c r="AD71" i="58"/>
  <c r="AB394" i="43" s="1"/>
  <c r="E58" i="60"/>
  <c r="AC395" i="43" l="1"/>
  <c r="AB397" i="43"/>
  <c r="AE71" i="58"/>
  <c r="E64" i="60"/>
  <c r="E65" i="60"/>
  <c r="E66" i="60"/>
  <c r="E67" i="60"/>
  <c r="E68" i="60"/>
  <c r="AC394" i="43" l="1"/>
  <c r="F50" i="59"/>
  <c r="F26" i="59"/>
  <c r="F25" i="59"/>
  <c r="F24" i="59"/>
  <c r="F22" i="59"/>
  <c r="F20" i="59"/>
  <c r="F19" i="59"/>
  <c r="F18" i="59"/>
  <c r="F16" i="59"/>
  <c r="F15" i="59"/>
  <c r="F14" i="59"/>
  <c r="F13" i="59"/>
  <c r="F12" i="59"/>
  <c r="F11" i="59"/>
  <c r="F10" i="59"/>
  <c r="F9" i="59"/>
  <c r="F8" i="59"/>
  <c r="G47" i="59"/>
  <c r="C60" i="43"/>
  <c r="C46" i="43"/>
  <c r="C32" i="43"/>
  <c r="C23" i="43"/>
  <c r="C265" i="43"/>
  <c r="C264" i="43"/>
  <c r="C263" i="43"/>
  <c r="B266" i="43"/>
  <c r="D264" i="43" s="1"/>
  <c r="C305" i="43"/>
  <c r="C297" i="43"/>
  <c r="C288" i="43"/>
  <c r="B247" i="43"/>
  <c r="AC397" i="43" l="1"/>
  <c r="D263" i="43"/>
  <c r="B265" i="43"/>
  <c r="D265" i="43" s="1"/>
  <c r="B274" i="43"/>
  <c r="D272" i="43" s="1"/>
  <c r="B257" i="43"/>
  <c r="D254" i="43" s="1"/>
  <c r="C256" i="43"/>
  <c r="C255" i="43"/>
  <c r="C254" i="43"/>
  <c r="C272" i="43" s="1"/>
  <c r="C246" i="43"/>
  <c r="C245" i="43"/>
  <c r="C244" i="43"/>
  <c r="B246" i="43" l="1"/>
  <c r="D246" i="43" s="1"/>
  <c r="I288" i="43"/>
  <c r="I305" i="43"/>
  <c r="I32" i="43"/>
  <c r="I60" i="43"/>
  <c r="I23" i="43"/>
  <c r="I46" i="43"/>
  <c r="I297" i="43"/>
  <c r="M47" i="59"/>
  <c r="R32" i="43"/>
  <c r="R288" i="43"/>
  <c r="R23" i="43"/>
  <c r="R60" i="43"/>
  <c r="R305" i="43"/>
  <c r="V47" i="59"/>
  <c r="R46" i="43"/>
  <c r="R297" i="43"/>
  <c r="Z32" i="43"/>
  <c r="Z288" i="43"/>
  <c r="Z23" i="43"/>
  <c r="AD47" i="59"/>
  <c r="Z60" i="43"/>
  <c r="Z305" i="43"/>
  <c r="Z46" i="43"/>
  <c r="Z297" i="43"/>
  <c r="W47" i="59"/>
  <c r="S288" i="43"/>
  <c r="S60" i="43"/>
  <c r="S32" i="43"/>
  <c r="S305" i="43"/>
  <c r="S23" i="43"/>
  <c r="S297" i="43"/>
  <c r="S46" i="43"/>
  <c r="Y288" i="43"/>
  <c r="Y60" i="43"/>
  <c r="Y305" i="43"/>
  <c r="Y23" i="43"/>
  <c r="Y46" i="43"/>
  <c r="Y297" i="43"/>
  <c r="AC47" i="59"/>
  <c r="Y32" i="43"/>
  <c r="O47" i="59"/>
  <c r="K32" i="43"/>
  <c r="K288" i="43"/>
  <c r="K60" i="43"/>
  <c r="K305" i="43"/>
  <c r="K297" i="43"/>
  <c r="K23" i="43"/>
  <c r="K46" i="43"/>
  <c r="D297" i="43"/>
  <c r="H47" i="59"/>
  <c r="D288" i="43"/>
  <c r="D32" i="43"/>
  <c r="D60" i="43"/>
  <c r="D305" i="43"/>
  <c r="D46" i="43"/>
  <c r="D23" i="43"/>
  <c r="L297" i="43"/>
  <c r="P47" i="59"/>
  <c r="L32" i="43"/>
  <c r="L288" i="43"/>
  <c r="L60" i="43"/>
  <c r="L305" i="43"/>
  <c r="L23" i="43"/>
  <c r="L46" i="43"/>
  <c r="T297" i="43"/>
  <c r="T288" i="43"/>
  <c r="X47" i="59"/>
  <c r="T32" i="43"/>
  <c r="T60" i="43"/>
  <c r="T305" i="43"/>
  <c r="T46" i="43"/>
  <c r="T23" i="43"/>
  <c r="AB297" i="43"/>
  <c r="AF47" i="59"/>
  <c r="AB288" i="43"/>
  <c r="AB32" i="43"/>
  <c r="AB60" i="43"/>
  <c r="AB305" i="43"/>
  <c r="AB23" i="43"/>
  <c r="AB46" i="43"/>
  <c r="J32" i="43"/>
  <c r="J288" i="43"/>
  <c r="J60" i="43"/>
  <c r="J305" i="43"/>
  <c r="J23" i="43"/>
  <c r="J46" i="43"/>
  <c r="J297" i="43"/>
  <c r="N47" i="59"/>
  <c r="E46" i="43"/>
  <c r="E297" i="43"/>
  <c r="E32" i="43"/>
  <c r="I47" i="59"/>
  <c r="E288" i="43"/>
  <c r="E60" i="43"/>
  <c r="E305" i="43"/>
  <c r="E23" i="43"/>
  <c r="U46" i="43"/>
  <c r="U297" i="43"/>
  <c r="U32" i="43"/>
  <c r="Y47" i="59"/>
  <c r="U288" i="43"/>
  <c r="U60" i="43"/>
  <c r="U305" i="43"/>
  <c r="U23" i="43"/>
  <c r="N23" i="43"/>
  <c r="N46" i="43"/>
  <c r="R47" i="59"/>
  <c r="N297" i="43"/>
  <c r="N32" i="43"/>
  <c r="N288" i="43"/>
  <c r="N60" i="43"/>
  <c r="N305" i="43"/>
  <c r="Z47" i="59"/>
  <c r="V46" i="43"/>
  <c r="V297" i="43"/>
  <c r="V32" i="43"/>
  <c r="V23" i="43"/>
  <c r="V288" i="43"/>
  <c r="V60" i="43"/>
  <c r="V305" i="43"/>
  <c r="Q288" i="43"/>
  <c r="Q60" i="43"/>
  <c r="Q305" i="43"/>
  <c r="Q23" i="43"/>
  <c r="Q46" i="43"/>
  <c r="Q32" i="43"/>
  <c r="Q297" i="43"/>
  <c r="U47" i="59"/>
  <c r="AE47" i="59"/>
  <c r="AA305" i="43"/>
  <c r="AA297" i="43"/>
  <c r="AA32" i="43"/>
  <c r="AA60" i="43"/>
  <c r="AA288" i="43"/>
  <c r="AA23" i="43"/>
  <c r="AA46" i="43"/>
  <c r="M46" i="43"/>
  <c r="M297" i="43"/>
  <c r="M32" i="43"/>
  <c r="Q47" i="59"/>
  <c r="M288" i="43"/>
  <c r="M60" i="43"/>
  <c r="M305" i="43"/>
  <c r="M23" i="43"/>
  <c r="AC46" i="43"/>
  <c r="AC297" i="43"/>
  <c r="AC32" i="43"/>
  <c r="AG47" i="59"/>
  <c r="AC288" i="43"/>
  <c r="AC60" i="43"/>
  <c r="AC305" i="43"/>
  <c r="AC23" i="43"/>
  <c r="F46" i="43"/>
  <c r="F297" i="43"/>
  <c r="J47" i="59"/>
  <c r="F23" i="43"/>
  <c r="F32" i="43"/>
  <c r="F288" i="43"/>
  <c r="F60" i="43"/>
  <c r="F305" i="43"/>
  <c r="G23" i="43"/>
  <c r="G297" i="43"/>
  <c r="G46" i="43"/>
  <c r="G60" i="43"/>
  <c r="K47" i="59"/>
  <c r="G288" i="43"/>
  <c r="G32" i="43"/>
  <c r="G305" i="43"/>
  <c r="O23" i="43"/>
  <c r="O305" i="43"/>
  <c r="O60" i="43"/>
  <c r="O46" i="43"/>
  <c r="O297" i="43"/>
  <c r="S47" i="59"/>
  <c r="O32" i="43"/>
  <c r="O288" i="43"/>
  <c r="W23" i="43"/>
  <c r="W297" i="43"/>
  <c r="W46" i="43"/>
  <c r="AA47" i="59"/>
  <c r="W288" i="43"/>
  <c r="W32" i="43"/>
  <c r="W60" i="43"/>
  <c r="W305" i="43"/>
  <c r="H60" i="43"/>
  <c r="H305" i="43"/>
  <c r="H23" i="43"/>
  <c r="H46" i="43"/>
  <c r="H288" i="43"/>
  <c r="H297" i="43"/>
  <c r="L47" i="59"/>
  <c r="H32" i="43"/>
  <c r="P60" i="43"/>
  <c r="P305" i="43"/>
  <c r="P46" i="43"/>
  <c r="P23" i="43"/>
  <c r="P297" i="43"/>
  <c r="T47" i="59"/>
  <c r="P288" i="43"/>
  <c r="P32" i="43"/>
  <c r="X60" i="43"/>
  <c r="X305" i="43"/>
  <c r="X23" i="43"/>
  <c r="X46" i="43"/>
  <c r="X297" i="43"/>
  <c r="X288" i="43"/>
  <c r="AB47" i="59"/>
  <c r="X32" i="43"/>
  <c r="B273" i="43"/>
  <c r="D273" i="43" s="1"/>
  <c r="B256" i="43"/>
  <c r="D256" i="43" s="1"/>
  <c r="D244" i="43"/>
  <c r="D245" i="43"/>
  <c r="C50" i="59"/>
  <c r="C49" i="59"/>
  <c r="D47" i="59"/>
  <c r="E47" i="59"/>
  <c r="F47" i="59"/>
  <c r="C47" i="59"/>
  <c r="C56" i="59" l="1"/>
  <c r="AI28" i="59"/>
  <c r="C57" i="59"/>
  <c r="AI29" i="59"/>
  <c r="D255" i="43"/>
  <c r="B40" i="61"/>
  <c r="B41" i="61"/>
  <c r="B42" i="61"/>
  <c r="B68" i="61"/>
  <c r="B4" i="61" l="1"/>
  <c r="B5" i="61"/>
  <c r="B50" i="58" l="1"/>
  <c r="B8" i="58" s="1"/>
  <c r="B51" i="58"/>
  <c r="B9" i="58" s="1"/>
  <c r="F40" i="60"/>
  <c r="G40" i="60"/>
  <c r="H40" i="60"/>
  <c r="I40" i="60"/>
  <c r="J40" i="60"/>
  <c r="K40" i="60"/>
  <c r="L40" i="60"/>
  <c r="M40" i="60"/>
  <c r="N40" i="60"/>
  <c r="O40" i="60"/>
  <c r="P40" i="60"/>
  <c r="Q40" i="60"/>
  <c r="R40" i="60"/>
  <c r="S40" i="60"/>
  <c r="T40" i="60"/>
  <c r="U40" i="60"/>
  <c r="V40" i="60"/>
  <c r="W40" i="60"/>
  <c r="X40" i="60"/>
  <c r="Y40" i="60"/>
  <c r="Z40" i="60"/>
  <c r="AA40" i="60"/>
  <c r="AB40" i="60"/>
  <c r="AC40" i="60"/>
  <c r="AD40" i="60"/>
  <c r="AE40" i="60"/>
  <c r="F41" i="60"/>
  <c r="G41" i="60"/>
  <c r="H41" i="60"/>
  <c r="I41" i="60"/>
  <c r="J41" i="60"/>
  <c r="K41" i="60"/>
  <c r="L41" i="60"/>
  <c r="M41" i="60"/>
  <c r="N41" i="60"/>
  <c r="O41" i="60"/>
  <c r="P41" i="60"/>
  <c r="Q41" i="60"/>
  <c r="R41" i="60"/>
  <c r="S41" i="60"/>
  <c r="T41" i="60"/>
  <c r="U41" i="60"/>
  <c r="V41" i="60"/>
  <c r="W41" i="60"/>
  <c r="X41" i="60"/>
  <c r="Y41" i="60"/>
  <c r="Z41" i="60"/>
  <c r="AA41" i="60"/>
  <c r="AB41" i="60"/>
  <c r="AC41" i="60"/>
  <c r="AD41" i="60"/>
  <c r="AE41" i="60"/>
  <c r="E40" i="60"/>
  <c r="E41" i="60"/>
  <c r="D40" i="60"/>
  <c r="D41" i="60"/>
  <c r="B6" i="60"/>
  <c r="B41" i="60" s="1"/>
  <c r="B5" i="60"/>
  <c r="B40" i="60" s="1"/>
  <c r="E15" i="65" l="1"/>
  <c r="F42" i="60" l="1"/>
  <c r="G42" i="60"/>
  <c r="H42" i="60"/>
  <c r="I42" i="60"/>
  <c r="J42" i="60"/>
  <c r="K42" i="60"/>
  <c r="L42" i="60"/>
  <c r="M42" i="60"/>
  <c r="N42" i="60"/>
  <c r="O42" i="60"/>
  <c r="P42" i="60"/>
  <c r="Q42" i="60"/>
  <c r="R42" i="60"/>
  <c r="S42" i="60"/>
  <c r="T42" i="60"/>
  <c r="U42" i="60"/>
  <c r="V42" i="60"/>
  <c r="W42" i="60"/>
  <c r="X42" i="60"/>
  <c r="Y42" i="60"/>
  <c r="Z42" i="60"/>
  <c r="AA42" i="60"/>
  <c r="AB42" i="60"/>
  <c r="AC42" i="60"/>
  <c r="AD42" i="60"/>
  <c r="AE42" i="60"/>
  <c r="E55" i="60"/>
  <c r="E56" i="60"/>
  <c r="E57" i="60"/>
  <c r="E42" i="60"/>
  <c r="D42" i="60"/>
  <c r="D43" i="60"/>
  <c r="D44" i="60"/>
  <c r="D45" i="60"/>
  <c r="D46" i="60"/>
  <c r="D47" i="60"/>
  <c r="D48" i="60"/>
  <c r="D49" i="60"/>
  <c r="D50" i="60"/>
  <c r="D51" i="60"/>
  <c r="D52" i="60"/>
  <c r="D53" i="60"/>
  <c r="D54" i="60"/>
  <c r="D55" i="60"/>
  <c r="D56" i="60"/>
  <c r="D57" i="60"/>
  <c r="D58" i="60"/>
  <c r="D59" i="60"/>
  <c r="D62" i="60"/>
  <c r="D63" i="60"/>
  <c r="D64" i="60"/>
  <c r="F64" i="60"/>
  <c r="G64" i="60"/>
  <c r="H64" i="60"/>
  <c r="I64" i="60"/>
  <c r="J64" i="60"/>
  <c r="K64" i="60"/>
  <c r="L64" i="60"/>
  <c r="M64" i="60"/>
  <c r="N64" i="60"/>
  <c r="O64" i="60"/>
  <c r="P64" i="60"/>
  <c r="Q64" i="60"/>
  <c r="R64" i="60"/>
  <c r="S64" i="60"/>
  <c r="T64" i="60"/>
  <c r="U64" i="60"/>
  <c r="V64" i="60"/>
  <c r="W64" i="60"/>
  <c r="X64" i="60"/>
  <c r="Y64" i="60"/>
  <c r="Z64" i="60"/>
  <c r="AA64" i="60"/>
  <c r="AB64" i="60"/>
  <c r="AC64" i="60"/>
  <c r="AD64" i="60"/>
  <c r="AE64" i="60"/>
  <c r="D65" i="60"/>
  <c r="F65" i="60"/>
  <c r="G65" i="60"/>
  <c r="H65" i="60"/>
  <c r="I65" i="60"/>
  <c r="J65" i="60"/>
  <c r="K65" i="60"/>
  <c r="L65" i="60"/>
  <c r="M65" i="60"/>
  <c r="N65" i="60"/>
  <c r="O65" i="60"/>
  <c r="P65" i="60"/>
  <c r="Q65" i="60"/>
  <c r="R65" i="60"/>
  <c r="S65" i="60"/>
  <c r="T65" i="60"/>
  <c r="U65" i="60"/>
  <c r="V65" i="60"/>
  <c r="W65" i="60"/>
  <c r="X65" i="60"/>
  <c r="Y65" i="60"/>
  <c r="Z65" i="60"/>
  <c r="AA65" i="60"/>
  <c r="AB65" i="60"/>
  <c r="AC65" i="60"/>
  <c r="AD65" i="60"/>
  <c r="AE65" i="60"/>
  <c r="D66" i="60"/>
  <c r="F66" i="60"/>
  <c r="G66" i="60"/>
  <c r="H66" i="60"/>
  <c r="I66" i="60"/>
  <c r="J66" i="60"/>
  <c r="K66" i="60"/>
  <c r="L66" i="60"/>
  <c r="M66" i="60"/>
  <c r="N66" i="60"/>
  <c r="O66" i="60"/>
  <c r="P66" i="60"/>
  <c r="Q66" i="60"/>
  <c r="R66" i="60"/>
  <c r="S66" i="60"/>
  <c r="T66" i="60"/>
  <c r="U66" i="60"/>
  <c r="V66" i="60"/>
  <c r="W66" i="60"/>
  <c r="X66" i="60"/>
  <c r="Y66" i="60"/>
  <c r="Z66" i="60"/>
  <c r="AA66" i="60"/>
  <c r="AB66" i="60"/>
  <c r="AC66" i="60"/>
  <c r="AD66" i="60"/>
  <c r="AE66" i="60"/>
  <c r="D67" i="60"/>
  <c r="F67" i="60"/>
  <c r="G67" i="60"/>
  <c r="H67" i="60"/>
  <c r="I67" i="60"/>
  <c r="J67" i="60"/>
  <c r="K67" i="60"/>
  <c r="L67" i="60"/>
  <c r="M67" i="60"/>
  <c r="N67" i="60"/>
  <c r="O67" i="60"/>
  <c r="P67" i="60"/>
  <c r="Q67" i="60"/>
  <c r="R67" i="60"/>
  <c r="S67" i="60"/>
  <c r="T67" i="60"/>
  <c r="U67" i="60"/>
  <c r="V67" i="60"/>
  <c r="W67" i="60"/>
  <c r="X67" i="60"/>
  <c r="Y67" i="60"/>
  <c r="Z67" i="60"/>
  <c r="AA67" i="60"/>
  <c r="AB67" i="60"/>
  <c r="AC67" i="60"/>
  <c r="AD67" i="60"/>
  <c r="AE67" i="60"/>
  <c r="D68" i="60"/>
  <c r="F68" i="60"/>
  <c r="G68" i="60"/>
  <c r="H68" i="60"/>
  <c r="I68" i="60"/>
  <c r="J68" i="60"/>
  <c r="K68" i="60"/>
  <c r="L68" i="60"/>
  <c r="M68" i="60"/>
  <c r="N68" i="60"/>
  <c r="O68" i="60"/>
  <c r="P68" i="60"/>
  <c r="Q68" i="60"/>
  <c r="R68" i="60"/>
  <c r="S68" i="60"/>
  <c r="T68" i="60"/>
  <c r="U68" i="60"/>
  <c r="V68" i="60"/>
  <c r="W68" i="60"/>
  <c r="X68" i="60"/>
  <c r="Y68" i="60"/>
  <c r="Z68" i="60"/>
  <c r="AA68" i="60"/>
  <c r="AB68" i="60"/>
  <c r="AC68" i="60"/>
  <c r="AD68" i="60"/>
  <c r="AE68" i="60"/>
  <c r="J24" i="59" l="1"/>
  <c r="K24" i="59"/>
  <c r="L24" i="59"/>
  <c r="M24" i="59"/>
  <c r="N24" i="59"/>
  <c r="O24" i="59"/>
  <c r="P24" i="59"/>
  <c r="Q24" i="59"/>
  <c r="R24" i="59"/>
  <c r="S24" i="59"/>
  <c r="T24" i="59"/>
  <c r="U24" i="59"/>
  <c r="V24" i="59"/>
  <c r="W24" i="59"/>
  <c r="X24" i="59"/>
  <c r="Y24" i="59"/>
  <c r="Z24" i="59"/>
  <c r="AA24" i="59"/>
  <c r="AB24" i="59"/>
  <c r="AC24" i="59"/>
  <c r="AD24" i="59"/>
  <c r="AE24" i="59"/>
  <c r="AF24" i="59"/>
  <c r="AG24" i="59"/>
  <c r="J25" i="59"/>
  <c r="K25" i="59"/>
  <c r="L25" i="59"/>
  <c r="M25" i="59"/>
  <c r="N25" i="59"/>
  <c r="O25" i="59"/>
  <c r="P25" i="59"/>
  <c r="Q25" i="59"/>
  <c r="R25" i="59"/>
  <c r="S25" i="59"/>
  <c r="T25" i="59"/>
  <c r="U25" i="59"/>
  <c r="V25" i="59"/>
  <c r="W25" i="59"/>
  <c r="X25" i="59"/>
  <c r="Y25" i="59"/>
  <c r="Z25" i="59"/>
  <c r="AA25" i="59"/>
  <c r="AB25" i="59"/>
  <c r="AC25" i="59"/>
  <c r="AD25" i="59"/>
  <c r="AE25" i="59"/>
  <c r="AF25" i="59"/>
  <c r="AG25" i="59"/>
  <c r="H25" i="59"/>
  <c r="H24" i="59"/>
  <c r="I22" i="59"/>
  <c r="J22" i="59"/>
  <c r="K22" i="59"/>
  <c r="L22" i="59"/>
  <c r="M22" i="59"/>
  <c r="N22" i="59"/>
  <c r="O22" i="59"/>
  <c r="P22" i="59"/>
  <c r="Q22" i="59"/>
  <c r="R22" i="59"/>
  <c r="S22" i="59"/>
  <c r="T22" i="59"/>
  <c r="U22" i="59"/>
  <c r="V22" i="59"/>
  <c r="W22" i="59"/>
  <c r="X22" i="59"/>
  <c r="Y22" i="59"/>
  <c r="Z22" i="59"/>
  <c r="AA22" i="59"/>
  <c r="AB22" i="59"/>
  <c r="AC22" i="59"/>
  <c r="AD22" i="59"/>
  <c r="AE22" i="59"/>
  <c r="AF22" i="59"/>
  <c r="AG22" i="59"/>
  <c r="H22" i="59"/>
  <c r="I6" i="59"/>
  <c r="J6" i="59"/>
  <c r="K6" i="59"/>
  <c r="L6" i="59"/>
  <c r="M6" i="59"/>
  <c r="N6" i="59"/>
  <c r="O6" i="59"/>
  <c r="P6" i="59"/>
  <c r="Q6" i="59"/>
  <c r="R6" i="59"/>
  <c r="S6" i="59"/>
  <c r="T6" i="59"/>
  <c r="U6" i="59"/>
  <c r="V6" i="59"/>
  <c r="W6" i="59"/>
  <c r="X6" i="59"/>
  <c r="Y6" i="59"/>
  <c r="Z6" i="59"/>
  <c r="AA6" i="59"/>
  <c r="AB6" i="59"/>
  <c r="AC6" i="59"/>
  <c r="AD6" i="59"/>
  <c r="AE6" i="59"/>
  <c r="AF6" i="59"/>
  <c r="AG6" i="59"/>
  <c r="H6" i="59"/>
  <c r="G6" i="59" l="1"/>
  <c r="AJ6" i="59" s="1"/>
  <c r="AJ34" i="59" s="1"/>
  <c r="G22" i="59"/>
  <c r="AJ22" i="59" s="1"/>
  <c r="AJ37" i="59" s="1"/>
  <c r="F39" i="59" l="1"/>
  <c r="F38" i="59"/>
  <c r="F36" i="59"/>
  <c r="F35" i="59"/>
  <c r="F34" i="59"/>
  <c r="C35" i="59"/>
  <c r="C137" i="59" s="1"/>
  <c r="C138" i="59" s="1"/>
  <c r="C36" i="59"/>
  <c r="C139" i="59" s="1"/>
  <c r="C140" i="59" s="1"/>
  <c r="C141" i="59" s="1"/>
  <c r="C142" i="59" s="1"/>
  <c r="C143" i="59" s="1"/>
  <c r="C144" i="59" s="1"/>
  <c r="C145" i="59" s="1"/>
  <c r="C146" i="59" s="1"/>
  <c r="C34" i="59"/>
  <c r="C135" i="59" s="1"/>
  <c r="C136" i="59" s="1"/>
  <c r="B67" i="61" l="1"/>
  <c r="B65" i="61"/>
  <c r="B66" i="61"/>
  <c r="B64" i="61"/>
  <c r="B63" i="61"/>
  <c r="B59" i="61"/>
  <c r="B57" i="61"/>
  <c r="B58" i="61"/>
  <c r="B56" i="61"/>
  <c r="B55" i="61"/>
  <c r="B53" i="61"/>
  <c r="B54" i="61"/>
  <c r="B52" i="61"/>
  <c r="B44" i="61"/>
  <c r="B45" i="61"/>
  <c r="B46" i="61"/>
  <c r="B47" i="61"/>
  <c r="B48" i="61"/>
  <c r="B49" i="61"/>
  <c r="B50" i="61"/>
  <c r="B51" i="61"/>
  <c r="B43" i="61"/>
  <c r="B27" i="61"/>
  <c r="B23" i="61"/>
  <c r="B21" i="61"/>
  <c r="B22" i="61"/>
  <c r="B20" i="61"/>
  <c r="B19" i="61"/>
  <c r="B17" i="61"/>
  <c r="B18" i="61"/>
  <c r="B16" i="61"/>
  <c r="B8" i="61"/>
  <c r="B9" i="61"/>
  <c r="B10" i="61"/>
  <c r="B11" i="61"/>
  <c r="B12" i="61"/>
  <c r="B13" i="61"/>
  <c r="B14" i="61"/>
  <c r="B15" i="61"/>
  <c r="B7" i="61"/>
  <c r="B6" i="61"/>
  <c r="E7" i="65" l="1"/>
  <c r="E8" i="65"/>
  <c r="E9" i="65"/>
  <c r="E10" i="65"/>
  <c r="E11" i="65"/>
  <c r="E14" i="65"/>
  <c r="E16" i="65"/>
  <c r="E17" i="65"/>
  <c r="E18" i="65"/>
  <c r="E6" i="65"/>
  <c r="D120" i="61" l="1"/>
  <c r="E97" i="61"/>
  <c r="E27" i="61" s="1"/>
  <c r="E92" i="61"/>
  <c r="E22" i="61" s="1"/>
  <c r="E91" i="61"/>
  <c r="E21" i="61" s="1"/>
  <c r="E90" i="61"/>
  <c r="E20" i="61" s="1"/>
  <c r="AD85" i="61"/>
  <c r="AC85" i="61"/>
  <c r="AB85" i="61"/>
  <c r="AA85" i="61"/>
  <c r="Z85" i="61"/>
  <c r="Y85" i="61"/>
  <c r="X85" i="61"/>
  <c r="W85" i="61"/>
  <c r="V85" i="61"/>
  <c r="U85" i="61"/>
  <c r="T85" i="61"/>
  <c r="S85" i="61"/>
  <c r="R85" i="61"/>
  <c r="Q85" i="61"/>
  <c r="P85" i="61"/>
  <c r="O85" i="61"/>
  <c r="N85" i="61"/>
  <c r="M85" i="61"/>
  <c r="L85" i="61"/>
  <c r="K85" i="61"/>
  <c r="J85" i="61"/>
  <c r="I85" i="61"/>
  <c r="H85" i="61"/>
  <c r="G85" i="61"/>
  <c r="F85" i="61"/>
  <c r="F15" i="61" s="1"/>
  <c r="E85" i="61"/>
  <c r="D85" i="61"/>
  <c r="AD84" i="61"/>
  <c r="AC84" i="61"/>
  <c r="AB84" i="61"/>
  <c r="AA84" i="61"/>
  <c r="Z84" i="61"/>
  <c r="Y84" i="61"/>
  <c r="X84" i="61"/>
  <c r="W84" i="61"/>
  <c r="V84" i="61"/>
  <c r="U84" i="61"/>
  <c r="T84" i="61"/>
  <c r="S84" i="61"/>
  <c r="R84" i="61"/>
  <c r="Q84" i="61"/>
  <c r="P84" i="61"/>
  <c r="O84" i="61"/>
  <c r="N84" i="61"/>
  <c r="M84" i="61"/>
  <c r="L84" i="61"/>
  <c r="K84" i="61"/>
  <c r="J84" i="61"/>
  <c r="I84" i="61"/>
  <c r="H84" i="61"/>
  <c r="G84" i="61"/>
  <c r="F84" i="61"/>
  <c r="F14" i="61" s="1"/>
  <c r="E84" i="61"/>
  <c r="D84" i="61"/>
  <c r="AD82" i="61"/>
  <c r="AC82" i="61"/>
  <c r="AB82" i="61"/>
  <c r="AA82" i="61"/>
  <c r="Z82" i="61"/>
  <c r="Y82" i="61"/>
  <c r="X82" i="61"/>
  <c r="W82" i="61"/>
  <c r="V82" i="61"/>
  <c r="U82" i="61"/>
  <c r="T82" i="61"/>
  <c r="S82" i="61"/>
  <c r="R82" i="61"/>
  <c r="Q82" i="61"/>
  <c r="P82" i="61"/>
  <c r="O82" i="61"/>
  <c r="N82" i="61"/>
  <c r="M82" i="61"/>
  <c r="L82" i="61"/>
  <c r="K82" i="61"/>
  <c r="J82" i="61"/>
  <c r="I82" i="61"/>
  <c r="H82" i="61"/>
  <c r="G82" i="61"/>
  <c r="F82" i="61"/>
  <c r="F12" i="61" s="1"/>
  <c r="E82" i="61"/>
  <c r="AD81" i="61"/>
  <c r="AD11" i="61" s="1"/>
  <c r="AC81" i="61"/>
  <c r="AC11" i="61" s="1"/>
  <c r="AB81" i="61"/>
  <c r="AB11" i="61" s="1"/>
  <c r="AA81" i="61"/>
  <c r="AA11" i="61" s="1"/>
  <c r="Z81" i="61"/>
  <c r="Z11" i="61" s="1"/>
  <c r="Y81" i="61"/>
  <c r="X81" i="61"/>
  <c r="X11" i="61" s="1"/>
  <c r="W81" i="61"/>
  <c r="W11" i="61" s="1"/>
  <c r="V81" i="61"/>
  <c r="V11" i="61" s="1"/>
  <c r="U81" i="61"/>
  <c r="U11" i="61" s="1"/>
  <c r="T81" i="61"/>
  <c r="T11" i="61" s="1"/>
  <c r="S81" i="61"/>
  <c r="S11" i="61" s="1"/>
  <c r="R81" i="61"/>
  <c r="R11" i="61" s="1"/>
  <c r="Q81" i="61"/>
  <c r="Q11" i="61" s="1"/>
  <c r="P81" i="61"/>
  <c r="P11" i="61" s="1"/>
  <c r="O81" i="61"/>
  <c r="O11" i="61" s="1"/>
  <c r="N81" i="61"/>
  <c r="N11" i="61" s="1"/>
  <c r="M81" i="61"/>
  <c r="M11" i="61" s="1"/>
  <c r="L81" i="61"/>
  <c r="L11" i="61" s="1"/>
  <c r="K81" i="61"/>
  <c r="K11" i="61" s="1"/>
  <c r="J81" i="61"/>
  <c r="J11" i="61" s="1"/>
  <c r="I81" i="61"/>
  <c r="I11" i="61" s="1"/>
  <c r="H81" i="61"/>
  <c r="H11" i="61" s="1"/>
  <c r="G81" i="61"/>
  <c r="G11" i="61" s="1"/>
  <c r="F81" i="61"/>
  <c r="F11" i="61" s="1"/>
  <c r="E83" i="61"/>
  <c r="D81" i="61"/>
  <c r="D11" i="61" s="1"/>
  <c r="Y11" i="61" l="1"/>
  <c r="D14" i="61"/>
  <c r="AB14" i="61"/>
  <c r="Y15" i="61"/>
  <c r="H12" i="61"/>
  <c r="P12" i="61"/>
  <c r="X12" i="61"/>
  <c r="E14" i="61"/>
  <c r="M14" i="61"/>
  <c r="U14" i="61"/>
  <c r="AC14" i="61"/>
  <c r="J15" i="61"/>
  <c r="R15" i="61"/>
  <c r="Z15" i="61"/>
  <c r="I15" i="61"/>
  <c r="K15" i="61"/>
  <c r="R12" i="61"/>
  <c r="Z12" i="61"/>
  <c r="G14" i="61"/>
  <c r="O14" i="61"/>
  <c r="W14" i="61"/>
  <c r="D15" i="61"/>
  <c r="L15" i="61"/>
  <c r="T15" i="61"/>
  <c r="AB15" i="61"/>
  <c r="G12" i="61"/>
  <c r="L14" i="61"/>
  <c r="Q15" i="61"/>
  <c r="Q12" i="61"/>
  <c r="V14" i="61"/>
  <c r="AD14" i="61"/>
  <c r="E13" i="61"/>
  <c r="K12" i="61"/>
  <c r="S12" i="61"/>
  <c r="AA12" i="61"/>
  <c r="H14" i="61"/>
  <c r="P14" i="61"/>
  <c r="X14" i="61"/>
  <c r="E15" i="61"/>
  <c r="M15" i="61"/>
  <c r="U15" i="61"/>
  <c r="AC15" i="61"/>
  <c r="W12" i="61"/>
  <c r="Y12" i="61"/>
  <c r="AA15" i="61"/>
  <c r="L12" i="61"/>
  <c r="T12" i="61"/>
  <c r="AB12" i="61"/>
  <c r="I14" i="61"/>
  <c r="Q14" i="61"/>
  <c r="Y14" i="61"/>
  <c r="N15" i="61"/>
  <c r="V15" i="61"/>
  <c r="AD15" i="61"/>
  <c r="T14" i="61"/>
  <c r="I12" i="61"/>
  <c r="S15" i="61"/>
  <c r="E12" i="61"/>
  <c r="M12" i="61"/>
  <c r="U12" i="61"/>
  <c r="AC12" i="61"/>
  <c r="J14" i="61"/>
  <c r="R14" i="61"/>
  <c r="Z14" i="61"/>
  <c r="G15" i="61"/>
  <c r="O15" i="61"/>
  <c r="W15" i="61"/>
  <c r="O12" i="61"/>
  <c r="N14" i="61"/>
  <c r="J12" i="61"/>
  <c r="N12" i="61"/>
  <c r="V12" i="61"/>
  <c r="AD12" i="61"/>
  <c r="K14" i="61"/>
  <c r="S14" i="61"/>
  <c r="AA14" i="61"/>
  <c r="H15" i="61"/>
  <c r="P15" i="61"/>
  <c r="X15" i="61"/>
  <c r="F92" i="61"/>
  <c r="F22" i="61" s="1"/>
  <c r="J83" i="61"/>
  <c r="F97" i="61"/>
  <c r="F27" i="61" s="1"/>
  <c r="Z83" i="61"/>
  <c r="K83" i="61"/>
  <c r="S83" i="61"/>
  <c r="AA83" i="61"/>
  <c r="D83" i="61"/>
  <c r="L83" i="61"/>
  <c r="T83" i="61"/>
  <c r="AB83" i="61"/>
  <c r="I83" i="61"/>
  <c r="M83" i="61"/>
  <c r="U83" i="61"/>
  <c r="AC83" i="61"/>
  <c r="Q83" i="61"/>
  <c r="R83" i="61"/>
  <c r="F83" i="61"/>
  <c r="F13" i="61" s="1"/>
  <c r="N83" i="61"/>
  <c r="V83" i="61"/>
  <c r="AD83" i="61"/>
  <c r="G83" i="61"/>
  <c r="E121" i="61"/>
  <c r="AK24" i="59"/>
  <c r="AK38" i="59" s="1"/>
  <c r="O83" i="61"/>
  <c r="W83" i="61"/>
  <c r="H83" i="61"/>
  <c r="P83" i="61"/>
  <c r="X83" i="61"/>
  <c r="F91" i="61"/>
  <c r="F21" i="61" s="1"/>
  <c r="Y83" i="61"/>
  <c r="F90" i="61"/>
  <c r="F20" i="61" s="1"/>
  <c r="G92" i="61" l="1"/>
  <c r="G22" i="61" s="1"/>
  <c r="G13" i="61"/>
  <c r="U13" i="61"/>
  <c r="T13" i="61"/>
  <c r="S13" i="61"/>
  <c r="J13" i="61"/>
  <c r="AD13" i="61"/>
  <c r="R13" i="61"/>
  <c r="M13" i="61"/>
  <c r="L13" i="61"/>
  <c r="K13" i="61"/>
  <c r="W13" i="61"/>
  <c r="O13" i="61"/>
  <c r="X13" i="61"/>
  <c r="V13" i="61"/>
  <c r="Q13" i="61"/>
  <c r="I13" i="61"/>
  <c r="D13" i="61"/>
  <c r="Z13" i="61"/>
  <c r="P13" i="61"/>
  <c r="H13" i="61"/>
  <c r="Y13" i="61"/>
  <c r="N13" i="61"/>
  <c r="AC13" i="61"/>
  <c r="AB13" i="61"/>
  <c r="AA13" i="61"/>
  <c r="G97" i="61"/>
  <c r="G27" i="61" s="1"/>
  <c r="G91" i="61"/>
  <c r="G21" i="61" s="1"/>
  <c r="G90" i="61"/>
  <c r="H92" i="61" l="1"/>
  <c r="H22" i="61" s="1"/>
  <c r="G20" i="61"/>
  <c r="H91" i="61"/>
  <c r="H21" i="61" s="1"/>
  <c r="H97" i="61"/>
  <c r="H27" i="61" s="1"/>
  <c r="H90" i="61"/>
  <c r="I92" i="61" l="1"/>
  <c r="J92" i="61" s="1"/>
  <c r="H20" i="61"/>
  <c r="I91" i="61"/>
  <c r="I21" i="61" s="1"/>
  <c r="I97" i="61"/>
  <c r="I27" i="61" s="1"/>
  <c r="I90" i="61"/>
  <c r="F27" i="60"/>
  <c r="F62" i="60" s="1"/>
  <c r="F28" i="60"/>
  <c r="F63" i="60" s="1"/>
  <c r="F24" i="60"/>
  <c r="F59" i="60" s="1"/>
  <c r="F68" i="58"/>
  <c r="I22" i="61" l="1"/>
  <c r="G24" i="60"/>
  <c r="G59" i="60" s="1"/>
  <c r="G68" i="58"/>
  <c r="I20" i="61"/>
  <c r="J22" i="61"/>
  <c r="J97" i="61"/>
  <c r="J27" i="61" s="1"/>
  <c r="J91" i="61"/>
  <c r="J21" i="61" s="1"/>
  <c r="G27" i="60"/>
  <c r="G62" i="60" s="1"/>
  <c r="G28" i="60"/>
  <c r="G63" i="60" s="1"/>
  <c r="J90" i="61"/>
  <c r="K92" i="61"/>
  <c r="H24" i="60" l="1"/>
  <c r="H59" i="60" s="1"/>
  <c r="H68" i="58"/>
  <c r="K22" i="61"/>
  <c r="J20" i="61"/>
  <c r="K91" i="61"/>
  <c r="K21" i="61" s="1"/>
  <c r="K97" i="61"/>
  <c r="K27" i="61" s="1"/>
  <c r="H28" i="60"/>
  <c r="H63" i="60" s="1"/>
  <c r="H27" i="60"/>
  <c r="H62" i="60" s="1"/>
  <c r="L92" i="61"/>
  <c r="K90" i="61"/>
  <c r="F679" i="60"/>
  <c r="F681" i="60" s="1"/>
  <c r="G679" i="60"/>
  <c r="G681" i="60" s="1"/>
  <c r="H679" i="60"/>
  <c r="H681" i="60" s="1"/>
  <c r="F680" i="60"/>
  <c r="F682" i="60" s="1"/>
  <c r="G680" i="60"/>
  <c r="G682" i="60" s="1"/>
  <c r="H680" i="60"/>
  <c r="H682" i="60" s="1"/>
  <c r="D680" i="60"/>
  <c r="D682" i="60" s="1"/>
  <c r="D679" i="60"/>
  <c r="D681" i="60" s="1"/>
  <c r="F665" i="60"/>
  <c r="G665" i="60"/>
  <c r="H665" i="60"/>
  <c r="D665" i="60"/>
  <c r="E673" i="60"/>
  <c r="E672" i="60"/>
  <c r="E671" i="60"/>
  <c r="E670" i="60"/>
  <c r="E669" i="60"/>
  <c r="E668" i="60"/>
  <c r="E667" i="60"/>
  <c r="E666" i="60"/>
  <c r="E664" i="60"/>
  <c r="E665" i="60" s="1"/>
  <c r="E663" i="60"/>
  <c r="E662" i="60"/>
  <c r="H661" i="60"/>
  <c r="G661" i="60"/>
  <c r="F661" i="60"/>
  <c r="E661" i="60"/>
  <c r="E660" i="60"/>
  <c r="E659" i="60"/>
  <c r="E658" i="60"/>
  <c r="E657" i="60"/>
  <c r="E656" i="60"/>
  <c r="C109" i="43"/>
  <c r="B68" i="58"/>
  <c r="B26" i="58" s="1"/>
  <c r="H66" i="58"/>
  <c r="C111" i="58"/>
  <c r="C112" i="58"/>
  <c r="C108" i="43"/>
  <c r="B67" i="58"/>
  <c r="B25" i="58" s="1"/>
  <c r="B66" i="58"/>
  <c r="B24" i="58" s="1"/>
  <c r="D89" i="43"/>
  <c r="F89" i="43"/>
  <c r="G89" i="43"/>
  <c r="H89" i="43"/>
  <c r="I89" i="43"/>
  <c r="J89" i="43"/>
  <c r="K89" i="43"/>
  <c r="L89" i="43"/>
  <c r="M89" i="43"/>
  <c r="N89" i="43"/>
  <c r="O89" i="43"/>
  <c r="P89" i="43"/>
  <c r="Q89" i="43"/>
  <c r="R89" i="43"/>
  <c r="S89" i="43"/>
  <c r="T89" i="43"/>
  <c r="U89" i="43"/>
  <c r="V89" i="43"/>
  <c r="W89" i="43"/>
  <c r="X89" i="43"/>
  <c r="Y89" i="43"/>
  <c r="Z89" i="43"/>
  <c r="AA89" i="43"/>
  <c r="AB89" i="43"/>
  <c r="AC89" i="43"/>
  <c r="C87" i="43"/>
  <c r="C88" i="43"/>
  <c r="I66" i="58" l="1"/>
  <c r="G121" i="61"/>
  <c r="AM24" i="59"/>
  <c r="AM38" i="59" s="1"/>
  <c r="I24" i="60"/>
  <c r="I59" i="60" s="1"/>
  <c r="I68" i="58"/>
  <c r="L22" i="61"/>
  <c r="K20" i="61"/>
  <c r="L97" i="61"/>
  <c r="L27" i="61" s="1"/>
  <c r="L91" i="61"/>
  <c r="L21" i="61" s="1"/>
  <c r="C113" i="58"/>
  <c r="E66" i="58" s="1"/>
  <c r="I27" i="60"/>
  <c r="I62" i="60" s="1"/>
  <c r="I28" i="60"/>
  <c r="I63" i="60" s="1"/>
  <c r="L90" i="61"/>
  <c r="M92" i="61"/>
  <c r="E88" i="43"/>
  <c r="E89" i="43" s="1"/>
  <c r="E680" i="60"/>
  <c r="E682" i="60" s="1"/>
  <c r="H683" i="60"/>
  <c r="H684" i="60" s="1"/>
  <c r="G683" i="60"/>
  <c r="G684" i="60" s="1"/>
  <c r="F683" i="60"/>
  <c r="F684" i="60" s="1"/>
  <c r="D683" i="60"/>
  <c r="D684" i="60" s="1"/>
  <c r="E679" i="60"/>
  <c r="E681" i="60" s="1"/>
  <c r="J66" i="58" l="1"/>
  <c r="H121" i="61"/>
  <c r="AN24" i="59"/>
  <c r="AN38" i="59" s="1"/>
  <c r="J24" i="60"/>
  <c r="J59" i="60" s="1"/>
  <c r="G66" i="58"/>
  <c r="J68" i="58"/>
  <c r="M22" i="61"/>
  <c r="L20" i="61"/>
  <c r="M91" i="61"/>
  <c r="M21" i="61" s="1"/>
  <c r="M97" i="61"/>
  <c r="M27" i="61" s="1"/>
  <c r="E67" i="58"/>
  <c r="J28" i="60"/>
  <c r="J63" i="60" s="1"/>
  <c r="J27" i="60"/>
  <c r="J62" i="60" s="1"/>
  <c r="N92" i="61"/>
  <c r="M90" i="61"/>
  <c r="E683" i="60"/>
  <c r="E684" i="60" s="1"/>
  <c r="D3" i="43"/>
  <c r="D17" i="43" s="1"/>
  <c r="E3" i="43"/>
  <c r="E17" i="43" s="1"/>
  <c r="F3" i="43"/>
  <c r="F17" i="43" s="1"/>
  <c r="G3" i="43"/>
  <c r="G17" i="43" s="1"/>
  <c r="H3" i="43"/>
  <c r="H17" i="43" s="1"/>
  <c r="I3" i="43"/>
  <c r="I17" i="43" s="1"/>
  <c r="J3" i="43"/>
  <c r="J17" i="43" s="1"/>
  <c r="K3" i="43"/>
  <c r="K17" i="43" s="1"/>
  <c r="L3" i="43"/>
  <c r="L17" i="43" s="1"/>
  <c r="M3" i="43"/>
  <c r="M17" i="43" s="1"/>
  <c r="N3" i="43"/>
  <c r="N17" i="43" s="1"/>
  <c r="O3" i="43"/>
  <c r="O17" i="43" s="1"/>
  <c r="P3" i="43"/>
  <c r="P17" i="43" s="1"/>
  <c r="Q3" i="43"/>
  <c r="Q17" i="43" s="1"/>
  <c r="R3" i="43"/>
  <c r="R17" i="43" s="1"/>
  <c r="S3" i="43"/>
  <c r="S17" i="43" s="1"/>
  <c r="T3" i="43"/>
  <c r="T17" i="43" s="1"/>
  <c r="U3" i="43"/>
  <c r="U17" i="43" s="1"/>
  <c r="V3" i="43"/>
  <c r="V17" i="43" s="1"/>
  <c r="W3" i="43"/>
  <c r="W17" i="43" s="1"/>
  <c r="X3" i="43"/>
  <c r="X17" i="43" s="1"/>
  <c r="Y3" i="43"/>
  <c r="Y17" i="43" s="1"/>
  <c r="Z3" i="43"/>
  <c r="Z17" i="43" s="1"/>
  <c r="AA3" i="43"/>
  <c r="AA17" i="43" s="1"/>
  <c r="AB3" i="43"/>
  <c r="AB17" i="43" s="1"/>
  <c r="AC3" i="43"/>
  <c r="AC17" i="43" s="1"/>
  <c r="C3" i="43"/>
  <c r="C17" i="43" s="1"/>
  <c r="B5" i="43"/>
  <c r="B6" i="43"/>
  <c r="B8" i="43"/>
  <c r="B9" i="43"/>
  <c r="B10" i="43"/>
  <c r="B11" i="43"/>
  <c r="B12" i="43"/>
  <c r="B4" i="43"/>
  <c r="B33" i="60"/>
  <c r="B68" i="60" s="1"/>
  <c r="B32" i="60"/>
  <c r="B67" i="60" s="1"/>
  <c r="D11" i="43"/>
  <c r="F11" i="43"/>
  <c r="G11" i="43"/>
  <c r="H11" i="43"/>
  <c r="I11" i="43"/>
  <c r="J11" i="43"/>
  <c r="K11" i="43"/>
  <c r="L11" i="43"/>
  <c r="M11" i="43"/>
  <c r="N11" i="43"/>
  <c r="O11" i="43"/>
  <c r="S11" i="43"/>
  <c r="T11" i="43"/>
  <c r="U11" i="43"/>
  <c r="V11" i="43"/>
  <c r="W11" i="43"/>
  <c r="Y11" i="43"/>
  <c r="Z11" i="43"/>
  <c r="AA11" i="43"/>
  <c r="AB11" i="43"/>
  <c r="AC11" i="43"/>
  <c r="D12" i="43"/>
  <c r="F12" i="43"/>
  <c r="G12" i="43"/>
  <c r="H12" i="43"/>
  <c r="I12" i="43"/>
  <c r="J12" i="43"/>
  <c r="K12" i="43"/>
  <c r="L12" i="43"/>
  <c r="M12" i="43"/>
  <c r="N12" i="43"/>
  <c r="O12" i="43"/>
  <c r="S12" i="43"/>
  <c r="T12" i="43"/>
  <c r="U12" i="43"/>
  <c r="V12" i="43"/>
  <c r="W12" i="43"/>
  <c r="Y12" i="43"/>
  <c r="Z12" i="43"/>
  <c r="AA12" i="43"/>
  <c r="AB12" i="43"/>
  <c r="AC12" i="43"/>
  <c r="B649" i="43"/>
  <c r="B650" i="43"/>
  <c r="B651" i="43"/>
  <c r="D651" i="43"/>
  <c r="C650" i="43"/>
  <c r="D650" i="43"/>
  <c r="E650" i="43"/>
  <c r="F650" i="43"/>
  <c r="G650" i="43"/>
  <c r="C651" i="43"/>
  <c r="E651" i="43"/>
  <c r="F651" i="43"/>
  <c r="G651" i="43"/>
  <c r="D649" i="43"/>
  <c r="E649" i="43"/>
  <c r="F649" i="43"/>
  <c r="G649" i="43"/>
  <c r="C649" i="43"/>
  <c r="C668" i="43"/>
  <c r="D668" i="43"/>
  <c r="E668" i="43"/>
  <c r="F668" i="43"/>
  <c r="G668" i="43"/>
  <c r="C669" i="43"/>
  <c r="D669" i="43"/>
  <c r="E669" i="43"/>
  <c r="F669" i="43"/>
  <c r="G669" i="43"/>
  <c r="C670" i="43"/>
  <c r="D670" i="43"/>
  <c r="E670" i="43"/>
  <c r="F670" i="43"/>
  <c r="G670" i="43"/>
  <c r="B669" i="43"/>
  <c r="B678" i="43" s="1"/>
  <c r="B670" i="43"/>
  <c r="B679" i="43" s="1"/>
  <c r="B668" i="43"/>
  <c r="B677" i="43" s="1"/>
  <c r="A633" i="43"/>
  <c r="A632" i="43"/>
  <c r="A620" i="43"/>
  <c r="A621" i="43"/>
  <c r="A619" i="43"/>
  <c r="K24" i="60" l="1"/>
  <c r="K59" i="60" s="1"/>
  <c r="K66" i="58"/>
  <c r="I121" i="61"/>
  <c r="AO24" i="59"/>
  <c r="AO38" i="59" s="1"/>
  <c r="K68" i="58"/>
  <c r="F67" i="58"/>
  <c r="E122" i="61" s="1"/>
  <c r="M20" i="61"/>
  <c r="N22" i="61"/>
  <c r="N91" i="61"/>
  <c r="N21" i="61" s="1"/>
  <c r="N97" i="61"/>
  <c r="N27" i="61" s="1"/>
  <c r="F652" i="43"/>
  <c r="K27" i="60"/>
  <c r="K62" i="60" s="1"/>
  <c r="L24" i="60"/>
  <c r="L59" i="60" s="1"/>
  <c r="K28" i="60"/>
  <c r="K63" i="60" s="1"/>
  <c r="N90" i="61"/>
  <c r="O92" i="61"/>
  <c r="F679" i="43"/>
  <c r="C652" i="43"/>
  <c r="G679" i="43"/>
  <c r="C679" i="43"/>
  <c r="E652" i="43"/>
  <c r="D679" i="43"/>
  <c r="F677" i="43"/>
  <c r="D652" i="43"/>
  <c r="G677" i="43"/>
  <c r="E677" i="43"/>
  <c r="G652" i="43"/>
  <c r="C678" i="43"/>
  <c r="E679" i="43"/>
  <c r="G678" i="43"/>
  <c r="D677" i="43"/>
  <c r="F678" i="43"/>
  <c r="C677" i="43"/>
  <c r="E678" i="43"/>
  <c r="D678" i="43"/>
  <c r="AP24" i="59" l="1"/>
  <c r="AP38" i="59" s="1"/>
  <c r="J121" i="61"/>
  <c r="L66" i="58"/>
  <c r="G67" i="58"/>
  <c r="AK25" i="59"/>
  <c r="L68" i="58"/>
  <c r="O22" i="61"/>
  <c r="N20" i="61"/>
  <c r="O91" i="61"/>
  <c r="O21" i="61" s="1"/>
  <c r="O97" i="61"/>
  <c r="O27" i="61" s="1"/>
  <c r="L28" i="60"/>
  <c r="L63" i="60" s="1"/>
  <c r="M24" i="60"/>
  <c r="M59" i="60" s="1"/>
  <c r="L27" i="60"/>
  <c r="L62" i="60" s="1"/>
  <c r="P92" i="61"/>
  <c r="O90" i="61"/>
  <c r="F680" i="43"/>
  <c r="E680" i="43"/>
  <c r="D680" i="43"/>
  <c r="G680" i="43"/>
  <c r="C680" i="43"/>
  <c r="B30" i="60"/>
  <c r="B65" i="60" s="1"/>
  <c r="B31" i="60"/>
  <c r="B66" i="60" s="1"/>
  <c r="B29" i="60"/>
  <c r="B64" i="60" s="1"/>
  <c r="A9" i="43"/>
  <c r="A8" i="43"/>
  <c r="M66" i="58" l="1"/>
  <c r="AQ24" i="59"/>
  <c r="AQ38" i="59" s="1"/>
  <c r="K121" i="61"/>
  <c r="M68" i="58"/>
  <c r="H67" i="58"/>
  <c r="O20" i="61"/>
  <c r="P22" i="61"/>
  <c r="P97" i="61"/>
  <c r="P27" i="61" s="1"/>
  <c r="P91" i="61"/>
  <c r="P21" i="61" s="1"/>
  <c r="M27" i="60"/>
  <c r="M62" i="60" s="1"/>
  <c r="N24" i="60"/>
  <c r="N59" i="60" s="1"/>
  <c r="M28" i="60"/>
  <c r="M63" i="60" s="1"/>
  <c r="P90" i="61"/>
  <c r="Q92" i="61"/>
  <c r="B618" i="43"/>
  <c r="B631" i="43" s="1"/>
  <c r="H548" i="43"/>
  <c r="E579" i="43" s="1"/>
  <c r="C548" i="43"/>
  <c r="D548" i="43"/>
  <c r="E548" i="43"/>
  <c r="F548" i="43"/>
  <c r="G548" i="43"/>
  <c r="I548" i="43"/>
  <c r="J548" i="43"/>
  <c r="K548" i="43"/>
  <c r="L548" i="43"/>
  <c r="C549" i="43"/>
  <c r="D549" i="43"/>
  <c r="E549" i="43"/>
  <c r="F549" i="43"/>
  <c r="G549" i="43"/>
  <c r="H549" i="43"/>
  <c r="I549" i="43"/>
  <c r="J549" i="43"/>
  <c r="K549" i="43"/>
  <c r="L549" i="43"/>
  <c r="C550" i="43"/>
  <c r="D550" i="43"/>
  <c r="E550" i="43"/>
  <c r="F550" i="43"/>
  <c r="G550" i="43"/>
  <c r="H550" i="43"/>
  <c r="I550" i="43"/>
  <c r="J550" i="43"/>
  <c r="K550" i="43"/>
  <c r="L550" i="43"/>
  <c r="C551" i="43"/>
  <c r="D551" i="43"/>
  <c r="E551" i="43"/>
  <c r="F551" i="43"/>
  <c r="G551" i="43"/>
  <c r="H551" i="43"/>
  <c r="I551" i="43"/>
  <c r="J551" i="43"/>
  <c r="K551" i="43"/>
  <c r="L551" i="43"/>
  <c r="C552" i="43"/>
  <c r="D552" i="43"/>
  <c r="E552" i="43"/>
  <c r="F552" i="43"/>
  <c r="G552" i="43"/>
  <c r="H552" i="43"/>
  <c r="I552" i="43"/>
  <c r="J552" i="43"/>
  <c r="K552" i="43"/>
  <c r="L552" i="43"/>
  <c r="C553" i="43"/>
  <c r="D553" i="43"/>
  <c r="E553" i="43"/>
  <c r="F553" i="43"/>
  <c r="G553" i="43"/>
  <c r="H553" i="43"/>
  <c r="I553" i="43"/>
  <c r="J553" i="43"/>
  <c r="K553" i="43"/>
  <c r="L553" i="43"/>
  <c r="C554" i="43"/>
  <c r="D554" i="43"/>
  <c r="E554" i="43"/>
  <c r="F554" i="43"/>
  <c r="G554" i="43"/>
  <c r="H554" i="43"/>
  <c r="I554" i="43"/>
  <c r="J554" i="43"/>
  <c r="K554" i="43"/>
  <c r="L554" i="43"/>
  <c r="C555" i="43"/>
  <c r="D555" i="43"/>
  <c r="E555" i="43"/>
  <c r="F555" i="43"/>
  <c r="G555" i="43"/>
  <c r="H555" i="43"/>
  <c r="I555" i="43"/>
  <c r="J555" i="43"/>
  <c r="K555" i="43"/>
  <c r="L555" i="43"/>
  <c r="C556" i="43"/>
  <c r="D556" i="43"/>
  <c r="E556" i="43"/>
  <c r="F556" i="43"/>
  <c r="G556" i="43"/>
  <c r="H556" i="43"/>
  <c r="I556" i="43"/>
  <c r="J556" i="43"/>
  <c r="K556" i="43"/>
  <c r="L556" i="43"/>
  <c r="C557" i="43"/>
  <c r="D557" i="43"/>
  <c r="E557" i="43"/>
  <c r="F557" i="43"/>
  <c r="G557" i="43"/>
  <c r="H557" i="43"/>
  <c r="I557" i="43"/>
  <c r="J557" i="43"/>
  <c r="K557" i="43"/>
  <c r="L557" i="43"/>
  <c r="C558" i="43"/>
  <c r="D558" i="43"/>
  <c r="E558" i="43"/>
  <c r="F558" i="43"/>
  <c r="G558" i="43"/>
  <c r="H558" i="43"/>
  <c r="I558" i="43"/>
  <c r="J558" i="43"/>
  <c r="K558" i="43"/>
  <c r="L558" i="43"/>
  <c r="B549" i="43"/>
  <c r="B550" i="43"/>
  <c r="B551" i="43"/>
  <c r="B552" i="43"/>
  <c r="B553" i="43"/>
  <c r="B554" i="43"/>
  <c r="B555" i="43"/>
  <c r="B556" i="43"/>
  <c r="B557" i="43"/>
  <c r="B558" i="43"/>
  <c r="B548" i="43"/>
  <c r="E578" i="43"/>
  <c r="D578" i="43"/>
  <c r="F578" i="43"/>
  <c r="G578" i="43"/>
  <c r="H578" i="43"/>
  <c r="I578" i="43"/>
  <c r="J578" i="43"/>
  <c r="K578" i="43"/>
  <c r="L578" i="43"/>
  <c r="M578" i="43"/>
  <c r="N578" i="43"/>
  <c r="O578" i="43"/>
  <c r="P578" i="43"/>
  <c r="Q578" i="43"/>
  <c r="R578" i="43"/>
  <c r="S578" i="43"/>
  <c r="T578" i="43"/>
  <c r="U578" i="43"/>
  <c r="V578" i="43"/>
  <c r="W578" i="43"/>
  <c r="X578" i="43"/>
  <c r="Y578" i="43"/>
  <c r="Z578" i="43"/>
  <c r="AA578" i="43"/>
  <c r="AB578" i="43"/>
  <c r="AC578" i="43"/>
  <c r="E477" i="43"/>
  <c r="E476" i="43"/>
  <c r="B73" i="58"/>
  <c r="B31" i="58" s="1"/>
  <c r="B74" i="58"/>
  <c r="B32" i="58" s="1"/>
  <c r="B70" i="58"/>
  <c r="B28" i="58" s="1"/>
  <c r="F74" i="58"/>
  <c r="F32" i="58" s="1"/>
  <c r="G74" i="58" l="1"/>
  <c r="G32" i="58" s="1"/>
  <c r="BO8" i="59"/>
  <c r="BO22" i="59" s="1"/>
  <c r="AR24" i="59"/>
  <c r="AR38" i="59" s="1"/>
  <c r="N66" i="58"/>
  <c r="L121" i="61"/>
  <c r="AM25" i="59"/>
  <c r="G122" i="61"/>
  <c r="I67" i="58"/>
  <c r="N68" i="58"/>
  <c r="P20" i="61"/>
  <c r="Q22" i="61"/>
  <c r="Q91" i="61"/>
  <c r="Q21" i="61" s="1"/>
  <c r="Q97" i="61"/>
  <c r="Q27" i="61" s="1"/>
  <c r="O24" i="60"/>
  <c r="O59" i="60" s="1"/>
  <c r="N28" i="60"/>
  <c r="N63" i="60" s="1"/>
  <c r="N27" i="60"/>
  <c r="N62" i="60" s="1"/>
  <c r="R92" i="61"/>
  <c r="Q90" i="61"/>
  <c r="Y579" i="43"/>
  <c r="W579" i="43"/>
  <c r="O579" i="43"/>
  <c r="T579" i="43"/>
  <c r="AC579" i="43"/>
  <c r="V579" i="43"/>
  <c r="J579" i="43"/>
  <c r="M579" i="43"/>
  <c r="G579" i="43"/>
  <c r="AB579" i="43"/>
  <c r="F579" i="43"/>
  <c r="Z579" i="43"/>
  <c r="Q579" i="43"/>
  <c r="H579" i="43"/>
  <c r="X579" i="43"/>
  <c r="I579" i="43"/>
  <c r="R579" i="43"/>
  <c r="K579" i="43"/>
  <c r="S579" i="43"/>
  <c r="AA579" i="43"/>
  <c r="P579" i="43"/>
  <c r="L579" i="43"/>
  <c r="D579" i="43"/>
  <c r="U579" i="43"/>
  <c r="N579" i="43"/>
  <c r="B27" i="60"/>
  <c r="B62" i="60" s="1"/>
  <c r="B28" i="60"/>
  <c r="B63" i="60" s="1"/>
  <c r="B24" i="60"/>
  <c r="B59" i="60" s="1"/>
  <c r="AS24" i="59" l="1"/>
  <c r="AS38" i="59" s="1"/>
  <c r="O66" i="58"/>
  <c r="M121" i="61"/>
  <c r="H74" i="58"/>
  <c r="H32" i="58" s="1"/>
  <c r="AN25" i="59"/>
  <c r="H122" i="61"/>
  <c r="J67" i="58"/>
  <c r="O68" i="58"/>
  <c r="R22" i="61"/>
  <c r="Q20" i="61"/>
  <c r="R97" i="61"/>
  <c r="R27" i="61" s="1"/>
  <c r="R91" i="61"/>
  <c r="R21" i="61" s="1"/>
  <c r="O27" i="60"/>
  <c r="O62" i="60" s="1"/>
  <c r="O28" i="60"/>
  <c r="O63" i="60" s="1"/>
  <c r="P24" i="60"/>
  <c r="P59" i="60" s="1"/>
  <c r="R90" i="61"/>
  <c r="S92" i="61"/>
  <c r="H302" i="59"/>
  <c r="H305" i="59"/>
  <c r="H304" i="59"/>
  <c r="H303" i="59"/>
  <c r="F316" i="59"/>
  <c r="E316" i="59"/>
  <c r="D316" i="59"/>
  <c r="C316" i="59"/>
  <c r="I74" i="58" l="1"/>
  <c r="I32" i="58" s="1"/>
  <c r="BQ8" i="59"/>
  <c r="BQ22" i="59" s="1"/>
  <c r="N121" i="61"/>
  <c r="AT24" i="59"/>
  <c r="AT38" i="59" s="1"/>
  <c r="P66" i="58"/>
  <c r="G316" i="59"/>
  <c r="P68" i="58"/>
  <c r="AO25" i="59"/>
  <c r="I122" i="61"/>
  <c r="K67" i="58"/>
  <c r="S22" i="61"/>
  <c r="R20" i="61"/>
  <c r="S91" i="61"/>
  <c r="S21" i="61" s="1"/>
  <c r="S97" i="61"/>
  <c r="S27" i="61" s="1"/>
  <c r="Q24" i="60"/>
  <c r="Q59" i="60" s="1"/>
  <c r="P28" i="60"/>
  <c r="P63" i="60" s="1"/>
  <c r="P27" i="60"/>
  <c r="P62" i="60" s="1"/>
  <c r="B125" i="61"/>
  <c r="T92" i="61"/>
  <c r="B97" i="61"/>
  <c r="B126" i="61"/>
  <c r="B93" i="61"/>
  <c r="B124" i="61"/>
  <c r="S90" i="61"/>
  <c r="E200" i="59"/>
  <c r="E201" i="59"/>
  <c r="C32" i="59"/>
  <c r="C133" i="59" s="1"/>
  <c r="C134" i="59" s="1"/>
  <c r="C85" i="59" l="1"/>
  <c r="BM51" i="59"/>
  <c r="AU24" i="59"/>
  <c r="AU38" i="59" s="1"/>
  <c r="Q66" i="58"/>
  <c r="O121" i="61"/>
  <c r="J74" i="58"/>
  <c r="J32" i="58" s="1"/>
  <c r="BR8" i="59"/>
  <c r="BR22" i="59" s="1"/>
  <c r="BM8" i="59"/>
  <c r="BM15" i="59" s="1"/>
  <c r="AP25" i="59"/>
  <c r="L67" i="58"/>
  <c r="J122" i="61"/>
  <c r="Q68" i="58"/>
  <c r="S20" i="61"/>
  <c r="T22" i="61"/>
  <c r="T97" i="61"/>
  <c r="T27" i="61" s="1"/>
  <c r="T91" i="61"/>
  <c r="T21" i="61" s="1"/>
  <c r="Q28" i="60"/>
  <c r="Q63" i="60" s="1"/>
  <c r="Q27" i="60"/>
  <c r="Q62" i="60" s="1"/>
  <c r="R24" i="60"/>
  <c r="R59" i="60" s="1"/>
  <c r="T90" i="61"/>
  <c r="U92" i="61"/>
  <c r="G317" i="59"/>
  <c r="E206" i="59"/>
  <c r="C317" i="59"/>
  <c r="F317" i="59"/>
  <c r="D317" i="59"/>
  <c r="E317" i="59"/>
  <c r="F31" i="59"/>
  <c r="C31" i="59"/>
  <c r="C131" i="59" s="1"/>
  <c r="C132" i="59" s="1"/>
  <c r="C28" i="59"/>
  <c r="F202" i="59"/>
  <c r="H28" i="59" s="1"/>
  <c r="G202" i="59"/>
  <c r="I28" i="59" s="1"/>
  <c r="H202" i="59"/>
  <c r="J28" i="59" s="1"/>
  <c r="I202" i="59"/>
  <c r="K28" i="59" s="1"/>
  <c r="J202" i="59"/>
  <c r="L28" i="59" s="1"/>
  <c r="K202" i="59"/>
  <c r="M28" i="59" s="1"/>
  <c r="L202" i="59"/>
  <c r="N28" i="59" s="1"/>
  <c r="M202" i="59"/>
  <c r="O28" i="59" s="1"/>
  <c r="N202" i="59"/>
  <c r="P28" i="59" s="1"/>
  <c r="O202" i="59"/>
  <c r="Q28" i="59" s="1"/>
  <c r="P202" i="59"/>
  <c r="R28" i="59" s="1"/>
  <c r="Q202" i="59"/>
  <c r="S28" i="59" s="1"/>
  <c r="R202" i="59"/>
  <c r="T28" i="59" s="1"/>
  <c r="S202" i="59"/>
  <c r="U28" i="59" s="1"/>
  <c r="T202" i="59"/>
  <c r="V28" i="59" s="1"/>
  <c r="U202" i="59"/>
  <c r="W28" i="59" s="1"/>
  <c r="V202" i="59"/>
  <c r="X28" i="59" s="1"/>
  <c r="W202" i="59"/>
  <c r="Y28" i="59" s="1"/>
  <c r="X202" i="59"/>
  <c r="Z28" i="59" s="1"/>
  <c r="Y202" i="59"/>
  <c r="AA28" i="59" s="1"/>
  <c r="Z202" i="59"/>
  <c r="AB28" i="59" s="1"/>
  <c r="AA202" i="59"/>
  <c r="AC28" i="59" s="1"/>
  <c r="AB202" i="59"/>
  <c r="AD28" i="59" s="1"/>
  <c r="AC202" i="59"/>
  <c r="AE28" i="59" s="1"/>
  <c r="AD202" i="59"/>
  <c r="AF28" i="59" s="1"/>
  <c r="AE202" i="59"/>
  <c r="AG28" i="59" s="1"/>
  <c r="C360" i="43"/>
  <c r="C361" i="43"/>
  <c r="C359" i="43"/>
  <c r="D476" i="43"/>
  <c r="F476" i="43"/>
  <c r="G476" i="43"/>
  <c r="H476" i="43"/>
  <c r="I476" i="43"/>
  <c r="J476" i="43"/>
  <c r="K476" i="43"/>
  <c r="L476" i="43"/>
  <c r="M476" i="43"/>
  <c r="N476" i="43"/>
  <c r="O476" i="43"/>
  <c r="P476" i="43"/>
  <c r="Q476" i="43"/>
  <c r="R476" i="43"/>
  <c r="S476" i="43"/>
  <c r="T476" i="43"/>
  <c r="U476" i="43"/>
  <c r="V476" i="43"/>
  <c r="W476" i="43"/>
  <c r="X476" i="43"/>
  <c r="Y476" i="43"/>
  <c r="Z476" i="43"/>
  <c r="AA476" i="43"/>
  <c r="AB476" i="43"/>
  <c r="AC476" i="43"/>
  <c r="AC374" i="43"/>
  <c r="AB374" i="43"/>
  <c r="AA374" i="43"/>
  <c r="Z374" i="43"/>
  <c r="Y374" i="43"/>
  <c r="X374" i="43"/>
  <c r="W374" i="43"/>
  <c r="V374" i="43"/>
  <c r="U374" i="43"/>
  <c r="T374" i="43"/>
  <c r="S374" i="43"/>
  <c r="R374" i="43"/>
  <c r="Q374" i="43"/>
  <c r="P374" i="43"/>
  <c r="O374" i="43"/>
  <c r="N374" i="43"/>
  <c r="M374" i="43"/>
  <c r="L374" i="43"/>
  <c r="K374" i="43"/>
  <c r="J374" i="43"/>
  <c r="I374" i="43"/>
  <c r="H374" i="43"/>
  <c r="G374" i="43"/>
  <c r="F374" i="43"/>
  <c r="E374" i="43"/>
  <c r="D374" i="43"/>
  <c r="D387" i="43"/>
  <c r="E387" i="43"/>
  <c r="F387" i="43"/>
  <c r="G387" i="43"/>
  <c r="H387" i="43"/>
  <c r="I387" i="43"/>
  <c r="J387" i="43"/>
  <c r="K387" i="43"/>
  <c r="L387" i="43"/>
  <c r="M387" i="43"/>
  <c r="N387" i="43"/>
  <c r="O387" i="43"/>
  <c r="P387" i="43"/>
  <c r="Q387" i="43"/>
  <c r="R387" i="43"/>
  <c r="S387" i="43"/>
  <c r="T387" i="43"/>
  <c r="U387" i="43"/>
  <c r="V387" i="43"/>
  <c r="W387" i="43"/>
  <c r="X387" i="43"/>
  <c r="Y387" i="43"/>
  <c r="Z387" i="43"/>
  <c r="AA387" i="43"/>
  <c r="AB387" i="43"/>
  <c r="AC387" i="43"/>
  <c r="C387" i="43"/>
  <c r="BM47" i="59" l="1"/>
  <c r="C125" i="59"/>
  <c r="C126" i="59" s="1"/>
  <c r="CI30" i="59"/>
  <c r="X18" i="43"/>
  <c r="X599" i="43" s="1"/>
  <c r="CF30" i="59"/>
  <c r="U18" i="43"/>
  <c r="U599" i="43" s="1"/>
  <c r="BP30" i="59"/>
  <c r="E18" i="43"/>
  <c r="E599" i="43" s="1"/>
  <c r="BV30" i="59"/>
  <c r="K18" i="43"/>
  <c r="K599" i="43" s="1"/>
  <c r="C84" i="59"/>
  <c r="BM50" i="59"/>
  <c r="K74" i="58"/>
  <c r="K32" i="58" s="1"/>
  <c r="BS8" i="59"/>
  <c r="BS22" i="59" s="1"/>
  <c r="AV24" i="59"/>
  <c r="AV38" i="59" s="1"/>
  <c r="P121" i="61"/>
  <c r="R66" i="58"/>
  <c r="E203" i="59"/>
  <c r="G28" i="59"/>
  <c r="BN47" i="59" s="1"/>
  <c r="D477" i="43"/>
  <c r="C81" i="59"/>
  <c r="BM6" i="59"/>
  <c r="BM13" i="59" s="1"/>
  <c r="BM7" i="59"/>
  <c r="BM14" i="59" s="1"/>
  <c r="R68" i="58"/>
  <c r="AQ25" i="59"/>
  <c r="M67" i="58"/>
  <c r="K122" i="61"/>
  <c r="T20" i="61"/>
  <c r="U22" i="61"/>
  <c r="U91" i="61"/>
  <c r="U21" i="61" s="1"/>
  <c r="U97" i="61"/>
  <c r="U27" i="61" s="1"/>
  <c r="G32" i="59"/>
  <c r="Z206" i="59"/>
  <c r="AB32" i="59" s="1"/>
  <c r="W206" i="59"/>
  <c r="Y32" i="59" s="1"/>
  <c r="M206" i="59"/>
  <c r="O32" i="59" s="1"/>
  <c r="G206" i="59"/>
  <c r="I32" i="59" s="1"/>
  <c r="BP8" i="59" s="1"/>
  <c r="R27" i="60"/>
  <c r="R62" i="60" s="1"/>
  <c r="S24" i="60"/>
  <c r="S59" i="60" s="1"/>
  <c r="R28" i="60"/>
  <c r="R63" i="60" s="1"/>
  <c r="V92" i="61"/>
  <c r="U90" i="61"/>
  <c r="F481" i="43"/>
  <c r="H481" i="43"/>
  <c r="P481" i="43"/>
  <c r="X481" i="43"/>
  <c r="J481" i="43"/>
  <c r="R481" i="43"/>
  <c r="L481" i="43"/>
  <c r="T481" i="43"/>
  <c r="AB481" i="43"/>
  <c r="T477" i="43"/>
  <c r="L477" i="43"/>
  <c r="AC477" i="43"/>
  <c r="Z477" i="43"/>
  <c r="R477" i="43"/>
  <c r="J477" i="43"/>
  <c r="S477" i="43"/>
  <c r="Z481" i="43"/>
  <c r="Y477" i="43"/>
  <c r="Q477" i="43"/>
  <c r="I477" i="43"/>
  <c r="AA477" i="43"/>
  <c r="K477" i="43"/>
  <c r="X477" i="43"/>
  <c r="P477" i="43"/>
  <c r="H477" i="43"/>
  <c r="M477" i="43"/>
  <c r="O477" i="43"/>
  <c r="U477" i="43"/>
  <c r="AB477" i="43"/>
  <c r="W477" i="43"/>
  <c r="V477" i="43"/>
  <c r="F477" i="43"/>
  <c r="E202" i="59"/>
  <c r="Y481" i="43"/>
  <c r="W481" i="43"/>
  <c r="O481" i="43"/>
  <c r="G481" i="43"/>
  <c r="D481" i="43"/>
  <c r="V481" i="43"/>
  <c r="N481" i="43"/>
  <c r="M481" i="43"/>
  <c r="AC481" i="43"/>
  <c r="U481" i="43"/>
  <c r="E481" i="43"/>
  <c r="AA481" i="43"/>
  <c r="S481" i="43"/>
  <c r="K481" i="43"/>
  <c r="Q481" i="43"/>
  <c r="I481" i="43"/>
  <c r="N477" i="43"/>
  <c r="G477" i="43"/>
  <c r="F49" i="59"/>
  <c r="E50" i="59"/>
  <c r="E49" i="59"/>
  <c r="E185" i="59"/>
  <c r="BP22" i="59" l="1"/>
  <c r="BN8" i="59"/>
  <c r="BN22" i="59" s="1"/>
  <c r="BN51" i="59"/>
  <c r="Q121" i="61"/>
  <c r="S66" i="58"/>
  <c r="AW24" i="59"/>
  <c r="AW38" i="59" s="1"/>
  <c r="L74" i="58"/>
  <c r="L32" i="58" s="1"/>
  <c r="BT8" i="59"/>
  <c r="BT22" i="59" s="1"/>
  <c r="AR25" i="59"/>
  <c r="N67" i="58"/>
  <c r="L122" i="61"/>
  <c r="S68" i="58"/>
  <c r="V22" i="61"/>
  <c r="U20" i="61"/>
  <c r="V97" i="61"/>
  <c r="V27" i="61" s="1"/>
  <c r="V91" i="61"/>
  <c r="V21" i="61" s="1"/>
  <c r="S28" i="60"/>
  <c r="S63" i="60" s="1"/>
  <c r="T24" i="60"/>
  <c r="T59" i="60" s="1"/>
  <c r="S27" i="60"/>
  <c r="S62" i="60" s="1"/>
  <c r="V90" i="61"/>
  <c r="W92" i="61"/>
  <c r="C579" i="43"/>
  <c r="C481" i="43"/>
  <c r="C477" i="43"/>
  <c r="J188" i="59"/>
  <c r="L10" i="59" s="1"/>
  <c r="M74" i="58" l="1"/>
  <c r="M32" i="58" s="1"/>
  <c r="BU8" i="59"/>
  <c r="BU22" i="59" s="1"/>
  <c r="R121" i="61"/>
  <c r="AX24" i="59"/>
  <c r="AX38" i="59" s="1"/>
  <c r="T66" i="58"/>
  <c r="AS25" i="59"/>
  <c r="O67" i="58"/>
  <c r="M122" i="61"/>
  <c r="T68" i="58"/>
  <c r="V20" i="61"/>
  <c r="W22" i="61"/>
  <c r="W91" i="61"/>
  <c r="W21" i="61" s="1"/>
  <c r="W97" i="61"/>
  <c r="W27" i="61" s="1"/>
  <c r="U24" i="60"/>
  <c r="U59" i="60" s="1"/>
  <c r="T27" i="60"/>
  <c r="T62" i="60" s="1"/>
  <c r="T28" i="60"/>
  <c r="T63" i="60" s="1"/>
  <c r="X92" i="61"/>
  <c r="W90" i="61"/>
  <c r="AD610" i="60"/>
  <c r="AD620" i="60" s="1"/>
  <c r="AC610" i="60"/>
  <c r="AD197" i="59" s="1"/>
  <c r="AF20" i="59" s="1"/>
  <c r="AB610" i="60"/>
  <c r="AB622" i="60" s="1"/>
  <c r="AA610" i="60"/>
  <c r="AA622" i="60" s="1"/>
  <c r="Z610" i="60"/>
  <c r="Z619" i="60" s="1"/>
  <c r="Y610" i="60"/>
  <c r="Z197" i="59" s="1"/>
  <c r="AB20" i="59" s="1"/>
  <c r="X610" i="60"/>
  <c r="Y197" i="59" s="1"/>
  <c r="AA20" i="59" s="1"/>
  <c r="W610" i="60"/>
  <c r="X197" i="59" s="1"/>
  <c r="Z20" i="59" s="1"/>
  <c r="V610" i="60"/>
  <c r="V620" i="60" s="1"/>
  <c r="U610" i="60"/>
  <c r="U621" i="60" s="1"/>
  <c r="T610" i="60"/>
  <c r="U197" i="59" s="1"/>
  <c r="W20" i="59" s="1"/>
  <c r="S610" i="60"/>
  <c r="S618" i="60" s="1"/>
  <c r="R610" i="60"/>
  <c r="R619" i="60" s="1"/>
  <c r="Q610" i="60"/>
  <c r="R197" i="59" s="1"/>
  <c r="T20" i="59" s="1"/>
  <c r="P610" i="60"/>
  <c r="Q197" i="59" s="1"/>
  <c r="S20" i="59" s="1"/>
  <c r="O610" i="60"/>
  <c r="P197" i="59" s="1"/>
  <c r="R20" i="59" s="1"/>
  <c r="N610" i="60"/>
  <c r="O197" i="59" s="1"/>
  <c r="Q20" i="59" s="1"/>
  <c r="M610" i="60"/>
  <c r="N197" i="59" s="1"/>
  <c r="P20" i="59" s="1"/>
  <c r="L610" i="60"/>
  <c r="M197" i="59" s="1"/>
  <c r="O20" i="59" s="1"/>
  <c r="K610" i="60"/>
  <c r="K622" i="60" s="1"/>
  <c r="J610" i="60"/>
  <c r="J623" i="60" s="1"/>
  <c r="I610" i="60"/>
  <c r="J197" i="59" s="1"/>
  <c r="L20" i="59" s="1"/>
  <c r="H610" i="60"/>
  <c r="H618" i="60" s="1"/>
  <c r="G610" i="60"/>
  <c r="H197" i="59" s="1"/>
  <c r="J20" i="59" s="1"/>
  <c r="F610" i="60"/>
  <c r="G197" i="59" s="1"/>
  <c r="I20" i="59" s="1"/>
  <c r="E610" i="60"/>
  <c r="F197" i="59" s="1"/>
  <c r="H20" i="59" s="1"/>
  <c r="D609" i="60"/>
  <c r="D608" i="60"/>
  <c r="D607" i="60"/>
  <c r="D606" i="60"/>
  <c r="D605" i="60"/>
  <c r="D604" i="60"/>
  <c r="D603" i="60"/>
  <c r="AD562" i="60"/>
  <c r="AE196" i="59" s="1"/>
  <c r="AG19" i="59" s="1"/>
  <c r="AC562" i="60"/>
  <c r="AD196" i="59" s="1"/>
  <c r="AF19" i="59" s="1"/>
  <c r="AB562" i="60"/>
  <c r="AC196" i="59" s="1"/>
  <c r="AE19" i="59" s="1"/>
  <c r="AA562" i="60"/>
  <c r="Z562" i="60"/>
  <c r="Z574" i="60" s="1"/>
  <c r="Y562" i="60"/>
  <c r="Z196" i="59" s="1"/>
  <c r="AB19" i="59" s="1"/>
  <c r="X562" i="60"/>
  <c r="Y196" i="59" s="1"/>
  <c r="AA19" i="59" s="1"/>
  <c r="W562" i="60"/>
  <c r="X196" i="59" s="1"/>
  <c r="Z19" i="59" s="1"/>
  <c r="V562" i="60"/>
  <c r="W196" i="59" s="1"/>
  <c r="Y19" i="59" s="1"/>
  <c r="U562" i="60"/>
  <c r="V196" i="59" s="1"/>
  <c r="X19" i="59" s="1"/>
  <c r="T562" i="60"/>
  <c r="U196" i="59" s="1"/>
  <c r="W19" i="59" s="1"/>
  <c r="S562" i="60"/>
  <c r="S574" i="60" s="1"/>
  <c r="R562" i="60"/>
  <c r="Q562" i="60"/>
  <c r="R196" i="59" s="1"/>
  <c r="T19" i="59" s="1"/>
  <c r="P562" i="60"/>
  <c r="Q196" i="59" s="1"/>
  <c r="S19" i="59" s="1"/>
  <c r="O562" i="60"/>
  <c r="P196" i="59" s="1"/>
  <c r="R19" i="59" s="1"/>
  <c r="N562" i="60"/>
  <c r="O196" i="59" s="1"/>
  <c r="Q19" i="59" s="1"/>
  <c r="M562" i="60"/>
  <c r="N196" i="59" s="1"/>
  <c r="P19" i="59" s="1"/>
  <c r="L562" i="60"/>
  <c r="M196" i="59" s="1"/>
  <c r="O19" i="59" s="1"/>
  <c r="K562" i="60"/>
  <c r="K574" i="60" s="1"/>
  <c r="J562" i="60"/>
  <c r="I562" i="60"/>
  <c r="J196" i="59" s="1"/>
  <c r="L19" i="59" s="1"/>
  <c r="H562" i="60"/>
  <c r="I196" i="59" s="1"/>
  <c r="K19" i="59" s="1"/>
  <c r="G562" i="60"/>
  <c r="H196" i="59" s="1"/>
  <c r="J19" i="59" s="1"/>
  <c r="F562" i="60"/>
  <c r="G196" i="59" s="1"/>
  <c r="I19" i="59" s="1"/>
  <c r="E562" i="60"/>
  <c r="F196" i="59" s="1"/>
  <c r="H19" i="59" s="1"/>
  <c r="D561" i="60"/>
  <c r="D560" i="60"/>
  <c r="D559" i="60"/>
  <c r="D558" i="60"/>
  <c r="D557" i="60"/>
  <c r="D556" i="60"/>
  <c r="D555" i="60"/>
  <c r="AD514" i="60"/>
  <c r="AC514" i="60"/>
  <c r="AC525" i="60" s="1"/>
  <c r="AB514" i="60"/>
  <c r="AA514" i="60"/>
  <c r="Z514" i="60"/>
  <c r="Y514" i="60"/>
  <c r="Y521" i="60" s="1"/>
  <c r="X514" i="60"/>
  <c r="X522" i="60" s="1"/>
  <c r="W514" i="60"/>
  <c r="W523" i="60" s="1"/>
  <c r="V514" i="60"/>
  <c r="U514" i="60"/>
  <c r="U525" i="60" s="1"/>
  <c r="T514" i="60"/>
  <c r="S514" i="60"/>
  <c r="R514" i="60"/>
  <c r="Q514" i="60"/>
  <c r="P514" i="60"/>
  <c r="P522" i="60" s="1"/>
  <c r="O514" i="60"/>
  <c r="O523" i="60" s="1"/>
  <c r="N514" i="60"/>
  <c r="N524" i="60" s="1"/>
  <c r="M514" i="60"/>
  <c r="L514" i="60"/>
  <c r="K514" i="60"/>
  <c r="J514" i="60"/>
  <c r="I514" i="60"/>
  <c r="I521" i="60" s="1"/>
  <c r="H514" i="60"/>
  <c r="H522" i="60" s="1"/>
  <c r="G514" i="60"/>
  <c r="G523" i="60" s="1"/>
  <c r="F514" i="60"/>
  <c r="E514" i="60"/>
  <c r="E521" i="60" s="1"/>
  <c r="D513" i="60"/>
  <c r="D512" i="60"/>
  <c r="D511" i="60"/>
  <c r="D510" i="60"/>
  <c r="D509" i="60"/>
  <c r="D508" i="60"/>
  <c r="D507" i="60"/>
  <c r="Q466" i="60"/>
  <c r="I466" i="60"/>
  <c r="I477" i="60" s="1"/>
  <c r="Y466" i="60"/>
  <c r="AD466" i="60"/>
  <c r="AC466" i="60"/>
  <c r="AD194" i="59" s="1"/>
  <c r="AF16" i="59" s="1"/>
  <c r="AB466" i="60"/>
  <c r="AA466" i="60"/>
  <c r="Z466" i="60"/>
  <c r="Z476" i="60" s="1"/>
  <c r="X466" i="60"/>
  <c r="X478" i="60" s="1"/>
  <c r="V466" i="60"/>
  <c r="U466" i="60"/>
  <c r="T466" i="60"/>
  <c r="S466" i="60"/>
  <c r="S475" i="60" s="1"/>
  <c r="R466" i="60"/>
  <c r="R476" i="60" s="1"/>
  <c r="P466" i="60"/>
  <c r="O466" i="60"/>
  <c r="N466" i="60"/>
  <c r="M466" i="60"/>
  <c r="L466" i="60"/>
  <c r="L474" i="60" s="1"/>
  <c r="K466" i="60"/>
  <c r="J466" i="60"/>
  <c r="J476" i="60" s="1"/>
  <c r="H466" i="60"/>
  <c r="I194" i="59" s="1"/>
  <c r="K16" i="59" s="1"/>
  <c r="F466" i="60"/>
  <c r="E466" i="60"/>
  <c r="D465" i="60"/>
  <c r="D464" i="60"/>
  <c r="D463" i="60"/>
  <c r="D462" i="60"/>
  <c r="D461" i="60"/>
  <c r="D460" i="60"/>
  <c r="D459" i="60"/>
  <c r="AD418" i="60"/>
  <c r="AD430" i="60" s="1"/>
  <c r="AC418" i="60"/>
  <c r="AB418" i="60"/>
  <c r="AB427" i="60" s="1"/>
  <c r="AA418" i="60"/>
  <c r="AA429" i="60" s="1"/>
  <c r="Z418" i="60"/>
  <c r="Z428" i="60" s="1"/>
  <c r="Y418" i="60"/>
  <c r="Y428" i="60" s="1"/>
  <c r="X418" i="60"/>
  <c r="X431" i="60" s="1"/>
  <c r="V418" i="60"/>
  <c r="V426" i="60" s="1"/>
  <c r="U418" i="60"/>
  <c r="U431" i="60" s="1"/>
  <c r="T418" i="60"/>
  <c r="T431" i="60" s="1"/>
  <c r="S418" i="60"/>
  <c r="S425" i="60" s="1"/>
  <c r="R418" i="60"/>
  <c r="R428" i="60" s="1"/>
  <c r="Q418" i="60"/>
  <c r="Q428" i="60" s="1"/>
  <c r="P418" i="60"/>
  <c r="P425" i="60" s="1"/>
  <c r="N418" i="60"/>
  <c r="N426" i="60" s="1"/>
  <c r="M418" i="60"/>
  <c r="M428" i="60" s="1"/>
  <c r="L418" i="60"/>
  <c r="K418" i="60"/>
  <c r="K425" i="60" s="1"/>
  <c r="J418" i="60"/>
  <c r="J431" i="60" s="1"/>
  <c r="I418" i="60"/>
  <c r="I430" i="60" s="1"/>
  <c r="H418" i="60"/>
  <c r="H430" i="60" s="1"/>
  <c r="F418" i="60"/>
  <c r="F426" i="60" s="1"/>
  <c r="E418" i="60"/>
  <c r="E431" i="60" s="1"/>
  <c r="D417" i="60"/>
  <c r="D416" i="60"/>
  <c r="D415" i="60"/>
  <c r="D414" i="60"/>
  <c r="D413" i="60"/>
  <c r="D412" i="60"/>
  <c r="D411" i="60"/>
  <c r="B13" i="60"/>
  <c r="B48" i="60" s="1"/>
  <c r="W370" i="60"/>
  <c r="X192" i="59" s="1"/>
  <c r="Z14" i="59" s="1"/>
  <c r="M370" i="60"/>
  <c r="N192" i="59" s="1"/>
  <c r="P14" i="59" s="1"/>
  <c r="E370" i="60"/>
  <c r="F192" i="59" s="1"/>
  <c r="H14" i="59" s="1"/>
  <c r="AD370" i="60"/>
  <c r="AE192" i="59" s="1"/>
  <c r="AG14" i="59" s="1"/>
  <c r="AC370" i="60"/>
  <c r="AD192" i="59" s="1"/>
  <c r="AF14" i="59" s="1"/>
  <c r="AB370" i="60"/>
  <c r="AA370" i="60"/>
  <c r="AB192" i="59" s="1"/>
  <c r="AD14" i="59" s="1"/>
  <c r="Z370" i="60"/>
  <c r="AA192" i="59" s="1"/>
  <c r="AC14" i="59" s="1"/>
  <c r="Y370" i="60"/>
  <c r="Z192" i="59" s="1"/>
  <c r="AB14" i="59" s="1"/>
  <c r="X370" i="60"/>
  <c r="Y192" i="59" s="1"/>
  <c r="AA14" i="59" s="1"/>
  <c r="V370" i="60"/>
  <c r="W192" i="59" s="1"/>
  <c r="Y14" i="59" s="1"/>
  <c r="U370" i="60"/>
  <c r="V192" i="59" s="1"/>
  <c r="X14" i="59" s="1"/>
  <c r="T370" i="60"/>
  <c r="U192" i="59" s="1"/>
  <c r="W14" i="59" s="1"/>
  <c r="S370" i="60"/>
  <c r="R370" i="60"/>
  <c r="S192" i="59" s="1"/>
  <c r="U14" i="59" s="1"/>
  <c r="Q370" i="60"/>
  <c r="R192" i="59" s="1"/>
  <c r="T14" i="59" s="1"/>
  <c r="P370" i="60"/>
  <c r="Q192" i="59" s="1"/>
  <c r="S14" i="59" s="1"/>
  <c r="N370" i="60"/>
  <c r="O192" i="59" s="1"/>
  <c r="Q14" i="59" s="1"/>
  <c r="L370" i="60"/>
  <c r="M192" i="59" s="1"/>
  <c r="O14" i="59" s="1"/>
  <c r="K370" i="60"/>
  <c r="L192" i="59" s="1"/>
  <c r="N14" i="59" s="1"/>
  <c r="J370" i="60"/>
  <c r="K192" i="59" s="1"/>
  <c r="M14" i="59" s="1"/>
  <c r="I370" i="60"/>
  <c r="H370" i="60"/>
  <c r="I192" i="59" s="1"/>
  <c r="K14" i="59" s="1"/>
  <c r="F370" i="60"/>
  <c r="G192" i="59" s="1"/>
  <c r="I14" i="59" s="1"/>
  <c r="D368" i="60"/>
  <c r="D367" i="60"/>
  <c r="D366" i="60"/>
  <c r="D365" i="60"/>
  <c r="D364" i="60"/>
  <c r="D363" i="60"/>
  <c r="I190" i="60"/>
  <c r="B58" i="58"/>
  <c r="B16" i="58" s="1"/>
  <c r="C13" i="59"/>
  <c r="D319" i="60"/>
  <c r="E322" i="60"/>
  <c r="E274" i="60"/>
  <c r="F190" i="59" s="1"/>
  <c r="H12" i="59" s="1"/>
  <c r="F322" i="60"/>
  <c r="G322" i="60"/>
  <c r="G330" i="60" s="1"/>
  <c r="H322" i="60"/>
  <c r="H329" i="60" s="1"/>
  <c r="I322" i="60"/>
  <c r="I335" i="60" s="1"/>
  <c r="J322" i="60"/>
  <c r="K322" i="60"/>
  <c r="K334" i="60" s="1"/>
  <c r="L322" i="60"/>
  <c r="L333" i="60" s="1"/>
  <c r="M322" i="60"/>
  <c r="N322" i="60"/>
  <c r="N335" i="60" s="1"/>
  <c r="O322" i="60"/>
  <c r="O329" i="60" s="1"/>
  <c r="P322" i="60"/>
  <c r="Q322" i="60"/>
  <c r="R322" i="60"/>
  <c r="S322" i="60"/>
  <c r="T322" i="60"/>
  <c r="T329" i="60" s="1"/>
  <c r="U322" i="60"/>
  <c r="V322" i="60"/>
  <c r="W322" i="60"/>
  <c r="W329" i="60" s="1"/>
  <c r="X322" i="60"/>
  <c r="Y322" i="60"/>
  <c r="Y332" i="60" s="1"/>
  <c r="Z322" i="60"/>
  <c r="AA322" i="60"/>
  <c r="AA333" i="60" s="1"/>
  <c r="AB322" i="60"/>
  <c r="AB333" i="60" s="1"/>
  <c r="AC322" i="60"/>
  <c r="AD322" i="60"/>
  <c r="D316" i="60"/>
  <c r="D317" i="60"/>
  <c r="D318" i="60"/>
  <c r="D320" i="60"/>
  <c r="D321" i="60"/>
  <c r="D315" i="60"/>
  <c r="W274" i="60"/>
  <c r="O274" i="60"/>
  <c r="O285" i="60" s="1"/>
  <c r="G274" i="60"/>
  <c r="G285" i="60" s="1"/>
  <c r="AD274" i="60"/>
  <c r="AD286" i="60" s="1"/>
  <c r="AC274" i="60"/>
  <c r="AD190" i="59" s="1"/>
  <c r="AF12" i="59" s="1"/>
  <c r="AB274" i="60"/>
  <c r="AA274" i="60"/>
  <c r="AA283" i="60" s="1"/>
  <c r="Z274" i="60"/>
  <c r="Y274" i="60"/>
  <c r="X274" i="60"/>
  <c r="V274" i="60"/>
  <c r="V286" i="60" s="1"/>
  <c r="U274" i="60"/>
  <c r="V190" i="59" s="1"/>
  <c r="X12" i="59" s="1"/>
  <c r="T274" i="60"/>
  <c r="T287" i="60" s="1"/>
  <c r="S274" i="60"/>
  <c r="R274" i="60"/>
  <c r="Q274" i="60"/>
  <c r="Q284" i="60" s="1"/>
  <c r="P274" i="60"/>
  <c r="N274" i="60"/>
  <c r="N286" i="60" s="1"/>
  <c r="M274" i="60"/>
  <c r="N190" i="59" s="1"/>
  <c r="P12" i="59" s="1"/>
  <c r="L274" i="60"/>
  <c r="L287" i="60" s="1"/>
  <c r="K274" i="60"/>
  <c r="K283" i="60" s="1"/>
  <c r="J274" i="60"/>
  <c r="I274" i="60"/>
  <c r="I284" i="60" s="1"/>
  <c r="H274" i="60"/>
  <c r="F274" i="60"/>
  <c r="F286" i="60" s="1"/>
  <c r="D273" i="60"/>
  <c r="D272" i="60"/>
  <c r="D271" i="60"/>
  <c r="D270" i="60"/>
  <c r="D269" i="60"/>
  <c r="D268" i="60"/>
  <c r="D267" i="60"/>
  <c r="E226" i="60"/>
  <c r="F226" i="60"/>
  <c r="G226" i="60"/>
  <c r="H226" i="60"/>
  <c r="I226" i="60"/>
  <c r="J226" i="60"/>
  <c r="K226" i="60"/>
  <c r="L226" i="60"/>
  <c r="M226" i="60"/>
  <c r="N226" i="60"/>
  <c r="O226" i="60"/>
  <c r="P226" i="60"/>
  <c r="Q226" i="60"/>
  <c r="R226" i="60"/>
  <c r="S226" i="60"/>
  <c r="T226" i="60"/>
  <c r="U226" i="60"/>
  <c r="V226" i="60"/>
  <c r="W226" i="60"/>
  <c r="X226" i="60"/>
  <c r="Y226" i="60"/>
  <c r="Z226" i="60"/>
  <c r="AA226" i="60"/>
  <c r="AB226" i="60"/>
  <c r="AC226" i="60"/>
  <c r="AD226" i="60"/>
  <c r="D220" i="60"/>
  <c r="D221" i="60"/>
  <c r="D222" i="60"/>
  <c r="D223" i="60"/>
  <c r="D224" i="60"/>
  <c r="D225" i="60"/>
  <c r="D219" i="60"/>
  <c r="E177" i="60"/>
  <c r="F177" i="60"/>
  <c r="G177" i="60"/>
  <c r="H177" i="60"/>
  <c r="I186" i="60"/>
  <c r="J177" i="60"/>
  <c r="K177" i="60"/>
  <c r="L177" i="60"/>
  <c r="M177" i="60"/>
  <c r="N177" i="60"/>
  <c r="O177" i="60"/>
  <c r="P177" i="60"/>
  <c r="Q177" i="60"/>
  <c r="R177" i="60"/>
  <c r="S177" i="60"/>
  <c r="T177" i="60"/>
  <c r="U177" i="60"/>
  <c r="V177" i="60"/>
  <c r="W177" i="60"/>
  <c r="X177" i="60"/>
  <c r="Y177" i="60"/>
  <c r="Z177" i="60"/>
  <c r="AA177" i="60"/>
  <c r="AB177" i="60"/>
  <c r="AC177" i="60"/>
  <c r="AD177" i="60"/>
  <c r="D171" i="60"/>
  <c r="D172" i="60"/>
  <c r="D173" i="60"/>
  <c r="D174" i="60"/>
  <c r="D175" i="60"/>
  <c r="D176" i="60"/>
  <c r="D170" i="60"/>
  <c r="AY24" i="59" l="1"/>
  <c r="AY38" i="59" s="1"/>
  <c r="U66" i="58"/>
  <c r="S121" i="61"/>
  <c r="N74" i="58"/>
  <c r="N32" i="58" s="1"/>
  <c r="BV8" i="59"/>
  <c r="BV22" i="59" s="1"/>
  <c r="C66" i="59"/>
  <c r="C109" i="59" s="1"/>
  <c r="C110" i="59" s="1"/>
  <c r="AI13" i="59"/>
  <c r="U68" i="58"/>
  <c r="AT25" i="59"/>
  <c r="P67" i="58"/>
  <c r="N122" i="61"/>
  <c r="X22" i="61"/>
  <c r="W20" i="61"/>
  <c r="X97" i="61"/>
  <c r="X27" i="61" s="1"/>
  <c r="X91" i="61"/>
  <c r="X21" i="61" s="1"/>
  <c r="U28" i="60"/>
  <c r="U63" i="60" s="1"/>
  <c r="U27" i="60"/>
  <c r="U62" i="60" s="1"/>
  <c r="V24" i="60"/>
  <c r="V59" i="60" s="1"/>
  <c r="B113" i="61"/>
  <c r="B82" i="61"/>
  <c r="X90" i="61"/>
  <c r="Y92" i="61"/>
  <c r="V574" i="60"/>
  <c r="T573" i="60"/>
  <c r="AD573" i="60"/>
  <c r="P383" i="60"/>
  <c r="L382" i="60"/>
  <c r="AD572" i="60"/>
  <c r="X379" i="60"/>
  <c r="E427" i="60"/>
  <c r="AC473" i="60"/>
  <c r="Z429" i="60"/>
  <c r="O334" i="60"/>
  <c r="X383" i="60"/>
  <c r="U429" i="60"/>
  <c r="X380" i="60"/>
  <c r="P379" i="60"/>
  <c r="W620" i="60"/>
  <c r="Y377" i="60"/>
  <c r="N431" i="60"/>
  <c r="Q575" i="60"/>
  <c r="H620" i="60"/>
  <c r="K379" i="60"/>
  <c r="P575" i="60"/>
  <c r="O330" i="60"/>
  <c r="V381" i="60"/>
  <c r="L378" i="60"/>
  <c r="AA428" i="60"/>
  <c r="L575" i="60"/>
  <c r="N573" i="60"/>
  <c r="AC623" i="60"/>
  <c r="AD380" i="60"/>
  <c r="E378" i="60"/>
  <c r="J428" i="60"/>
  <c r="H575" i="60"/>
  <c r="H573" i="60"/>
  <c r="Q623" i="60"/>
  <c r="K618" i="60"/>
  <c r="G329" i="60"/>
  <c r="AD617" i="60"/>
  <c r="AD624" i="60" s="1"/>
  <c r="K380" i="60"/>
  <c r="X430" i="60"/>
  <c r="N574" i="60"/>
  <c r="F572" i="60"/>
  <c r="V617" i="60"/>
  <c r="H571" i="60"/>
  <c r="AD381" i="60"/>
  <c r="K383" i="60"/>
  <c r="AC379" i="60"/>
  <c r="V430" i="60"/>
  <c r="X425" i="60"/>
  <c r="L574" i="60"/>
  <c r="Y571" i="60"/>
  <c r="AC621" i="60"/>
  <c r="M617" i="60"/>
  <c r="X573" i="60"/>
  <c r="U382" i="60"/>
  <c r="I425" i="60"/>
  <c r="I432" i="60" s="1"/>
  <c r="AB575" i="60"/>
  <c r="P571" i="60"/>
  <c r="E621" i="60"/>
  <c r="E617" i="60"/>
  <c r="AA330" i="60"/>
  <c r="AA383" i="60"/>
  <c r="H379" i="60"/>
  <c r="Q431" i="60"/>
  <c r="AC569" i="60"/>
  <c r="Q619" i="60"/>
  <c r="W330" i="60"/>
  <c r="Y383" i="60"/>
  <c r="E383" i="60"/>
  <c r="E382" i="60"/>
  <c r="Y380" i="60"/>
  <c r="AA379" i="60"/>
  <c r="E379" i="60"/>
  <c r="AD377" i="60"/>
  <c r="P431" i="60"/>
  <c r="S430" i="60"/>
  <c r="Y429" i="60"/>
  <c r="U427" i="60"/>
  <c r="I575" i="60"/>
  <c r="F574" i="60"/>
  <c r="P573" i="60"/>
  <c r="X572" i="60"/>
  <c r="AB571" i="60"/>
  <c r="AB569" i="60"/>
  <c r="Y623" i="60"/>
  <c r="AD621" i="60"/>
  <c r="X620" i="60"/>
  <c r="J619" i="60"/>
  <c r="AC617" i="60"/>
  <c r="AA380" i="60"/>
  <c r="Q430" i="60"/>
  <c r="W572" i="60"/>
  <c r="M282" i="60"/>
  <c r="G334" i="60"/>
  <c r="AB329" i="60"/>
  <c r="U383" i="60"/>
  <c r="AA382" i="60"/>
  <c r="Y381" i="60"/>
  <c r="Q380" i="60"/>
  <c r="U379" i="60"/>
  <c r="W378" i="60"/>
  <c r="W377" i="60"/>
  <c r="H431" i="60"/>
  <c r="P430" i="60"/>
  <c r="Q429" i="60"/>
  <c r="Y426" i="60"/>
  <c r="H425" i="60"/>
  <c r="Y575" i="60"/>
  <c r="AD574" i="60"/>
  <c r="AC573" i="60"/>
  <c r="M573" i="60"/>
  <c r="V572" i="60"/>
  <c r="X571" i="60"/>
  <c r="T569" i="60"/>
  <c r="I623" i="60"/>
  <c r="V621" i="60"/>
  <c r="P620" i="60"/>
  <c r="AB618" i="60"/>
  <c r="U617" i="60"/>
  <c r="H383" i="60"/>
  <c r="AC382" i="60"/>
  <c r="AC378" i="60"/>
  <c r="U569" i="60"/>
  <c r="I619" i="60"/>
  <c r="E282" i="60"/>
  <c r="R383" i="60"/>
  <c r="W382" i="60"/>
  <c r="W381" i="60"/>
  <c r="P380" i="60"/>
  <c r="R379" i="60"/>
  <c r="U378" i="60"/>
  <c r="V377" i="60"/>
  <c r="F431" i="60"/>
  <c r="P429" i="60"/>
  <c r="U426" i="60"/>
  <c r="X575" i="60"/>
  <c r="AB574" i="60"/>
  <c r="AB573" i="60"/>
  <c r="L573" i="60"/>
  <c r="P572" i="60"/>
  <c r="Q571" i="60"/>
  <c r="M569" i="60"/>
  <c r="O620" i="60"/>
  <c r="T618" i="60"/>
  <c r="N617" i="60"/>
  <c r="O281" i="60"/>
  <c r="K333" i="60"/>
  <c r="N380" i="60"/>
  <c r="R378" i="60"/>
  <c r="N377" i="60"/>
  <c r="AB431" i="60"/>
  <c r="Z430" i="60"/>
  <c r="T575" i="60"/>
  <c r="O572" i="60"/>
  <c r="L569" i="60"/>
  <c r="N621" i="60"/>
  <c r="G281" i="60"/>
  <c r="M383" i="60"/>
  <c r="R382" i="60"/>
  <c r="N381" i="60"/>
  <c r="M379" i="60"/>
  <c r="M378" i="60"/>
  <c r="Y431" i="60"/>
  <c r="Y430" i="60"/>
  <c r="F430" i="60"/>
  <c r="E426" i="60"/>
  <c r="T574" i="60"/>
  <c r="V573" i="60"/>
  <c r="F573" i="60"/>
  <c r="N572" i="60"/>
  <c r="I571" i="60"/>
  <c r="E569" i="60"/>
  <c r="T622" i="60"/>
  <c r="M621" i="60"/>
  <c r="G620" i="60"/>
  <c r="L618" i="60"/>
  <c r="F617" i="60"/>
  <c r="L332" i="60"/>
  <c r="AC383" i="60"/>
  <c r="M382" i="60"/>
  <c r="H380" i="60"/>
  <c r="V431" i="60"/>
  <c r="Y425" i="60"/>
  <c r="Y432" i="60" s="1"/>
  <c r="X521" i="60"/>
  <c r="X528" i="60" s="1"/>
  <c r="U573" i="60"/>
  <c r="E573" i="60"/>
  <c r="G572" i="60"/>
  <c r="L622" i="60"/>
  <c r="F621" i="60"/>
  <c r="Y619" i="60"/>
  <c r="J192" i="59"/>
  <c r="L14" i="59" s="1"/>
  <c r="I378" i="60"/>
  <c r="I382" i="60"/>
  <c r="I379" i="60"/>
  <c r="I383" i="60"/>
  <c r="I377" i="60"/>
  <c r="I381" i="60"/>
  <c r="T192" i="59"/>
  <c r="V14" i="59" s="1"/>
  <c r="S377" i="60"/>
  <c r="S381" i="60"/>
  <c r="S378" i="60"/>
  <c r="S382" i="60"/>
  <c r="S380" i="60"/>
  <c r="AC192" i="59"/>
  <c r="AE14" i="59" s="1"/>
  <c r="AB377" i="60"/>
  <c r="AB381" i="60"/>
  <c r="AB379" i="60"/>
  <c r="AB383" i="60"/>
  <c r="AB380" i="60"/>
  <c r="AB378" i="60"/>
  <c r="AB382" i="60"/>
  <c r="S379" i="60"/>
  <c r="AA189" i="60"/>
  <c r="AB188" i="59"/>
  <c r="AD10" i="59" s="1"/>
  <c r="S189" i="60"/>
  <c r="T188" i="59"/>
  <c r="V10" i="59" s="1"/>
  <c r="K189" i="60"/>
  <c r="L188" i="59"/>
  <c r="N10" i="59" s="1"/>
  <c r="AB233" i="60"/>
  <c r="AC189" i="59"/>
  <c r="AE11" i="59" s="1"/>
  <c r="D274" i="60"/>
  <c r="E190" i="59" s="1"/>
  <c r="I380" i="60"/>
  <c r="Q186" i="60"/>
  <c r="R188" i="59"/>
  <c r="T10" i="59" s="1"/>
  <c r="Z234" i="60"/>
  <c r="AA189" i="59"/>
  <c r="AC11" i="59" s="1"/>
  <c r="J234" i="60"/>
  <c r="K189" i="59"/>
  <c r="M11" i="59" s="1"/>
  <c r="J284" i="60"/>
  <c r="K190" i="59"/>
  <c r="M12" i="59" s="1"/>
  <c r="S284" i="60"/>
  <c r="T190" i="59"/>
  <c r="V12" i="59" s="1"/>
  <c r="AB283" i="60"/>
  <c r="AC190" i="59"/>
  <c r="AE12" i="59" s="1"/>
  <c r="Y186" i="60"/>
  <c r="Z188" i="59"/>
  <c r="AB10" i="59" s="1"/>
  <c r="R234" i="60"/>
  <c r="S189" i="59"/>
  <c r="U11" i="59" s="1"/>
  <c r="AD329" i="60"/>
  <c r="AE191" i="59"/>
  <c r="AD335" i="60"/>
  <c r="V329" i="60"/>
  <c r="W191" i="59"/>
  <c r="V335" i="60"/>
  <c r="N329" i="60"/>
  <c r="O191" i="59"/>
  <c r="F329" i="60"/>
  <c r="G191" i="59"/>
  <c r="F335" i="60"/>
  <c r="S383" i="60"/>
  <c r="AD193" i="59"/>
  <c r="AF15" i="59" s="1"/>
  <c r="AC425" i="60"/>
  <c r="M477" i="60"/>
  <c r="N194" i="59"/>
  <c r="P16" i="59" s="1"/>
  <c r="M473" i="60"/>
  <c r="S196" i="59"/>
  <c r="U19" i="59" s="1"/>
  <c r="R571" i="60"/>
  <c r="R575" i="60"/>
  <c r="R572" i="60"/>
  <c r="R569" i="60"/>
  <c r="R573" i="60"/>
  <c r="J383" i="60"/>
  <c r="F377" i="60"/>
  <c r="M193" i="59"/>
  <c r="O15" i="59" s="1"/>
  <c r="L428" i="60"/>
  <c r="L425" i="60"/>
  <c r="L429" i="60"/>
  <c r="L426" i="60"/>
  <c r="AD426" i="60"/>
  <c r="V188" i="60"/>
  <c r="W188" i="59"/>
  <c r="Y10" i="59" s="1"/>
  <c r="W235" i="60"/>
  <c r="X189" i="59"/>
  <c r="Z11" i="59" s="1"/>
  <c r="G286" i="60"/>
  <c r="H190" i="59"/>
  <c r="J12" i="59" s="1"/>
  <c r="S331" i="60"/>
  <c r="T191" i="59"/>
  <c r="AB189" i="60"/>
  <c r="AC188" i="59"/>
  <c r="AE10" i="59" s="1"/>
  <c r="T189" i="60"/>
  <c r="U188" i="59"/>
  <c r="W10" i="59" s="1"/>
  <c r="L189" i="60"/>
  <c r="M188" i="59"/>
  <c r="O10" i="59" s="1"/>
  <c r="AC236" i="60"/>
  <c r="AD189" i="59"/>
  <c r="AF11" i="59" s="1"/>
  <c r="U236" i="60"/>
  <c r="V189" i="59"/>
  <c r="X11" i="59" s="1"/>
  <c r="M236" i="60"/>
  <c r="N189" i="59"/>
  <c r="P11" i="59" s="1"/>
  <c r="E236" i="60"/>
  <c r="F189" i="59"/>
  <c r="H11" i="59" s="1"/>
  <c r="F282" i="60"/>
  <c r="G190" i="59"/>
  <c r="I12" i="59" s="1"/>
  <c r="P281" i="60"/>
  <c r="Q190" i="59"/>
  <c r="S12" i="59" s="1"/>
  <c r="Y285" i="60"/>
  <c r="Z190" i="59"/>
  <c r="AB12" i="59" s="1"/>
  <c r="W286" i="60"/>
  <c r="X190" i="59"/>
  <c r="Z12" i="59" s="1"/>
  <c r="U282" i="60"/>
  <c r="Y333" i="60"/>
  <c r="Z191" i="59"/>
  <c r="Q333" i="60"/>
  <c r="R191" i="59"/>
  <c r="I333" i="60"/>
  <c r="J191" i="59"/>
  <c r="Y335" i="60"/>
  <c r="S334" i="60"/>
  <c r="S333" i="60"/>
  <c r="Q332" i="60"/>
  <c r="AD383" i="60"/>
  <c r="V383" i="60"/>
  <c r="N383" i="60"/>
  <c r="F383" i="60"/>
  <c r="X382" i="60"/>
  <c r="P382" i="60"/>
  <c r="H382" i="60"/>
  <c r="Z381" i="60"/>
  <c r="R381" i="60"/>
  <c r="J381" i="60"/>
  <c r="T380" i="60"/>
  <c r="L380" i="60"/>
  <c r="AD379" i="60"/>
  <c r="V379" i="60"/>
  <c r="N379" i="60"/>
  <c r="F379" i="60"/>
  <c r="X378" i="60"/>
  <c r="P378" i="60"/>
  <c r="H378" i="60"/>
  <c r="Z377" i="60"/>
  <c r="R377" i="60"/>
  <c r="J377" i="60"/>
  <c r="I193" i="59"/>
  <c r="K15" i="59" s="1"/>
  <c r="H426" i="60"/>
  <c r="H427" i="60"/>
  <c r="H428" i="60"/>
  <c r="R193" i="59"/>
  <c r="T15" i="59" s="1"/>
  <c r="Q427" i="60"/>
  <c r="AA193" i="59"/>
  <c r="AC15" i="59" s="1"/>
  <c r="Z425" i="60"/>
  <c r="Z432" i="60" s="1"/>
  <c r="Z426" i="60"/>
  <c r="Z427" i="60"/>
  <c r="Z431" i="60"/>
  <c r="R431" i="60"/>
  <c r="AB430" i="60"/>
  <c r="T430" i="60"/>
  <c r="L430" i="60"/>
  <c r="AD429" i="60"/>
  <c r="V429" i="60"/>
  <c r="H429" i="60"/>
  <c r="L427" i="60"/>
  <c r="S570" i="60"/>
  <c r="R623" i="60"/>
  <c r="T233" i="60"/>
  <c r="U189" i="59"/>
  <c r="W11" i="59" s="1"/>
  <c r="L233" i="60"/>
  <c r="M189" i="59"/>
  <c r="O11" i="59" s="1"/>
  <c r="H281" i="60"/>
  <c r="I190" i="59"/>
  <c r="K12" i="59" s="1"/>
  <c r="Q281" i="60"/>
  <c r="R190" i="59"/>
  <c r="T12" i="59" s="1"/>
  <c r="Z284" i="60"/>
  <c r="AA190" i="59"/>
  <c r="AC12" i="59" s="1"/>
  <c r="X334" i="60"/>
  <c r="Y191" i="59"/>
  <c r="P334" i="60"/>
  <c r="Q191" i="59"/>
  <c r="H334" i="60"/>
  <c r="I191" i="59"/>
  <c r="P333" i="60"/>
  <c r="Q381" i="60"/>
  <c r="Q377" i="60"/>
  <c r="J193" i="59"/>
  <c r="L15" i="59" s="1"/>
  <c r="I427" i="60"/>
  <c r="S193" i="59"/>
  <c r="U15" i="59" s="1"/>
  <c r="R425" i="60"/>
  <c r="R429" i="60"/>
  <c r="R426" i="60"/>
  <c r="R427" i="60"/>
  <c r="AB193" i="59"/>
  <c r="AD15" i="59" s="1"/>
  <c r="AA426" i="60"/>
  <c r="I431" i="60"/>
  <c r="AA430" i="60"/>
  <c r="K430" i="60"/>
  <c r="AC429" i="60"/>
  <c r="AA427" i="60"/>
  <c r="K427" i="60"/>
  <c r="K473" i="60"/>
  <c r="L194" i="59"/>
  <c r="N16" i="59" s="1"/>
  <c r="K475" i="60"/>
  <c r="T473" i="60"/>
  <c r="U194" i="59"/>
  <c r="W16" i="59" s="1"/>
  <c r="T474" i="60"/>
  <c r="AD473" i="60"/>
  <c r="AE194" i="59"/>
  <c r="AG16" i="59" s="1"/>
  <c r="K524" i="60"/>
  <c r="L195" i="59"/>
  <c r="N18" i="59" s="1"/>
  <c r="K527" i="60"/>
  <c r="S524" i="60"/>
  <c r="T195" i="59"/>
  <c r="V18" i="59" s="1"/>
  <c r="S527" i="60"/>
  <c r="AA524" i="60"/>
  <c r="AB195" i="59"/>
  <c r="AD18" i="59" s="1"/>
  <c r="AA527" i="60"/>
  <c r="R570" i="60"/>
  <c r="Z190" i="60"/>
  <c r="AA188" i="59"/>
  <c r="AC10" i="59" s="1"/>
  <c r="R190" i="60"/>
  <c r="S188" i="59"/>
  <c r="U10" i="59" s="1"/>
  <c r="J190" i="60"/>
  <c r="K188" i="59"/>
  <c r="M10" i="59" s="1"/>
  <c r="AA233" i="60"/>
  <c r="AB189" i="59"/>
  <c r="AD11" i="59" s="1"/>
  <c r="S233" i="60"/>
  <c r="T189" i="59"/>
  <c r="V11" i="59" s="1"/>
  <c r="K233" i="60"/>
  <c r="L189" i="59"/>
  <c r="N11" i="59" s="1"/>
  <c r="I281" i="60"/>
  <c r="J190" i="59"/>
  <c r="L12" i="59" s="1"/>
  <c r="R284" i="60"/>
  <c r="S190" i="59"/>
  <c r="U12" i="59" s="1"/>
  <c r="AA284" i="60"/>
  <c r="AB190" i="59"/>
  <c r="AD12" i="59" s="1"/>
  <c r="Y284" i="60"/>
  <c r="W332" i="60"/>
  <c r="X191" i="59"/>
  <c r="O335" i="60"/>
  <c r="P191" i="59"/>
  <c r="G335" i="60"/>
  <c r="H191" i="59"/>
  <c r="Q335" i="60"/>
  <c r="I332" i="60"/>
  <c r="X329" i="60"/>
  <c r="T383" i="60"/>
  <c r="L383" i="60"/>
  <c r="AD382" i="60"/>
  <c r="V382" i="60"/>
  <c r="N382" i="60"/>
  <c r="F382" i="60"/>
  <c r="X381" i="60"/>
  <c r="P381" i="60"/>
  <c r="H381" i="60"/>
  <c r="Z380" i="60"/>
  <c r="R380" i="60"/>
  <c r="J380" i="60"/>
  <c r="T379" i="60"/>
  <c r="L379" i="60"/>
  <c r="AD378" i="60"/>
  <c r="V378" i="60"/>
  <c r="N378" i="60"/>
  <c r="F378" i="60"/>
  <c r="X377" i="60"/>
  <c r="P377" i="60"/>
  <c r="H377" i="60"/>
  <c r="K193" i="59"/>
  <c r="M15" i="59" s="1"/>
  <c r="J425" i="60"/>
  <c r="J429" i="60"/>
  <c r="J426" i="60"/>
  <c r="J427" i="60"/>
  <c r="T193" i="59"/>
  <c r="V15" i="59" s="1"/>
  <c r="S426" i="60"/>
  <c r="AC193" i="59"/>
  <c r="AE15" i="59" s="1"/>
  <c r="AB428" i="60"/>
  <c r="AB425" i="60"/>
  <c r="AB432" i="60" s="1"/>
  <c r="AB426" i="60"/>
  <c r="R430" i="60"/>
  <c r="J430" i="60"/>
  <c r="AB429" i="60"/>
  <c r="S429" i="60"/>
  <c r="AC428" i="60"/>
  <c r="Q426" i="60"/>
  <c r="AA425" i="60"/>
  <c r="L475" i="60"/>
  <c r="M194" i="59"/>
  <c r="O16" i="59" s="1"/>
  <c r="U478" i="60"/>
  <c r="V194" i="59"/>
  <c r="X16" i="59" s="1"/>
  <c r="U473" i="60"/>
  <c r="Y478" i="60"/>
  <c r="Z194" i="59"/>
  <c r="AB16" i="59" s="1"/>
  <c r="Y477" i="60"/>
  <c r="L523" i="60"/>
  <c r="M195" i="59"/>
  <c r="O18" i="59" s="1"/>
  <c r="T523" i="60"/>
  <c r="U195" i="59"/>
  <c r="W18" i="59" s="1"/>
  <c r="AB523" i="60"/>
  <c r="AC195" i="59"/>
  <c r="AE18" i="59" s="1"/>
  <c r="R574" i="60"/>
  <c r="K570" i="60"/>
  <c r="AB196" i="59"/>
  <c r="AD19" i="59" s="1"/>
  <c r="AA571" i="60"/>
  <c r="AA575" i="60"/>
  <c r="AA572" i="60"/>
  <c r="AA569" i="60"/>
  <c r="AA573" i="60"/>
  <c r="W188" i="60"/>
  <c r="X188" i="59"/>
  <c r="Z10" i="59" s="1"/>
  <c r="O184" i="60"/>
  <c r="P188" i="59"/>
  <c r="R10" i="59" s="1"/>
  <c r="G184" i="60"/>
  <c r="H188" i="59"/>
  <c r="J10" i="59" s="1"/>
  <c r="X239" i="60"/>
  <c r="Y189" i="59"/>
  <c r="AA11" i="59" s="1"/>
  <c r="P239" i="60"/>
  <c r="Q189" i="59"/>
  <c r="S11" i="59" s="1"/>
  <c r="H239" i="60"/>
  <c r="I189" i="59"/>
  <c r="K11" i="59" s="1"/>
  <c r="L283" i="60"/>
  <c r="M190" i="59"/>
  <c r="O12" i="59" s="1"/>
  <c r="AD282" i="60"/>
  <c r="AE190" i="59"/>
  <c r="AG12" i="59" s="1"/>
  <c r="AB330" i="60"/>
  <c r="AC191" i="59"/>
  <c r="T330" i="60"/>
  <c r="U191" i="59"/>
  <c r="L330" i="60"/>
  <c r="M191" i="59"/>
  <c r="AB332" i="60"/>
  <c r="S330" i="60"/>
  <c r="P329" i="60"/>
  <c r="Q383" i="60"/>
  <c r="K382" i="60"/>
  <c r="AC381" i="60"/>
  <c r="U381" i="60"/>
  <c r="M381" i="60"/>
  <c r="E381" i="60"/>
  <c r="W380" i="60"/>
  <c r="Y379" i="60"/>
  <c r="Q379" i="60"/>
  <c r="AA378" i="60"/>
  <c r="K378" i="60"/>
  <c r="AC377" i="60"/>
  <c r="U377" i="60"/>
  <c r="M377" i="60"/>
  <c r="E377" i="60"/>
  <c r="N193" i="59"/>
  <c r="P15" i="59" s="1"/>
  <c r="M425" i="60"/>
  <c r="M432" i="60" s="1"/>
  <c r="M429" i="60"/>
  <c r="W193" i="59"/>
  <c r="Y15" i="59" s="1"/>
  <c r="V427" i="60"/>
  <c r="V428" i="60"/>
  <c r="V425" i="60"/>
  <c r="AC431" i="60"/>
  <c r="M431" i="60"/>
  <c r="I428" i="60"/>
  <c r="S427" i="60"/>
  <c r="AC426" i="60"/>
  <c r="M426" i="60"/>
  <c r="AA574" i="60"/>
  <c r="L193" i="59"/>
  <c r="N15" i="59" s="1"/>
  <c r="K426" i="60"/>
  <c r="V473" i="60"/>
  <c r="W194" i="59"/>
  <c r="Y16" i="59" s="1"/>
  <c r="K196" i="59"/>
  <c r="M19" i="59" s="1"/>
  <c r="J571" i="60"/>
  <c r="J575" i="60"/>
  <c r="J572" i="60"/>
  <c r="J569" i="60"/>
  <c r="J573" i="60"/>
  <c r="X187" i="60"/>
  <c r="Y188" i="59"/>
  <c r="AA10" i="59" s="1"/>
  <c r="H187" i="60"/>
  <c r="I188" i="59"/>
  <c r="K10" i="59" s="1"/>
  <c r="Q234" i="60"/>
  <c r="R189" i="59"/>
  <c r="T11" i="59" s="1"/>
  <c r="K284" i="60"/>
  <c r="L190" i="59"/>
  <c r="N12" i="59" s="1"/>
  <c r="U332" i="60"/>
  <c r="V191" i="59"/>
  <c r="Z383" i="60"/>
  <c r="F381" i="60"/>
  <c r="T378" i="60"/>
  <c r="V193" i="59"/>
  <c r="X15" i="59" s="1"/>
  <c r="U425" i="60"/>
  <c r="AD431" i="60"/>
  <c r="T196" i="59"/>
  <c r="V19" i="59" s="1"/>
  <c r="S571" i="60"/>
  <c r="S575" i="60"/>
  <c r="S572" i="60"/>
  <c r="S569" i="60"/>
  <c r="S573" i="60"/>
  <c r="F188" i="60"/>
  <c r="G188" i="59"/>
  <c r="I10" i="59" s="1"/>
  <c r="AA331" i="60"/>
  <c r="AB191" i="59"/>
  <c r="E329" i="60"/>
  <c r="F191" i="59"/>
  <c r="AA334" i="60"/>
  <c r="X333" i="60"/>
  <c r="Z382" i="60"/>
  <c r="J382" i="60"/>
  <c r="T381" i="60"/>
  <c r="L381" i="60"/>
  <c r="V380" i="60"/>
  <c r="F380" i="60"/>
  <c r="Z378" i="60"/>
  <c r="J378" i="60"/>
  <c r="T377" i="60"/>
  <c r="L377" i="60"/>
  <c r="F193" i="59"/>
  <c r="H15" i="59" s="1"/>
  <c r="E425" i="60"/>
  <c r="E432" i="60" s="1"/>
  <c r="E429" i="60"/>
  <c r="O193" i="59"/>
  <c r="Q15" i="59" s="1"/>
  <c r="N427" i="60"/>
  <c r="N428" i="60"/>
  <c r="N425" i="60"/>
  <c r="N429" i="60"/>
  <c r="Y193" i="59"/>
  <c r="AA15" i="59" s="1"/>
  <c r="X426" i="60"/>
  <c r="X427" i="60"/>
  <c r="X428" i="60"/>
  <c r="L431" i="60"/>
  <c r="N430" i="60"/>
  <c r="X429" i="60"/>
  <c r="K429" i="60"/>
  <c r="U428" i="60"/>
  <c r="E428" i="60"/>
  <c r="I426" i="60"/>
  <c r="J574" i="60"/>
  <c r="AA570" i="60"/>
  <c r="K197" i="59"/>
  <c r="M20" i="59" s="1"/>
  <c r="J620" i="60"/>
  <c r="J617" i="60"/>
  <c r="J621" i="60"/>
  <c r="J618" i="60"/>
  <c r="J622" i="60"/>
  <c r="S197" i="59"/>
  <c r="U20" i="59" s="1"/>
  <c r="R620" i="60"/>
  <c r="R617" i="60"/>
  <c r="R621" i="60"/>
  <c r="R618" i="60"/>
  <c r="R622" i="60"/>
  <c r="AA197" i="59"/>
  <c r="AC20" i="59" s="1"/>
  <c r="Z620" i="60"/>
  <c r="Z617" i="60"/>
  <c r="Z624" i="60" s="1"/>
  <c r="Z621" i="60"/>
  <c r="Z618" i="60"/>
  <c r="Z622" i="60"/>
  <c r="Z623" i="60"/>
  <c r="U193" i="59"/>
  <c r="W15" i="59" s="1"/>
  <c r="T428" i="60"/>
  <c r="T425" i="60"/>
  <c r="T432" i="60" s="1"/>
  <c r="T429" i="60"/>
  <c r="T426" i="60"/>
  <c r="K428" i="60"/>
  <c r="I478" i="60"/>
  <c r="J194" i="59"/>
  <c r="L16" i="59" s="1"/>
  <c r="I479" i="60"/>
  <c r="AA196" i="59"/>
  <c r="AC19" i="59" s="1"/>
  <c r="Z571" i="60"/>
  <c r="Z575" i="60"/>
  <c r="Z572" i="60"/>
  <c r="Z569" i="60"/>
  <c r="Z573" i="60"/>
  <c r="J570" i="60"/>
  <c r="P187" i="60"/>
  <c r="Q188" i="59"/>
  <c r="S10" i="59" s="1"/>
  <c r="Y234" i="60"/>
  <c r="Z189" i="59"/>
  <c r="AB11" i="59" s="1"/>
  <c r="I234" i="60"/>
  <c r="J189" i="59"/>
  <c r="L11" i="59" s="1"/>
  <c r="T283" i="60"/>
  <c r="U190" i="59"/>
  <c r="W12" i="59" s="1"/>
  <c r="AC332" i="60"/>
  <c r="AD191" i="59"/>
  <c r="M329" i="60"/>
  <c r="N191" i="59"/>
  <c r="H333" i="60"/>
  <c r="T382" i="60"/>
  <c r="Z379" i="60"/>
  <c r="J379" i="60"/>
  <c r="AE193" i="59"/>
  <c r="AG15" i="59" s="1"/>
  <c r="AD427" i="60"/>
  <c r="AD428" i="60"/>
  <c r="AD425" i="60"/>
  <c r="T427" i="60"/>
  <c r="L196" i="59"/>
  <c r="N19" i="59" s="1"/>
  <c r="K571" i="60"/>
  <c r="K575" i="60"/>
  <c r="K572" i="60"/>
  <c r="K569" i="60"/>
  <c r="K573" i="60"/>
  <c r="AD188" i="60"/>
  <c r="AE188" i="59"/>
  <c r="AG10" i="59" s="1"/>
  <c r="N188" i="60"/>
  <c r="O188" i="59"/>
  <c r="Q10" i="59" s="1"/>
  <c r="O235" i="60"/>
  <c r="P189" i="59"/>
  <c r="R11" i="59" s="1"/>
  <c r="G235" i="60"/>
  <c r="H189" i="59"/>
  <c r="J11" i="59" s="1"/>
  <c r="V282" i="60"/>
  <c r="W190" i="59"/>
  <c r="Y12" i="59" s="1"/>
  <c r="K331" i="60"/>
  <c r="L191" i="59"/>
  <c r="AC184" i="60"/>
  <c r="AD188" i="59"/>
  <c r="AF10" i="59" s="1"/>
  <c r="U184" i="60"/>
  <c r="V188" i="59"/>
  <c r="X10" i="59" s="1"/>
  <c r="M184" i="60"/>
  <c r="N188" i="59"/>
  <c r="P10" i="59" s="1"/>
  <c r="E184" i="60"/>
  <c r="F188" i="59"/>
  <c r="H10" i="59" s="1"/>
  <c r="AD233" i="60"/>
  <c r="AE189" i="59"/>
  <c r="AG11" i="59" s="1"/>
  <c r="V233" i="60"/>
  <c r="W189" i="59"/>
  <c r="Y11" i="59" s="1"/>
  <c r="N233" i="60"/>
  <c r="O189" i="59"/>
  <c r="Q11" i="59" s="1"/>
  <c r="F239" i="60"/>
  <c r="G189" i="59"/>
  <c r="I11" i="59" s="1"/>
  <c r="N282" i="60"/>
  <c r="O190" i="59"/>
  <c r="Q12" i="59" s="1"/>
  <c r="X281" i="60"/>
  <c r="Y190" i="59"/>
  <c r="AA12" i="59" s="1"/>
  <c r="O286" i="60"/>
  <c r="P190" i="59"/>
  <c r="R12" i="59" s="1"/>
  <c r="X285" i="60"/>
  <c r="AC282" i="60"/>
  <c r="Z332" i="60"/>
  <c r="AA191" i="59"/>
  <c r="R332" i="60"/>
  <c r="S191" i="59"/>
  <c r="J332" i="60"/>
  <c r="K191" i="59"/>
  <c r="W334" i="60"/>
  <c r="T333" i="60"/>
  <c r="T332" i="60"/>
  <c r="K330" i="60"/>
  <c r="L329" i="60"/>
  <c r="W383" i="60"/>
  <c r="Y382" i="60"/>
  <c r="Q382" i="60"/>
  <c r="AA381" i="60"/>
  <c r="K381" i="60"/>
  <c r="AC380" i="60"/>
  <c r="U380" i="60"/>
  <c r="M380" i="60"/>
  <c r="E380" i="60"/>
  <c r="W379" i="60"/>
  <c r="Y378" i="60"/>
  <c r="Q378" i="60"/>
  <c r="AA377" i="60"/>
  <c r="K377" i="60"/>
  <c r="G193" i="59"/>
  <c r="I15" i="59" s="1"/>
  <c r="F427" i="60"/>
  <c r="F428" i="60"/>
  <c r="F425" i="60"/>
  <c r="F429" i="60"/>
  <c r="Q193" i="59"/>
  <c r="S15" i="59" s="1"/>
  <c r="P426" i="60"/>
  <c r="P427" i="60"/>
  <c r="P428" i="60"/>
  <c r="Z193" i="59"/>
  <c r="AB15" i="59" s="1"/>
  <c r="Y427" i="60"/>
  <c r="AA431" i="60"/>
  <c r="S431" i="60"/>
  <c r="K431" i="60"/>
  <c r="AC430" i="60"/>
  <c r="U430" i="60"/>
  <c r="M430" i="60"/>
  <c r="E430" i="60"/>
  <c r="I429" i="60"/>
  <c r="S428" i="60"/>
  <c r="AC427" i="60"/>
  <c r="M427" i="60"/>
  <c r="Q425" i="60"/>
  <c r="Z570" i="60"/>
  <c r="L197" i="59"/>
  <c r="N20" i="59" s="1"/>
  <c r="K619" i="60"/>
  <c r="K623" i="60"/>
  <c r="K620" i="60"/>
  <c r="K617" i="60"/>
  <c r="K621" i="60"/>
  <c r="T197" i="59"/>
  <c r="V20" i="59" s="1"/>
  <c r="S619" i="60"/>
  <c r="S623" i="60"/>
  <c r="S620" i="60"/>
  <c r="S617" i="60"/>
  <c r="S621" i="60"/>
  <c r="AB197" i="59"/>
  <c r="AD20" i="59" s="1"/>
  <c r="AA619" i="60"/>
  <c r="AA623" i="60"/>
  <c r="AA620" i="60"/>
  <c r="AA617" i="60"/>
  <c r="AA621" i="60"/>
  <c r="S622" i="60"/>
  <c r="AA618" i="60"/>
  <c r="N473" i="60"/>
  <c r="O194" i="59"/>
  <c r="Q16" i="59" s="1"/>
  <c r="X473" i="60"/>
  <c r="Y194" i="59"/>
  <c r="AA16" i="59" s="1"/>
  <c r="Q478" i="60"/>
  <c r="R194" i="59"/>
  <c r="T16" i="59" s="1"/>
  <c r="E523" i="60"/>
  <c r="F195" i="59"/>
  <c r="H18" i="59" s="1"/>
  <c r="M522" i="60"/>
  <c r="N195" i="59"/>
  <c r="P18" i="59" s="1"/>
  <c r="U522" i="60"/>
  <c r="V195" i="59"/>
  <c r="X18" i="59" s="1"/>
  <c r="AC522" i="60"/>
  <c r="AD195" i="59"/>
  <c r="AF18" i="59" s="1"/>
  <c r="M525" i="60"/>
  <c r="W575" i="60"/>
  <c r="O575" i="60"/>
  <c r="G575" i="60"/>
  <c r="Y574" i="60"/>
  <c r="Q574" i="60"/>
  <c r="I574" i="60"/>
  <c r="AC572" i="60"/>
  <c r="U572" i="60"/>
  <c r="M572" i="60"/>
  <c r="E572" i="60"/>
  <c r="W571" i="60"/>
  <c r="O571" i="60"/>
  <c r="G571" i="60"/>
  <c r="Y570" i="60"/>
  <c r="Q570" i="60"/>
  <c r="I570" i="60"/>
  <c r="AC197" i="59"/>
  <c r="AE20" i="59" s="1"/>
  <c r="X623" i="60"/>
  <c r="P623" i="60"/>
  <c r="H623" i="60"/>
  <c r="AB621" i="60"/>
  <c r="T621" i="60"/>
  <c r="L621" i="60"/>
  <c r="N620" i="60"/>
  <c r="F620" i="60"/>
  <c r="X619" i="60"/>
  <c r="P619" i="60"/>
  <c r="H619" i="60"/>
  <c r="AB617" i="60"/>
  <c r="T617" i="60"/>
  <c r="L617" i="60"/>
  <c r="E473" i="60"/>
  <c r="F194" i="59"/>
  <c r="H16" i="59" s="1"/>
  <c r="O473" i="60"/>
  <c r="P194" i="59"/>
  <c r="R16" i="59" s="1"/>
  <c r="Z477" i="60"/>
  <c r="AA194" i="59"/>
  <c r="AC16" i="59" s="1"/>
  <c r="O479" i="60"/>
  <c r="F523" i="60"/>
  <c r="G195" i="59"/>
  <c r="I18" i="59" s="1"/>
  <c r="N521" i="60"/>
  <c r="O195" i="59"/>
  <c r="Q18" i="59" s="1"/>
  <c r="V521" i="60"/>
  <c r="W195" i="59"/>
  <c r="Y18" i="59" s="1"/>
  <c r="AD521" i="60"/>
  <c r="AE195" i="59"/>
  <c r="AG18" i="59" s="1"/>
  <c r="AD524" i="60"/>
  <c r="AD575" i="60"/>
  <c r="V575" i="60"/>
  <c r="N575" i="60"/>
  <c r="F575" i="60"/>
  <c r="X574" i="60"/>
  <c r="P574" i="60"/>
  <c r="H574" i="60"/>
  <c r="AB572" i="60"/>
  <c r="T572" i="60"/>
  <c r="L572" i="60"/>
  <c r="AD571" i="60"/>
  <c r="V571" i="60"/>
  <c r="N571" i="60"/>
  <c r="F571" i="60"/>
  <c r="X570" i="60"/>
  <c r="P570" i="60"/>
  <c r="H570" i="60"/>
  <c r="V197" i="59"/>
  <c r="X20" i="59" s="1"/>
  <c r="W623" i="60"/>
  <c r="O623" i="60"/>
  <c r="G623" i="60"/>
  <c r="Y622" i="60"/>
  <c r="Q622" i="60"/>
  <c r="I622" i="60"/>
  <c r="AC620" i="60"/>
  <c r="U620" i="60"/>
  <c r="M620" i="60"/>
  <c r="E620" i="60"/>
  <c r="W619" i="60"/>
  <c r="O619" i="60"/>
  <c r="G619" i="60"/>
  <c r="Y618" i="60"/>
  <c r="Q618" i="60"/>
  <c r="I618" i="60"/>
  <c r="F476" i="60"/>
  <c r="G194" i="59"/>
  <c r="I16" i="59" s="1"/>
  <c r="P475" i="60"/>
  <c r="Q194" i="59"/>
  <c r="S16" i="59" s="1"/>
  <c r="AA476" i="60"/>
  <c r="AB194" i="59"/>
  <c r="AD16" i="59" s="1"/>
  <c r="G521" i="60"/>
  <c r="H195" i="59"/>
  <c r="J18" i="59" s="1"/>
  <c r="O521" i="60"/>
  <c r="P195" i="59"/>
  <c r="R18" i="59" s="1"/>
  <c r="W521" i="60"/>
  <c r="X195" i="59"/>
  <c r="Z18" i="59" s="1"/>
  <c r="E526" i="60"/>
  <c r="V524" i="60"/>
  <c r="AC575" i="60"/>
  <c r="U575" i="60"/>
  <c r="M575" i="60"/>
  <c r="E575" i="60"/>
  <c r="W574" i="60"/>
  <c r="O574" i="60"/>
  <c r="G574" i="60"/>
  <c r="Y573" i="60"/>
  <c r="Q573" i="60"/>
  <c r="I573" i="60"/>
  <c r="AC571" i="60"/>
  <c r="U571" i="60"/>
  <c r="M571" i="60"/>
  <c r="E571" i="60"/>
  <c r="W570" i="60"/>
  <c r="O570" i="60"/>
  <c r="G570" i="60"/>
  <c r="Y569" i="60"/>
  <c r="Q569" i="60"/>
  <c r="I569" i="60"/>
  <c r="W197" i="59"/>
  <c r="Y20" i="59" s="1"/>
  <c r="AE197" i="59"/>
  <c r="AG20" i="59" s="1"/>
  <c r="AD623" i="60"/>
  <c r="V623" i="60"/>
  <c r="N623" i="60"/>
  <c r="F623" i="60"/>
  <c r="X622" i="60"/>
  <c r="P622" i="60"/>
  <c r="H622" i="60"/>
  <c r="AB620" i="60"/>
  <c r="T620" i="60"/>
  <c r="L620" i="60"/>
  <c r="AD619" i="60"/>
  <c r="V619" i="60"/>
  <c r="N619" i="60"/>
  <c r="F619" i="60"/>
  <c r="X618" i="60"/>
  <c r="P618" i="60"/>
  <c r="R477" i="60"/>
  <c r="S194" i="59"/>
  <c r="U16" i="59" s="1"/>
  <c r="AB475" i="60"/>
  <c r="AC194" i="59"/>
  <c r="AE16" i="59" s="1"/>
  <c r="H527" i="60"/>
  <c r="I195" i="59"/>
  <c r="K18" i="59" s="1"/>
  <c r="P527" i="60"/>
  <c r="Q195" i="59"/>
  <c r="S18" i="59" s="1"/>
  <c r="X527" i="60"/>
  <c r="Y195" i="59"/>
  <c r="AA18" i="59" s="1"/>
  <c r="T571" i="60"/>
  <c r="L571" i="60"/>
  <c r="AD570" i="60"/>
  <c r="V570" i="60"/>
  <c r="N570" i="60"/>
  <c r="F570" i="60"/>
  <c r="X569" i="60"/>
  <c r="P569" i="60"/>
  <c r="H569" i="60"/>
  <c r="U623" i="60"/>
  <c r="M623" i="60"/>
  <c r="E623" i="60"/>
  <c r="W622" i="60"/>
  <c r="O622" i="60"/>
  <c r="G622" i="60"/>
  <c r="Y621" i="60"/>
  <c r="Q621" i="60"/>
  <c r="I621" i="60"/>
  <c r="AC619" i="60"/>
  <c r="U619" i="60"/>
  <c r="M619" i="60"/>
  <c r="E619" i="60"/>
  <c r="W618" i="60"/>
  <c r="O618" i="60"/>
  <c r="G618" i="60"/>
  <c r="Y617" i="60"/>
  <c r="Q617" i="60"/>
  <c r="I617" i="60"/>
  <c r="J477" i="60"/>
  <c r="K194" i="59"/>
  <c r="M16" i="59" s="1"/>
  <c r="S476" i="60"/>
  <c r="T194" i="59"/>
  <c r="V16" i="59" s="1"/>
  <c r="H478" i="60"/>
  <c r="AB474" i="60"/>
  <c r="I526" i="60"/>
  <c r="J195" i="59"/>
  <c r="L18" i="59" s="1"/>
  <c r="Q526" i="60"/>
  <c r="R195" i="59"/>
  <c r="T18" i="59" s="1"/>
  <c r="Y526" i="60"/>
  <c r="Z195" i="59"/>
  <c r="AB18" i="59" s="1"/>
  <c r="F524" i="60"/>
  <c r="Q521" i="60"/>
  <c r="AC574" i="60"/>
  <c r="U574" i="60"/>
  <c r="M574" i="60"/>
  <c r="E574" i="60"/>
  <c r="W573" i="60"/>
  <c r="O573" i="60"/>
  <c r="G573" i="60"/>
  <c r="Y572" i="60"/>
  <c r="Q572" i="60"/>
  <c r="I572" i="60"/>
  <c r="AC570" i="60"/>
  <c r="U570" i="60"/>
  <c r="M570" i="60"/>
  <c r="E570" i="60"/>
  <c r="W569" i="60"/>
  <c r="O569" i="60"/>
  <c r="G569" i="60"/>
  <c r="I197" i="59"/>
  <c r="K20" i="59" s="1"/>
  <c r="AB623" i="60"/>
  <c r="T623" i="60"/>
  <c r="L623" i="60"/>
  <c r="AD622" i="60"/>
  <c r="V622" i="60"/>
  <c r="N622" i="60"/>
  <c r="F622" i="60"/>
  <c r="X621" i="60"/>
  <c r="P621" i="60"/>
  <c r="H621" i="60"/>
  <c r="AB619" i="60"/>
  <c r="T619" i="60"/>
  <c r="L619" i="60"/>
  <c r="AD618" i="60"/>
  <c r="V618" i="60"/>
  <c r="N618" i="60"/>
  <c r="F618" i="60"/>
  <c r="X617" i="60"/>
  <c r="X624" i="60" s="1"/>
  <c r="P617" i="60"/>
  <c r="H617" i="60"/>
  <c r="J525" i="60"/>
  <c r="K195" i="59"/>
  <c r="M18" i="59" s="1"/>
  <c r="R525" i="60"/>
  <c r="S195" i="59"/>
  <c r="U18" i="59" s="1"/>
  <c r="Z525" i="60"/>
  <c r="AA195" i="59"/>
  <c r="AC18" i="59" s="1"/>
  <c r="H572" i="60"/>
  <c r="AB570" i="60"/>
  <c r="T570" i="60"/>
  <c r="L570" i="60"/>
  <c r="L576" i="60" s="1"/>
  <c r="AD569" i="60"/>
  <c r="V569" i="60"/>
  <c r="N569" i="60"/>
  <c r="F569" i="60"/>
  <c r="AC622" i="60"/>
  <c r="U622" i="60"/>
  <c r="M622" i="60"/>
  <c r="E622" i="60"/>
  <c r="W621" i="60"/>
  <c r="O621" i="60"/>
  <c r="G621" i="60"/>
  <c r="Y620" i="60"/>
  <c r="Q620" i="60"/>
  <c r="I620" i="60"/>
  <c r="AC618" i="60"/>
  <c r="U618" i="60"/>
  <c r="M618" i="60"/>
  <c r="E618" i="60"/>
  <c r="W617" i="60"/>
  <c r="O617" i="60"/>
  <c r="G617" i="60"/>
  <c r="J624" i="60"/>
  <c r="D610" i="60"/>
  <c r="D618" i="60" s="1"/>
  <c r="D562" i="60"/>
  <c r="D570" i="60" s="1"/>
  <c r="AB526" i="60"/>
  <c r="E522" i="60"/>
  <c r="W527" i="60"/>
  <c r="O527" i="60"/>
  <c r="G527" i="60"/>
  <c r="X526" i="60"/>
  <c r="P526" i="60"/>
  <c r="H526" i="60"/>
  <c r="Y525" i="60"/>
  <c r="Q525" i="60"/>
  <c r="I525" i="60"/>
  <c r="Z524" i="60"/>
  <c r="R524" i="60"/>
  <c r="J524" i="60"/>
  <c r="AA523" i="60"/>
  <c r="S523" i="60"/>
  <c r="K523" i="60"/>
  <c r="AB522" i="60"/>
  <c r="T522" i="60"/>
  <c r="L522" i="60"/>
  <c r="AC521" i="60"/>
  <c r="U521" i="60"/>
  <c r="M521" i="60"/>
  <c r="T526" i="60"/>
  <c r="AD527" i="60"/>
  <c r="V527" i="60"/>
  <c r="N527" i="60"/>
  <c r="F527" i="60"/>
  <c r="W526" i="60"/>
  <c r="O526" i="60"/>
  <c r="G526" i="60"/>
  <c r="X525" i="60"/>
  <c r="P525" i="60"/>
  <c r="H525" i="60"/>
  <c r="Y524" i="60"/>
  <c r="Q524" i="60"/>
  <c r="I524" i="60"/>
  <c r="Z523" i="60"/>
  <c r="R523" i="60"/>
  <c r="J523" i="60"/>
  <c r="AA522" i="60"/>
  <c r="S522" i="60"/>
  <c r="K522" i="60"/>
  <c r="AB521" i="60"/>
  <c r="T521" i="60"/>
  <c r="L521" i="60"/>
  <c r="AC527" i="60"/>
  <c r="U527" i="60"/>
  <c r="M527" i="60"/>
  <c r="AD526" i="60"/>
  <c r="V526" i="60"/>
  <c r="N526" i="60"/>
  <c r="F526" i="60"/>
  <c r="W525" i="60"/>
  <c r="O525" i="60"/>
  <c r="G525" i="60"/>
  <c r="X524" i="60"/>
  <c r="P524" i="60"/>
  <c r="H524" i="60"/>
  <c r="Y523" i="60"/>
  <c r="Q523" i="60"/>
  <c r="I523" i="60"/>
  <c r="Z522" i="60"/>
  <c r="R522" i="60"/>
  <c r="J522" i="60"/>
  <c r="AA521" i="60"/>
  <c r="S521" i="60"/>
  <c r="K521" i="60"/>
  <c r="L526" i="60"/>
  <c r="E527" i="60"/>
  <c r="AB527" i="60"/>
  <c r="T527" i="60"/>
  <c r="L527" i="60"/>
  <c r="AC526" i="60"/>
  <c r="U526" i="60"/>
  <c r="M526" i="60"/>
  <c r="AD525" i="60"/>
  <c r="V525" i="60"/>
  <c r="N525" i="60"/>
  <c r="F525" i="60"/>
  <c r="W524" i="60"/>
  <c r="O524" i="60"/>
  <c r="G524" i="60"/>
  <c r="X523" i="60"/>
  <c r="P523" i="60"/>
  <c r="H523" i="60"/>
  <c r="Y522" i="60"/>
  <c r="Q522" i="60"/>
  <c r="I522" i="60"/>
  <c r="Z521" i="60"/>
  <c r="R521" i="60"/>
  <c r="J521" i="60"/>
  <c r="E525" i="60"/>
  <c r="Z527" i="60"/>
  <c r="R527" i="60"/>
  <c r="J527" i="60"/>
  <c r="AA526" i="60"/>
  <c r="S526" i="60"/>
  <c r="K526" i="60"/>
  <c r="AB525" i="60"/>
  <c r="T525" i="60"/>
  <c r="L525" i="60"/>
  <c r="AC524" i="60"/>
  <c r="U524" i="60"/>
  <c r="M524" i="60"/>
  <c r="AD523" i="60"/>
  <c r="V523" i="60"/>
  <c r="N523" i="60"/>
  <c r="W522" i="60"/>
  <c r="O522" i="60"/>
  <c r="G522" i="60"/>
  <c r="P521" i="60"/>
  <c r="H521" i="60"/>
  <c r="D514" i="60"/>
  <c r="D521" i="60" s="1"/>
  <c r="E524" i="60"/>
  <c r="Y527" i="60"/>
  <c r="Q527" i="60"/>
  <c r="I527" i="60"/>
  <c r="Z526" i="60"/>
  <c r="R526" i="60"/>
  <c r="J526" i="60"/>
  <c r="AA525" i="60"/>
  <c r="S525" i="60"/>
  <c r="K525" i="60"/>
  <c r="AB524" i="60"/>
  <c r="T524" i="60"/>
  <c r="L524" i="60"/>
  <c r="AC523" i="60"/>
  <c r="U523" i="60"/>
  <c r="M523" i="60"/>
  <c r="AD522" i="60"/>
  <c r="V522" i="60"/>
  <c r="N522" i="60"/>
  <c r="F522" i="60"/>
  <c r="F521" i="60"/>
  <c r="AD479" i="60"/>
  <c r="V479" i="60"/>
  <c r="N479" i="60"/>
  <c r="F479" i="60"/>
  <c r="O478" i="60"/>
  <c r="X477" i="60"/>
  <c r="P477" i="60"/>
  <c r="H477" i="60"/>
  <c r="Y476" i="60"/>
  <c r="Q476" i="60"/>
  <c r="I476" i="60"/>
  <c r="Z475" i="60"/>
  <c r="R475" i="60"/>
  <c r="J475" i="60"/>
  <c r="AA474" i="60"/>
  <c r="S474" i="60"/>
  <c r="K474" i="60"/>
  <c r="AB473" i="60"/>
  <c r="L473" i="60"/>
  <c r="Q477" i="60"/>
  <c r="AC479" i="60"/>
  <c r="U479" i="60"/>
  <c r="M479" i="60"/>
  <c r="AD478" i="60"/>
  <c r="V478" i="60"/>
  <c r="N478" i="60"/>
  <c r="F478" i="60"/>
  <c r="O477" i="60"/>
  <c r="X476" i="60"/>
  <c r="P476" i="60"/>
  <c r="H476" i="60"/>
  <c r="Y475" i="60"/>
  <c r="Q475" i="60"/>
  <c r="I475" i="60"/>
  <c r="Z474" i="60"/>
  <c r="R474" i="60"/>
  <c r="J474" i="60"/>
  <c r="AA473" i="60"/>
  <c r="S473" i="60"/>
  <c r="AB479" i="60"/>
  <c r="T479" i="60"/>
  <c r="L479" i="60"/>
  <c r="AC478" i="60"/>
  <c r="M478" i="60"/>
  <c r="AD477" i="60"/>
  <c r="V477" i="60"/>
  <c r="N477" i="60"/>
  <c r="F477" i="60"/>
  <c r="O476" i="60"/>
  <c r="X475" i="60"/>
  <c r="H475" i="60"/>
  <c r="Y474" i="60"/>
  <c r="Q474" i="60"/>
  <c r="I474" i="60"/>
  <c r="Z473" i="60"/>
  <c r="R473" i="60"/>
  <c r="J473" i="60"/>
  <c r="AA479" i="60"/>
  <c r="S479" i="60"/>
  <c r="K479" i="60"/>
  <c r="AB478" i="60"/>
  <c r="T478" i="60"/>
  <c r="L478" i="60"/>
  <c r="AC477" i="60"/>
  <c r="U477" i="60"/>
  <c r="AD476" i="60"/>
  <c r="V476" i="60"/>
  <c r="N476" i="60"/>
  <c r="O475" i="60"/>
  <c r="X474" i="60"/>
  <c r="P474" i="60"/>
  <c r="H474" i="60"/>
  <c r="Y473" i="60"/>
  <c r="Q473" i="60"/>
  <c r="I473" i="60"/>
  <c r="P478" i="60"/>
  <c r="Z479" i="60"/>
  <c r="R479" i="60"/>
  <c r="J479" i="60"/>
  <c r="AA478" i="60"/>
  <c r="S478" i="60"/>
  <c r="K478" i="60"/>
  <c r="AB477" i="60"/>
  <c r="T477" i="60"/>
  <c r="L477" i="60"/>
  <c r="AC476" i="60"/>
  <c r="U476" i="60"/>
  <c r="M476" i="60"/>
  <c r="AD475" i="60"/>
  <c r="V475" i="60"/>
  <c r="N475" i="60"/>
  <c r="F475" i="60"/>
  <c r="O474" i="60"/>
  <c r="P473" i="60"/>
  <c r="H473" i="60"/>
  <c r="Y479" i="60"/>
  <c r="Q479" i="60"/>
  <c r="Z478" i="60"/>
  <c r="R478" i="60"/>
  <c r="J478" i="60"/>
  <c r="AA477" i="60"/>
  <c r="S477" i="60"/>
  <c r="K477" i="60"/>
  <c r="AB476" i="60"/>
  <c r="T476" i="60"/>
  <c r="L476" i="60"/>
  <c r="AC475" i="60"/>
  <c r="U475" i="60"/>
  <c r="M475" i="60"/>
  <c r="AD474" i="60"/>
  <c r="V474" i="60"/>
  <c r="N474" i="60"/>
  <c r="F474" i="60"/>
  <c r="AA475" i="60"/>
  <c r="X479" i="60"/>
  <c r="P479" i="60"/>
  <c r="H479" i="60"/>
  <c r="K476" i="60"/>
  <c r="T475" i="60"/>
  <c r="AC474" i="60"/>
  <c r="U474" i="60"/>
  <c r="M474" i="60"/>
  <c r="F473" i="60"/>
  <c r="E479" i="60"/>
  <c r="E475" i="60"/>
  <c r="E478" i="60"/>
  <c r="E474" i="60"/>
  <c r="E477" i="60"/>
  <c r="E476" i="60"/>
  <c r="G466" i="60"/>
  <c r="H194" i="59" s="1"/>
  <c r="J16" i="59" s="1"/>
  <c r="W466" i="60"/>
  <c r="X194" i="59" s="1"/>
  <c r="Z16" i="59" s="1"/>
  <c r="D466" i="60"/>
  <c r="E194" i="59" s="1"/>
  <c r="G418" i="60"/>
  <c r="O418" i="60"/>
  <c r="W418" i="60"/>
  <c r="H432" i="60"/>
  <c r="X432" i="60"/>
  <c r="N432" i="60"/>
  <c r="V432" i="60"/>
  <c r="K432" i="60"/>
  <c r="S432" i="60"/>
  <c r="D418" i="60"/>
  <c r="G370" i="60"/>
  <c r="D369" i="60"/>
  <c r="O370" i="60"/>
  <c r="D322" i="60"/>
  <c r="E191" i="59" s="1"/>
  <c r="AC335" i="60"/>
  <c r="U335" i="60"/>
  <c r="M335" i="60"/>
  <c r="AD334" i="60"/>
  <c r="V334" i="60"/>
  <c r="N334" i="60"/>
  <c r="F334" i="60"/>
  <c r="W333" i="60"/>
  <c r="O333" i="60"/>
  <c r="G333" i="60"/>
  <c r="X332" i="60"/>
  <c r="P332" i="60"/>
  <c r="H332" i="60"/>
  <c r="Y331" i="60"/>
  <c r="Q331" i="60"/>
  <c r="I331" i="60"/>
  <c r="Z330" i="60"/>
  <c r="R330" i="60"/>
  <c r="J330" i="60"/>
  <c r="AA329" i="60"/>
  <c r="S329" i="60"/>
  <c r="K329" i="60"/>
  <c r="AB335" i="60"/>
  <c r="T335" i="60"/>
  <c r="L335" i="60"/>
  <c r="AC334" i="60"/>
  <c r="U334" i="60"/>
  <c r="M334" i="60"/>
  <c r="AD333" i="60"/>
  <c r="V333" i="60"/>
  <c r="N333" i="60"/>
  <c r="F333" i="60"/>
  <c r="O332" i="60"/>
  <c r="G332" i="60"/>
  <c r="X331" i="60"/>
  <c r="P331" i="60"/>
  <c r="H331" i="60"/>
  <c r="Y330" i="60"/>
  <c r="Q330" i="60"/>
  <c r="I330" i="60"/>
  <c r="Z329" i="60"/>
  <c r="R329" i="60"/>
  <c r="J329" i="60"/>
  <c r="AA335" i="60"/>
  <c r="S335" i="60"/>
  <c r="K335" i="60"/>
  <c r="AB334" i="60"/>
  <c r="T334" i="60"/>
  <c r="L334" i="60"/>
  <c r="AC333" i="60"/>
  <c r="U333" i="60"/>
  <c r="M333" i="60"/>
  <c r="AD332" i="60"/>
  <c r="V332" i="60"/>
  <c r="N332" i="60"/>
  <c r="F332" i="60"/>
  <c r="W331" i="60"/>
  <c r="O331" i="60"/>
  <c r="G331" i="60"/>
  <c r="X330" i="60"/>
  <c r="P330" i="60"/>
  <c r="H330" i="60"/>
  <c r="Y329" i="60"/>
  <c r="Q329" i="60"/>
  <c r="I329" i="60"/>
  <c r="R331" i="60"/>
  <c r="Z335" i="60"/>
  <c r="R335" i="60"/>
  <c r="J335" i="60"/>
  <c r="M332" i="60"/>
  <c r="AD331" i="60"/>
  <c r="V331" i="60"/>
  <c r="N331" i="60"/>
  <c r="F331" i="60"/>
  <c r="Z331" i="60"/>
  <c r="J331" i="60"/>
  <c r="Z334" i="60"/>
  <c r="R334" i="60"/>
  <c r="J334" i="60"/>
  <c r="AC331" i="60"/>
  <c r="U331" i="60"/>
  <c r="M331" i="60"/>
  <c r="AD330" i="60"/>
  <c r="V330" i="60"/>
  <c r="N330" i="60"/>
  <c r="F330" i="60"/>
  <c r="X335" i="60"/>
  <c r="P335" i="60"/>
  <c r="H335" i="60"/>
  <c r="Y334" i="60"/>
  <c r="Q334" i="60"/>
  <c r="I334" i="60"/>
  <c r="Z333" i="60"/>
  <c r="R333" i="60"/>
  <c r="J333" i="60"/>
  <c r="AA332" i="60"/>
  <c r="S332" i="60"/>
  <c r="K332" i="60"/>
  <c r="AB331" i="60"/>
  <c r="T331" i="60"/>
  <c r="L331" i="60"/>
  <c r="AC330" i="60"/>
  <c r="U330" i="60"/>
  <c r="M330" i="60"/>
  <c r="W335" i="60"/>
  <c r="AC329" i="60"/>
  <c r="U329" i="60"/>
  <c r="E332" i="60"/>
  <c r="E335" i="60"/>
  <c r="E331" i="60"/>
  <c r="E334" i="60"/>
  <c r="E330" i="60"/>
  <c r="E333" i="60"/>
  <c r="D286" i="60"/>
  <c r="D282" i="60"/>
  <c r="AA287" i="60"/>
  <c r="S287" i="60"/>
  <c r="K287" i="60"/>
  <c r="AC286" i="60"/>
  <c r="U286" i="60"/>
  <c r="M286" i="60"/>
  <c r="E286" i="60"/>
  <c r="W285" i="60"/>
  <c r="N285" i="60"/>
  <c r="F285" i="60"/>
  <c r="X284" i="60"/>
  <c r="P284" i="60"/>
  <c r="H284" i="60"/>
  <c r="Z283" i="60"/>
  <c r="R283" i="60"/>
  <c r="J283" i="60"/>
  <c r="AB282" i="60"/>
  <c r="T282" i="60"/>
  <c r="L282" i="60"/>
  <c r="AD281" i="60"/>
  <c r="V281" i="60"/>
  <c r="N281" i="60"/>
  <c r="F281" i="60"/>
  <c r="W281" i="60"/>
  <c r="Z287" i="60"/>
  <c r="R287" i="60"/>
  <c r="J287" i="60"/>
  <c r="AB286" i="60"/>
  <c r="T286" i="60"/>
  <c r="L286" i="60"/>
  <c r="AD285" i="60"/>
  <c r="V285" i="60"/>
  <c r="M285" i="60"/>
  <c r="E285" i="60"/>
  <c r="W284" i="60"/>
  <c r="O284" i="60"/>
  <c r="G284" i="60"/>
  <c r="Y283" i="60"/>
  <c r="Q283" i="60"/>
  <c r="I283" i="60"/>
  <c r="AA282" i="60"/>
  <c r="S282" i="60"/>
  <c r="K282" i="60"/>
  <c r="AC281" i="60"/>
  <c r="U281" i="60"/>
  <c r="M281" i="60"/>
  <c r="E281" i="60"/>
  <c r="S283" i="60"/>
  <c r="Y287" i="60"/>
  <c r="Q287" i="60"/>
  <c r="I287" i="60"/>
  <c r="AA286" i="60"/>
  <c r="S286" i="60"/>
  <c r="K286" i="60"/>
  <c r="AC285" i="60"/>
  <c r="U285" i="60"/>
  <c r="L285" i="60"/>
  <c r="AD284" i="60"/>
  <c r="V284" i="60"/>
  <c r="N284" i="60"/>
  <c r="F284" i="60"/>
  <c r="X283" i="60"/>
  <c r="P283" i="60"/>
  <c r="H283" i="60"/>
  <c r="Z282" i="60"/>
  <c r="R282" i="60"/>
  <c r="J282" i="60"/>
  <c r="AB281" i="60"/>
  <c r="T281" i="60"/>
  <c r="L281" i="60"/>
  <c r="Q285" i="60"/>
  <c r="X287" i="60"/>
  <c r="P287" i="60"/>
  <c r="H287" i="60"/>
  <c r="Z286" i="60"/>
  <c r="R286" i="60"/>
  <c r="J286" i="60"/>
  <c r="AB285" i="60"/>
  <c r="T285" i="60"/>
  <c r="K285" i="60"/>
  <c r="AC284" i="60"/>
  <c r="U284" i="60"/>
  <c r="M284" i="60"/>
  <c r="E284" i="60"/>
  <c r="W283" i="60"/>
  <c r="O283" i="60"/>
  <c r="G283" i="60"/>
  <c r="Y282" i="60"/>
  <c r="Q282" i="60"/>
  <c r="I282" i="60"/>
  <c r="AA281" i="60"/>
  <c r="S281" i="60"/>
  <c r="K281" i="60"/>
  <c r="W287" i="60"/>
  <c r="O287" i="60"/>
  <c r="G287" i="60"/>
  <c r="Y286" i="60"/>
  <c r="Q286" i="60"/>
  <c r="I286" i="60"/>
  <c r="AA285" i="60"/>
  <c r="S285" i="60"/>
  <c r="J285" i="60"/>
  <c r="AB284" i="60"/>
  <c r="T284" i="60"/>
  <c r="L284" i="60"/>
  <c r="AD283" i="60"/>
  <c r="V283" i="60"/>
  <c r="N283" i="60"/>
  <c r="F283" i="60"/>
  <c r="X282" i="60"/>
  <c r="P282" i="60"/>
  <c r="H282" i="60"/>
  <c r="Z281" i="60"/>
  <c r="R281" i="60"/>
  <c r="J281" i="60"/>
  <c r="AD287" i="60"/>
  <c r="V287" i="60"/>
  <c r="N287" i="60"/>
  <c r="F287" i="60"/>
  <c r="X286" i="60"/>
  <c r="P286" i="60"/>
  <c r="H286" i="60"/>
  <c r="Z285" i="60"/>
  <c r="R285" i="60"/>
  <c r="I285" i="60"/>
  <c r="AC283" i="60"/>
  <c r="U283" i="60"/>
  <c r="M283" i="60"/>
  <c r="E283" i="60"/>
  <c r="W282" i="60"/>
  <c r="O282" i="60"/>
  <c r="G282" i="60"/>
  <c r="Y281" i="60"/>
  <c r="AB287" i="60"/>
  <c r="AC287" i="60"/>
  <c r="U287" i="60"/>
  <c r="M287" i="60"/>
  <c r="E287" i="60"/>
  <c r="P285" i="60"/>
  <c r="H285" i="60"/>
  <c r="D287" i="60"/>
  <c r="U188" i="60"/>
  <c r="U185" i="60"/>
  <c r="N235" i="60"/>
  <c r="E239" i="60"/>
  <c r="D226" i="60"/>
  <c r="E189" i="60"/>
  <c r="Z237" i="60"/>
  <c r="L237" i="60"/>
  <c r="AD236" i="60"/>
  <c r="V236" i="60"/>
  <c r="V235" i="60"/>
  <c r="AC237" i="60"/>
  <c r="S238" i="60"/>
  <c r="U237" i="60"/>
  <c r="T236" i="60"/>
  <c r="H235" i="60"/>
  <c r="R238" i="60"/>
  <c r="T237" i="60"/>
  <c r="N236" i="60"/>
  <c r="X234" i="60"/>
  <c r="P238" i="60"/>
  <c r="R237" i="60"/>
  <c r="L236" i="60"/>
  <c r="P234" i="60"/>
  <c r="J238" i="60"/>
  <c r="M237" i="60"/>
  <c r="AD235" i="60"/>
  <c r="Z233" i="60"/>
  <c r="H238" i="60"/>
  <c r="X235" i="60"/>
  <c r="R233" i="60"/>
  <c r="X238" i="60"/>
  <c r="AA238" i="60"/>
  <c r="AB237" i="60"/>
  <c r="AB236" i="60"/>
  <c r="P235" i="60"/>
  <c r="F235" i="60"/>
  <c r="J237" i="60"/>
  <c r="F236" i="60"/>
  <c r="E237" i="60"/>
  <c r="H234" i="60"/>
  <c r="K238" i="60"/>
  <c r="J233" i="60"/>
  <c r="W239" i="60"/>
  <c r="AD239" i="60"/>
  <c r="V239" i="60"/>
  <c r="N239" i="60"/>
  <c r="W238" i="60"/>
  <c r="O238" i="60"/>
  <c r="G238" i="60"/>
  <c r="Y237" i="60"/>
  <c r="Q237" i="60"/>
  <c r="I237" i="60"/>
  <c r="AA236" i="60"/>
  <c r="S236" i="60"/>
  <c r="K236" i="60"/>
  <c r="AC235" i="60"/>
  <c r="U235" i="60"/>
  <c r="M235" i="60"/>
  <c r="E235" i="60"/>
  <c r="W234" i="60"/>
  <c r="O234" i="60"/>
  <c r="G234" i="60"/>
  <c r="Y233" i="60"/>
  <c r="Q233" i="60"/>
  <c r="I233" i="60"/>
  <c r="G239" i="60"/>
  <c r="AC239" i="60"/>
  <c r="U239" i="60"/>
  <c r="M239" i="60"/>
  <c r="AD238" i="60"/>
  <c r="V238" i="60"/>
  <c r="N238" i="60"/>
  <c r="F238" i="60"/>
  <c r="X237" i="60"/>
  <c r="P237" i="60"/>
  <c r="H237" i="60"/>
  <c r="Z236" i="60"/>
  <c r="R236" i="60"/>
  <c r="J236" i="60"/>
  <c r="AB235" i="60"/>
  <c r="T235" i="60"/>
  <c r="L235" i="60"/>
  <c r="AD234" i="60"/>
  <c r="V234" i="60"/>
  <c r="N234" i="60"/>
  <c r="F234" i="60"/>
  <c r="X233" i="60"/>
  <c r="P233" i="60"/>
  <c r="H233" i="60"/>
  <c r="AB239" i="60"/>
  <c r="T239" i="60"/>
  <c r="L239" i="60"/>
  <c r="AC238" i="60"/>
  <c r="U238" i="60"/>
  <c r="M238" i="60"/>
  <c r="E238" i="60"/>
  <c r="W237" i="60"/>
  <c r="O237" i="60"/>
  <c r="G237" i="60"/>
  <c r="Y236" i="60"/>
  <c r="Q236" i="60"/>
  <c r="I236" i="60"/>
  <c r="AA235" i="60"/>
  <c r="S235" i="60"/>
  <c r="K235" i="60"/>
  <c r="AC234" i="60"/>
  <c r="U234" i="60"/>
  <c r="M234" i="60"/>
  <c r="E234" i="60"/>
  <c r="W233" i="60"/>
  <c r="O233" i="60"/>
  <c r="G233" i="60"/>
  <c r="O239" i="60"/>
  <c r="AA239" i="60"/>
  <c r="S239" i="60"/>
  <c r="K239" i="60"/>
  <c r="AB238" i="60"/>
  <c r="T238" i="60"/>
  <c r="L238" i="60"/>
  <c r="AD237" i="60"/>
  <c r="V237" i="60"/>
  <c r="N237" i="60"/>
  <c r="F237" i="60"/>
  <c r="X236" i="60"/>
  <c r="P236" i="60"/>
  <c r="H236" i="60"/>
  <c r="Z235" i="60"/>
  <c r="R235" i="60"/>
  <c r="J235" i="60"/>
  <c r="AB234" i="60"/>
  <c r="T234" i="60"/>
  <c r="L234" i="60"/>
  <c r="E233" i="60"/>
  <c r="Z239" i="60"/>
  <c r="R239" i="60"/>
  <c r="J239" i="60"/>
  <c r="W236" i="60"/>
  <c r="O236" i="60"/>
  <c r="G236" i="60"/>
  <c r="Y235" i="60"/>
  <c r="Q235" i="60"/>
  <c r="I235" i="60"/>
  <c r="AA234" i="60"/>
  <c r="S234" i="60"/>
  <c r="K234" i="60"/>
  <c r="AC233" i="60"/>
  <c r="U233" i="60"/>
  <c r="M233" i="60"/>
  <c r="Y239" i="60"/>
  <c r="Q239" i="60"/>
  <c r="I239" i="60"/>
  <c r="Z238" i="60"/>
  <c r="F233" i="60"/>
  <c r="Y238" i="60"/>
  <c r="Q238" i="60"/>
  <c r="I238" i="60"/>
  <c r="AA237" i="60"/>
  <c r="S237" i="60"/>
  <c r="K237" i="60"/>
  <c r="G188" i="60"/>
  <c r="T184" i="60"/>
  <c r="E188" i="60"/>
  <c r="D177" i="60"/>
  <c r="J185" i="60"/>
  <c r="W187" i="60"/>
  <c r="Z186" i="60"/>
  <c r="P186" i="60"/>
  <c r="AC188" i="60"/>
  <c r="R185" i="60"/>
  <c r="N189" i="60"/>
  <c r="P188" i="60"/>
  <c r="R187" i="60"/>
  <c r="J186" i="60"/>
  <c r="E185" i="60"/>
  <c r="F187" i="60"/>
  <c r="F184" i="60"/>
  <c r="Q190" i="60"/>
  <c r="M189" i="60"/>
  <c r="O188" i="60"/>
  <c r="O187" i="60"/>
  <c r="H186" i="60"/>
  <c r="AD184" i="60"/>
  <c r="AD189" i="60"/>
  <c r="M188" i="60"/>
  <c r="J187" i="60"/>
  <c r="AC185" i="60"/>
  <c r="AB184" i="60"/>
  <c r="AC189" i="60"/>
  <c r="F189" i="60"/>
  <c r="H188" i="60"/>
  <c r="G187" i="60"/>
  <c r="Z185" i="60"/>
  <c r="V184" i="60"/>
  <c r="V189" i="60"/>
  <c r="X186" i="60"/>
  <c r="N184" i="60"/>
  <c r="U189" i="60"/>
  <c r="X188" i="60"/>
  <c r="Z187" i="60"/>
  <c r="R186" i="60"/>
  <c r="M185" i="60"/>
  <c r="L184" i="60"/>
  <c r="Y190" i="60"/>
  <c r="X190" i="60"/>
  <c r="P190" i="60"/>
  <c r="H190" i="60"/>
  <c r="Z189" i="60"/>
  <c r="R189" i="60"/>
  <c r="J189" i="60"/>
  <c r="AB188" i="60"/>
  <c r="T188" i="60"/>
  <c r="L188" i="60"/>
  <c r="AD187" i="60"/>
  <c r="V187" i="60"/>
  <c r="N187" i="60"/>
  <c r="E187" i="60"/>
  <c r="W186" i="60"/>
  <c r="O186" i="60"/>
  <c r="G186" i="60"/>
  <c r="Y185" i="60"/>
  <c r="Q185" i="60"/>
  <c r="I185" i="60"/>
  <c r="AA184" i="60"/>
  <c r="S184" i="60"/>
  <c r="K184" i="60"/>
  <c r="W190" i="60"/>
  <c r="O190" i="60"/>
  <c r="G190" i="60"/>
  <c r="Y189" i="60"/>
  <c r="Q189" i="60"/>
  <c r="I189" i="60"/>
  <c r="AA188" i="60"/>
  <c r="S188" i="60"/>
  <c r="K188" i="60"/>
  <c r="AC187" i="60"/>
  <c r="U187" i="60"/>
  <c r="M187" i="60"/>
  <c r="AD186" i="60"/>
  <c r="V186" i="60"/>
  <c r="N186" i="60"/>
  <c r="F186" i="60"/>
  <c r="X185" i="60"/>
  <c r="P185" i="60"/>
  <c r="H185" i="60"/>
  <c r="Z184" i="60"/>
  <c r="R184" i="60"/>
  <c r="J184" i="60"/>
  <c r="AD190" i="60"/>
  <c r="V190" i="60"/>
  <c r="N190" i="60"/>
  <c r="F190" i="60"/>
  <c r="X189" i="60"/>
  <c r="P189" i="60"/>
  <c r="H189" i="60"/>
  <c r="Z188" i="60"/>
  <c r="R188" i="60"/>
  <c r="J188" i="60"/>
  <c r="AB187" i="60"/>
  <c r="T187" i="60"/>
  <c r="L187" i="60"/>
  <c r="AC186" i="60"/>
  <c r="U186" i="60"/>
  <c r="M186" i="60"/>
  <c r="E186" i="60"/>
  <c r="W185" i="60"/>
  <c r="O185" i="60"/>
  <c r="G185" i="60"/>
  <c r="Y184" i="60"/>
  <c r="Y191" i="60" s="1"/>
  <c r="Q184" i="60"/>
  <c r="I184" i="60"/>
  <c r="I191" i="60" s="1"/>
  <c r="AC190" i="60"/>
  <c r="U190" i="60"/>
  <c r="M190" i="60"/>
  <c r="E190" i="60"/>
  <c r="W189" i="60"/>
  <c r="O189" i="60"/>
  <c r="G189" i="60"/>
  <c r="Y188" i="60"/>
  <c r="Q188" i="60"/>
  <c r="I188" i="60"/>
  <c r="AA187" i="60"/>
  <c r="S187" i="60"/>
  <c r="K187" i="60"/>
  <c r="AB186" i="60"/>
  <c r="T186" i="60"/>
  <c r="L186" i="60"/>
  <c r="AD185" i="60"/>
  <c r="V185" i="60"/>
  <c r="N185" i="60"/>
  <c r="F185" i="60"/>
  <c r="X184" i="60"/>
  <c r="P184" i="60"/>
  <c r="H184" i="60"/>
  <c r="AB190" i="60"/>
  <c r="T190" i="60"/>
  <c r="L190" i="60"/>
  <c r="AA186" i="60"/>
  <c r="S186" i="60"/>
  <c r="K186" i="60"/>
  <c r="W184" i="60"/>
  <c r="AA190" i="60"/>
  <c r="S190" i="60"/>
  <c r="K190" i="60"/>
  <c r="Y187" i="60"/>
  <c r="Q187" i="60"/>
  <c r="I187" i="60"/>
  <c r="AB185" i="60"/>
  <c r="T185" i="60"/>
  <c r="L185" i="60"/>
  <c r="AA185" i="60"/>
  <c r="S185" i="60"/>
  <c r="K185" i="60"/>
  <c r="D126" i="60"/>
  <c r="AD130" i="60"/>
  <c r="AC130" i="60"/>
  <c r="AB130" i="60"/>
  <c r="AA130" i="60"/>
  <c r="Z130" i="60"/>
  <c r="Y130" i="60"/>
  <c r="X130" i="60"/>
  <c r="W130" i="60"/>
  <c r="V130" i="60"/>
  <c r="U130" i="60"/>
  <c r="T130" i="60"/>
  <c r="S130" i="60"/>
  <c r="R130" i="60"/>
  <c r="Q130" i="60"/>
  <c r="P130" i="60"/>
  <c r="O130" i="60"/>
  <c r="N130" i="60"/>
  <c r="M130" i="60"/>
  <c r="L130" i="60"/>
  <c r="K130" i="60"/>
  <c r="J130" i="60"/>
  <c r="I130" i="60"/>
  <c r="H130" i="60"/>
  <c r="G130" i="60"/>
  <c r="F130" i="60"/>
  <c r="E130" i="60"/>
  <c r="D129" i="60"/>
  <c r="D128" i="60"/>
  <c r="D127" i="60"/>
  <c r="D125" i="60"/>
  <c r="D124" i="60"/>
  <c r="D123" i="60"/>
  <c r="E83" i="60"/>
  <c r="D77" i="60"/>
  <c r="D78" i="60"/>
  <c r="D79" i="60"/>
  <c r="D80" i="60"/>
  <c r="D81" i="60"/>
  <c r="D82" i="60"/>
  <c r="D76" i="60"/>
  <c r="E75" i="60"/>
  <c r="E89" i="60" s="1"/>
  <c r="E102" i="60" s="1"/>
  <c r="E115" i="60" s="1"/>
  <c r="E122" i="60" s="1"/>
  <c r="E136" i="60" s="1"/>
  <c r="E149" i="60" s="1"/>
  <c r="E161" i="60" s="1"/>
  <c r="E169" i="60" s="1"/>
  <c r="E183" i="60" s="1"/>
  <c r="E196" i="60" s="1"/>
  <c r="E209" i="60" s="1"/>
  <c r="E218" i="60" s="1"/>
  <c r="E232" i="60" s="1"/>
  <c r="E245" i="60" s="1"/>
  <c r="E258" i="60" s="1"/>
  <c r="E266" i="60" s="1"/>
  <c r="E280" i="60" s="1"/>
  <c r="E293" i="60" s="1"/>
  <c r="E306" i="60" s="1"/>
  <c r="E314" i="60" s="1"/>
  <c r="E328" i="60" s="1"/>
  <c r="E341" i="60" s="1"/>
  <c r="E354" i="60" s="1"/>
  <c r="E362" i="60" s="1"/>
  <c r="E376" i="60" s="1"/>
  <c r="E389" i="60" s="1"/>
  <c r="E402" i="60" s="1"/>
  <c r="E410" i="60" s="1"/>
  <c r="E424" i="60" s="1"/>
  <c r="E437" i="60" s="1"/>
  <c r="E450" i="60" s="1"/>
  <c r="E458" i="60" s="1"/>
  <c r="E472" i="60" s="1"/>
  <c r="E485" i="60" s="1"/>
  <c r="E498" i="60" s="1"/>
  <c r="E506" i="60" s="1"/>
  <c r="E520" i="60" s="1"/>
  <c r="E533" i="60" s="1"/>
  <c r="E546" i="60" s="1"/>
  <c r="E554" i="60" s="1"/>
  <c r="E568" i="60" s="1"/>
  <c r="E581" i="60" s="1"/>
  <c r="E594" i="60" s="1"/>
  <c r="E602" i="60" s="1"/>
  <c r="E616" i="60" s="1"/>
  <c r="E629" i="60" s="1"/>
  <c r="E642" i="60" s="1"/>
  <c r="F75" i="60"/>
  <c r="F89" i="60" s="1"/>
  <c r="F102" i="60" s="1"/>
  <c r="F115" i="60" s="1"/>
  <c r="F122" i="60" s="1"/>
  <c r="F136" i="60" s="1"/>
  <c r="F149" i="60" s="1"/>
  <c r="F161" i="60" s="1"/>
  <c r="F169" i="60" s="1"/>
  <c r="F183" i="60" s="1"/>
  <c r="F196" i="60" s="1"/>
  <c r="F209" i="60" s="1"/>
  <c r="F218" i="60" s="1"/>
  <c r="F232" i="60" s="1"/>
  <c r="F245" i="60" s="1"/>
  <c r="F258" i="60" s="1"/>
  <c r="F266" i="60" s="1"/>
  <c r="F280" i="60" s="1"/>
  <c r="F293" i="60" s="1"/>
  <c r="F306" i="60" s="1"/>
  <c r="F314" i="60" s="1"/>
  <c r="F328" i="60" s="1"/>
  <c r="F341" i="60" s="1"/>
  <c r="F354" i="60" s="1"/>
  <c r="F362" i="60" s="1"/>
  <c r="F376" i="60" s="1"/>
  <c r="F389" i="60" s="1"/>
  <c r="F402" i="60" s="1"/>
  <c r="F410" i="60" s="1"/>
  <c r="F424" i="60" s="1"/>
  <c r="F437" i="60" s="1"/>
  <c r="F450" i="60" s="1"/>
  <c r="F458" i="60" s="1"/>
  <c r="F472" i="60" s="1"/>
  <c r="F485" i="60" s="1"/>
  <c r="F498" i="60" s="1"/>
  <c r="F506" i="60" s="1"/>
  <c r="F520" i="60" s="1"/>
  <c r="F533" i="60" s="1"/>
  <c r="F546" i="60" s="1"/>
  <c r="F554" i="60" s="1"/>
  <c r="F568" i="60" s="1"/>
  <c r="F581" i="60" s="1"/>
  <c r="F594" i="60" s="1"/>
  <c r="F602" i="60" s="1"/>
  <c r="F616" i="60" s="1"/>
  <c r="F629" i="60" s="1"/>
  <c r="F642" i="60" s="1"/>
  <c r="G75" i="60"/>
  <c r="G89" i="60" s="1"/>
  <c r="G102" i="60" s="1"/>
  <c r="G115" i="60" s="1"/>
  <c r="G122" i="60" s="1"/>
  <c r="G136" i="60" s="1"/>
  <c r="G149" i="60" s="1"/>
  <c r="G161" i="60" s="1"/>
  <c r="G169" i="60" s="1"/>
  <c r="G183" i="60" s="1"/>
  <c r="G196" i="60" s="1"/>
  <c r="G209" i="60" s="1"/>
  <c r="G218" i="60" s="1"/>
  <c r="G232" i="60" s="1"/>
  <c r="G245" i="60" s="1"/>
  <c r="G258" i="60" s="1"/>
  <c r="G266" i="60" s="1"/>
  <c r="G280" i="60" s="1"/>
  <c r="G293" i="60" s="1"/>
  <c r="G306" i="60" s="1"/>
  <c r="G314" i="60" s="1"/>
  <c r="G328" i="60" s="1"/>
  <c r="G341" i="60" s="1"/>
  <c r="G354" i="60" s="1"/>
  <c r="G362" i="60" s="1"/>
  <c r="G376" i="60" s="1"/>
  <c r="G389" i="60" s="1"/>
  <c r="G402" i="60" s="1"/>
  <c r="G410" i="60" s="1"/>
  <c r="G424" i="60" s="1"/>
  <c r="G437" i="60" s="1"/>
  <c r="G450" i="60" s="1"/>
  <c r="G458" i="60" s="1"/>
  <c r="G472" i="60" s="1"/>
  <c r="G485" i="60" s="1"/>
  <c r="G498" i="60" s="1"/>
  <c r="G506" i="60" s="1"/>
  <c r="G520" i="60" s="1"/>
  <c r="G533" i="60" s="1"/>
  <c r="G546" i="60" s="1"/>
  <c r="G554" i="60" s="1"/>
  <c r="G568" i="60" s="1"/>
  <c r="G581" i="60" s="1"/>
  <c r="G594" i="60" s="1"/>
  <c r="G602" i="60" s="1"/>
  <c r="G616" i="60" s="1"/>
  <c r="G629" i="60" s="1"/>
  <c r="G642" i="60" s="1"/>
  <c r="H75" i="60"/>
  <c r="H89" i="60" s="1"/>
  <c r="H102" i="60" s="1"/>
  <c r="H115" i="60" s="1"/>
  <c r="H122" i="60" s="1"/>
  <c r="H136" i="60" s="1"/>
  <c r="H149" i="60" s="1"/>
  <c r="H161" i="60" s="1"/>
  <c r="H169" i="60" s="1"/>
  <c r="H183" i="60" s="1"/>
  <c r="H196" i="60" s="1"/>
  <c r="H209" i="60" s="1"/>
  <c r="H218" i="60" s="1"/>
  <c r="H232" i="60" s="1"/>
  <c r="H245" i="60" s="1"/>
  <c r="H258" i="60" s="1"/>
  <c r="H266" i="60" s="1"/>
  <c r="H280" i="60" s="1"/>
  <c r="H293" i="60" s="1"/>
  <c r="H306" i="60" s="1"/>
  <c r="H314" i="60" s="1"/>
  <c r="H328" i="60" s="1"/>
  <c r="H341" i="60" s="1"/>
  <c r="H354" i="60" s="1"/>
  <c r="H362" i="60" s="1"/>
  <c r="H376" i="60" s="1"/>
  <c r="H389" i="60" s="1"/>
  <c r="H402" i="60" s="1"/>
  <c r="H410" i="60" s="1"/>
  <c r="H424" i="60" s="1"/>
  <c r="H437" i="60" s="1"/>
  <c r="H450" i="60" s="1"/>
  <c r="H458" i="60" s="1"/>
  <c r="H472" i="60" s="1"/>
  <c r="H485" i="60" s="1"/>
  <c r="H498" i="60" s="1"/>
  <c r="H506" i="60" s="1"/>
  <c r="H520" i="60" s="1"/>
  <c r="H533" i="60" s="1"/>
  <c r="H546" i="60" s="1"/>
  <c r="H554" i="60" s="1"/>
  <c r="H568" i="60" s="1"/>
  <c r="H581" i="60" s="1"/>
  <c r="H594" i="60" s="1"/>
  <c r="H602" i="60" s="1"/>
  <c r="H616" i="60" s="1"/>
  <c r="H629" i="60" s="1"/>
  <c r="H642" i="60" s="1"/>
  <c r="I75" i="60"/>
  <c r="I89" i="60" s="1"/>
  <c r="I102" i="60" s="1"/>
  <c r="I115" i="60" s="1"/>
  <c r="I122" i="60" s="1"/>
  <c r="I136" i="60" s="1"/>
  <c r="I149" i="60" s="1"/>
  <c r="I161" i="60" s="1"/>
  <c r="I169" i="60" s="1"/>
  <c r="I183" i="60" s="1"/>
  <c r="I196" i="60" s="1"/>
  <c r="I209" i="60" s="1"/>
  <c r="I218" i="60" s="1"/>
  <c r="I232" i="60" s="1"/>
  <c r="I245" i="60" s="1"/>
  <c r="I258" i="60" s="1"/>
  <c r="I266" i="60" s="1"/>
  <c r="I280" i="60" s="1"/>
  <c r="I293" i="60" s="1"/>
  <c r="I306" i="60" s="1"/>
  <c r="I314" i="60" s="1"/>
  <c r="I328" i="60" s="1"/>
  <c r="I341" i="60" s="1"/>
  <c r="I354" i="60" s="1"/>
  <c r="I362" i="60" s="1"/>
  <c r="I376" i="60" s="1"/>
  <c r="I389" i="60" s="1"/>
  <c r="I402" i="60" s="1"/>
  <c r="I410" i="60" s="1"/>
  <c r="I424" i="60" s="1"/>
  <c r="I437" i="60" s="1"/>
  <c r="I450" i="60" s="1"/>
  <c r="I458" i="60" s="1"/>
  <c r="I472" i="60" s="1"/>
  <c r="I485" i="60" s="1"/>
  <c r="I498" i="60" s="1"/>
  <c r="I506" i="60" s="1"/>
  <c r="I520" i="60" s="1"/>
  <c r="I533" i="60" s="1"/>
  <c r="I546" i="60" s="1"/>
  <c r="I554" i="60" s="1"/>
  <c r="I568" i="60" s="1"/>
  <c r="I581" i="60" s="1"/>
  <c r="I594" i="60" s="1"/>
  <c r="I602" i="60" s="1"/>
  <c r="I616" i="60" s="1"/>
  <c r="I629" i="60" s="1"/>
  <c r="I642" i="60" s="1"/>
  <c r="J75" i="60"/>
  <c r="J89" i="60" s="1"/>
  <c r="J102" i="60" s="1"/>
  <c r="J115" i="60" s="1"/>
  <c r="J122" i="60" s="1"/>
  <c r="J136" i="60" s="1"/>
  <c r="J149" i="60" s="1"/>
  <c r="J161" i="60" s="1"/>
  <c r="J169" i="60" s="1"/>
  <c r="J183" i="60" s="1"/>
  <c r="J196" i="60" s="1"/>
  <c r="J209" i="60" s="1"/>
  <c r="J218" i="60" s="1"/>
  <c r="J232" i="60" s="1"/>
  <c r="J245" i="60" s="1"/>
  <c r="J258" i="60" s="1"/>
  <c r="J266" i="60" s="1"/>
  <c r="J280" i="60" s="1"/>
  <c r="J293" i="60" s="1"/>
  <c r="J306" i="60" s="1"/>
  <c r="J314" i="60" s="1"/>
  <c r="J328" i="60" s="1"/>
  <c r="J341" i="60" s="1"/>
  <c r="J354" i="60" s="1"/>
  <c r="J362" i="60" s="1"/>
  <c r="J376" i="60" s="1"/>
  <c r="J389" i="60" s="1"/>
  <c r="J402" i="60" s="1"/>
  <c r="J410" i="60" s="1"/>
  <c r="J424" i="60" s="1"/>
  <c r="J437" i="60" s="1"/>
  <c r="J450" i="60" s="1"/>
  <c r="J458" i="60" s="1"/>
  <c r="J472" i="60" s="1"/>
  <c r="J485" i="60" s="1"/>
  <c r="J498" i="60" s="1"/>
  <c r="J506" i="60" s="1"/>
  <c r="J520" i="60" s="1"/>
  <c r="J533" i="60" s="1"/>
  <c r="J546" i="60" s="1"/>
  <c r="J554" i="60" s="1"/>
  <c r="J568" i="60" s="1"/>
  <c r="J581" i="60" s="1"/>
  <c r="J594" i="60" s="1"/>
  <c r="J602" i="60" s="1"/>
  <c r="J616" i="60" s="1"/>
  <c r="J629" i="60" s="1"/>
  <c r="J642" i="60" s="1"/>
  <c r="K75" i="60"/>
  <c r="K89" i="60" s="1"/>
  <c r="K102" i="60" s="1"/>
  <c r="K115" i="60" s="1"/>
  <c r="K122" i="60" s="1"/>
  <c r="K136" i="60" s="1"/>
  <c r="K149" i="60" s="1"/>
  <c r="K161" i="60" s="1"/>
  <c r="K169" i="60" s="1"/>
  <c r="K183" i="60" s="1"/>
  <c r="K196" i="60" s="1"/>
  <c r="K209" i="60" s="1"/>
  <c r="K218" i="60" s="1"/>
  <c r="K232" i="60" s="1"/>
  <c r="K245" i="60" s="1"/>
  <c r="K258" i="60" s="1"/>
  <c r="K266" i="60" s="1"/>
  <c r="K280" i="60" s="1"/>
  <c r="K293" i="60" s="1"/>
  <c r="K306" i="60" s="1"/>
  <c r="K314" i="60" s="1"/>
  <c r="K328" i="60" s="1"/>
  <c r="K341" i="60" s="1"/>
  <c r="K354" i="60" s="1"/>
  <c r="K362" i="60" s="1"/>
  <c r="K376" i="60" s="1"/>
  <c r="K389" i="60" s="1"/>
  <c r="K402" i="60" s="1"/>
  <c r="K410" i="60" s="1"/>
  <c r="K424" i="60" s="1"/>
  <c r="K437" i="60" s="1"/>
  <c r="K450" i="60" s="1"/>
  <c r="K458" i="60" s="1"/>
  <c r="K472" i="60" s="1"/>
  <c r="K485" i="60" s="1"/>
  <c r="K498" i="60" s="1"/>
  <c r="K506" i="60" s="1"/>
  <c r="K520" i="60" s="1"/>
  <c r="K533" i="60" s="1"/>
  <c r="K546" i="60" s="1"/>
  <c r="K554" i="60" s="1"/>
  <c r="K568" i="60" s="1"/>
  <c r="K581" i="60" s="1"/>
  <c r="K594" i="60" s="1"/>
  <c r="K602" i="60" s="1"/>
  <c r="K616" i="60" s="1"/>
  <c r="K629" i="60" s="1"/>
  <c r="K642" i="60" s="1"/>
  <c r="L75" i="60"/>
  <c r="L89" i="60" s="1"/>
  <c r="L102" i="60" s="1"/>
  <c r="L115" i="60" s="1"/>
  <c r="L122" i="60" s="1"/>
  <c r="L136" i="60" s="1"/>
  <c r="L149" i="60" s="1"/>
  <c r="L161" i="60" s="1"/>
  <c r="L169" i="60" s="1"/>
  <c r="L183" i="60" s="1"/>
  <c r="L196" i="60" s="1"/>
  <c r="L209" i="60" s="1"/>
  <c r="L218" i="60" s="1"/>
  <c r="L232" i="60" s="1"/>
  <c r="L245" i="60" s="1"/>
  <c r="L258" i="60" s="1"/>
  <c r="L266" i="60" s="1"/>
  <c r="L280" i="60" s="1"/>
  <c r="L293" i="60" s="1"/>
  <c r="L306" i="60" s="1"/>
  <c r="L314" i="60" s="1"/>
  <c r="L328" i="60" s="1"/>
  <c r="L341" i="60" s="1"/>
  <c r="L354" i="60" s="1"/>
  <c r="L362" i="60" s="1"/>
  <c r="L376" i="60" s="1"/>
  <c r="L389" i="60" s="1"/>
  <c r="L402" i="60" s="1"/>
  <c r="L410" i="60" s="1"/>
  <c r="L424" i="60" s="1"/>
  <c r="L437" i="60" s="1"/>
  <c r="L450" i="60" s="1"/>
  <c r="L458" i="60" s="1"/>
  <c r="L472" i="60" s="1"/>
  <c r="L485" i="60" s="1"/>
  <c r="L498" i="60" s="1"/>
  <c r="L506" i="60" s="1"/>
  <c r="L520" i="60" s="1"/>
  <c r="L533" i="60" s="1"/>
  <c r="L546" i="60" s="1"/>
  <c r="L554" i="60" s="1"/>
  <c r="L568" i="60" s="1"/>
  <c r="L581" i="60" s="1"/>
  <c r="L594" i="60" s="1"/>
  <c r="L602" i="60" s="1"/>
  <c r="L616" i="60" s="1"/>
  <c r="L629" i="60" s="1"/>
  <c r="L642" i="60" s="1"/>
  <c r="M75" i="60"/>
  <c r="M89" i="60" s="1"/>
  <c r="M102" i="60" s="1"/>
  <c r="M115" i="60" s="1"/>
  <c r="M122" i="60" s="1"/>
  <c r="M136" i="60" s="1"/>
  <c r="M149" i="60" s="1"/>
  <c r="M161" i="60" s="1"/>
  <c r="M169" i="60" s="1"/>
  <c r="M183" i="60" s="1"/>
  <c r="M196" i="60" s="1"/>
  <c r="M209" i="60" s="1"/>
  <c r="M218" i="60" s="1"/>
  <c r="M232" i="60" s="1"/>
  <c r="M245" i="60" s="1"/>
  <c r="M258" i="60" s="1"/>
  <c r="M266" i="60" s="1"/>
  <c r="M280" i="60" s="1"/>
  <c r="M293" i="60" s="1"/>
  <c r="M306" i="60" s="1"/>
  <c r="M314" i="60" s="1"/>
  <c r="M328" i="60" s="1"/>
  <c r="M341" i="60" s="1"/>
  <c r="M354" i="60" s="1"/>
  <c r="M362" i="60" s="1"/>
  <c r="M376" i="60" s="1"/>
  <c r="M389" i="60" s="1"/>
  <c r="M402" i="60" s="1"/>
  <c r="M410" i="60" s="1"/>
  <c r="M424" i="60" s="1"/>
  <c r="M437" i="60" s="1"/>
  <c r="M450" i="60" s="1"/>
  <c r="M458" i="60" s="1"/>
  <c r="M472" i="60" s="1"/>
  <c r="M485" i="60" s="1"/>
  <c r="M498" i="60" s="1"/>
  <c r="M506" i="60" s="1"/>
  <c r="M520" i="60" s="1"/>
  <c r="M533" i="60" s="1"/>
  <c r="M546" i="60" s="1"/>
  <c r="M554" i="60" s="1"/>
  <c r="M568" i="60" s="1"/>
  <c r="M581" i="60" s="1"/>
  <c r="M594" i="60" s="1"/>
  <c r="M602" i="60" s="1"/>
  <c r="M616" i="60" s="1"/>
  <c r="M629" i="60" s="1"/>
  <c r="M642" i="60" s="1"/>
  <c r="N75" i="60"/>
  <c r="N89" i="60" s="1"/>
  <c r="N102" i="60" s="1"/>
  <c r="N115" i="60" s="1"/>
  <c r="N122" i="60" s="1"/>
  <c r="N136" i="60" s="1"/>
  <c r="N149" i="60" s="1"/>
  <c r="N161" i="60" s="1"/>
  <c r="N169" i="60" s="1"/>
  <c r="N183" i="60" s="1"/>
  <c r="N196" i="60" s="1"/>
  <c r="N209" i="60" s="1"/>
  <c r="N218" i="60" s="1"/>
  <c r="N232" i="60" s="1"/>
  <c r="N245" i="60" s="1"/>
  <c r="N258" i="60" s="1"/>
  <c r="N266" i="60" s="1"/>
  <c r="N280" i="60" s="1"/>
  <c r="N293" i="60" s="1"/>
  <c r="N306" i="60" s="1"/>
  <c r="N314" i="60" s="1"/>
  <c r="N328" i="60" s="1"/>
  <c r="N341" i="60" s="1"/>
  <c r="N354" i="60" s="1"/>
  <c r="N362" i="60" s="1"/>
  <c r="N376" i="60" s="1"/>
  <c r="N389" i="60" s="1"/>
  <c r="N402" i="60" s="1"/>
  <c r="N410" i="60" s="1"/>
  <c r="N424" i="60" s="1"/>
  <c r="N437" i="60" s="1"/>
  <c r="N450" i="60" s="1"/>
  <c r="N458" i="60" s="1"/>
  <c r="N472" i="60" s="1"/>
  <c r="N485" i="60" s="1"/>
  <c r="N498" i="60" s="1"/>
  <c r="N506" i="60" s="1"/>
  <c r="N520" i="60" s="1"/>
  <c r="N533" i="60" s="1"/>
  <c r="N546" i="60" s="1"/>
  <c r="N554" i="60" s="1"/>
  <c r="N568" i="60" s="1"/>
  <c r="N581" i="60" s="1"/>
  <c r="N594" i="60" s="1"/>
  <c r="N602" i="60" s="1"/>
  <c r="N616" i="60" s="1"/>
  <c r="N629" i="60" s="1"/>
  <c r="N642" i="60" s="1"/>
  <c r="O75" i="60"/>
  <c r="O89" i="60" s="1"/>
  <c r="O102" i="60" s="1"/>
  <c r="O115" i="60" s="1"/>
  <c r="O122" i="60" s="1"/>
  <c r="O136" i="60" s="1"/>
  <c r="O149" i="60" s="1"/>
  <c r="O161" i="60" s="1"/>
  <c r="O169" i="60" s="1"/>
  <c r="O183" i="60" s="1"/>
  <c r="O196" i="60" s="1"/>
  <c r="O209" i="60" s="1"/>
  <c r="O218" i="60" s="1"/>
  <c r="O232" i="60" s="1"/>
  <c r="O245" i="60" s="1"/>
  <c r="O258" i="60" s="1"/>
  <c r="O266" i="60" s="1"/>
  <c r="O280" i="60" s="1"/>
  <c r="O293" i="60" s="1"/>
  <c r="O306" i="60" s="1"/>
  <c r="O314" i="60" s="1"/>
  <c r="O328" i="60" s="1"/>
  <c r="O341" i="60" s="1"/>
  <c r="O354" i="60" s="1"/>
  <c r="O362" i="60" s="1"/>
  <c r="O376" i="60" s="1"/>
  <c r="O389" i="60" s="1"/>
  <c r="O402" i="60" s="1"/>
  <c r="O410" i="60" s="1"/>
  <c r="O424" i="60" s="1"/>
  <c r="O437" i="60" s="1"/>
  <c r="O450" i="60" s="1"/>
  <c r="O458" i="60" s="1"/>
  <c r="O472" i="60" s="1"/>
  <c r="O485" i="60" s="1"/>
  <c r="O498" i="60" s="1"/>
  <c r="O506" i="60" s="1"/>
  <c r="O520" i="60" s="1"/>
  <c r="O533" i="60" s="1"/>
  <c r="O546" i="60" s="1"/>
  <c r="O554" i="60" s="1"/>
  <c r="O568" i="60" s="1"/>
  <c r="O581" i="60" s="1"/>
  <c r="O594" i="60" s="1"/>
  <c r="O602" i="60" s="1"/>
  <c r="O616" i="60" s="1"/>
  <c r="O629" i="60" s="1"/>
  <c r="O642" i="60" s="1"/>
  <c r="P75" i="60"/>
  <c r="P89" i="60" s="1"/>
  <c r="P102" i="60" s="1"/>
  <c r="P115" i="60" s="1"/>
  <c r="P122" i="60" s="1"/>
  <c r="P136" i="60" s="1"/>
  <c r="P149" i="60" s="1"/>
  <c r="P161" i="60" s="1"/>
  <c r="P169" i="60" s="1"/>
  <c r="P183" i="60" s="1"/>
  <c r="P196" i="60" s="1"/>
  <c r="P209" i="60" s="1"/>
  <c r="P218" i="60" s="1"/>
  <c r="P232" i="60" s="1"/>
  <c r="P245" i="60" s="1"/>
  <c r="P258" i="60" s="1"/>
  <c r="P266" i="60" s="1"/>
  <c r="P280" i="60" s="1"/>
  <c r="P293" i="60" s="1"/>
  <c r="P306" i="60" s="1"/>
  <c r="P314" i="60" s="1"/>
  <c r="P328" i="60" s="1"/>
  <c r="P341" i="60" s="1"/>
  <c r="P354" i="60" s="1"/>
  <c r="P362" i="60" s="1"/>
  <c r="P376" i="60" s="1"/>
  <c r="P389" i="60" s="1"/>
  <c r="P402" i="60" s="1"/>
  <c r="P410" i="60" s="1"/>
  <c r="P424" i="60" s="1"/>
  <c r="P437" i="60" s="1"/>
  <c r="P450" i="60" s="1"/>
  <c r="P458" i="60" s="1"/>
  <c r="P472" i="60" s="1"/>
  <c r="P485" i="60" s="1"/>
  <c r="P498" i="60" s="1"/>
  <c r="P506" i="60" s="1"/>
  <c r="P520" i="60" s="1"/>
  <c r="P533" i="60" s="1"/>
  <c r="P546" i="60" s="1"/>
  <c r="P554" i="60" s="1"/>
  <c r="P568" i="60" s="1"/>
  <c r="P581" i="60" s="1"/>
  <c r="P594" i="60" s="1"/>
  <c r="P602" i="60" s="1"/>
  <c r="P616" i="60" s="1"/>
  <c r="P629" i="60" s="1"/>
  <c r="P642" i="60" s="1"/>
  <c r="Q75" i="60"/>
  <c r="Q89" i="60" s="1"/>
  <c r="Q102" i="60" s="1"/>
  <c r="Q115" i="60" s="1"/>
  <c r="Q122" i="60" s="1"/>
  <c r="Q136" i="60" s="1"/>
  <c r="Q149" i="60" s="1"/>
  <c r="Q161" i="60" s="1"/>
  <c r="Q169" i="60" s="1"/>
  <c r="Q183" i="60" s="1"/>
  <c r="Q196" i="60" s="1"/>
  <c r="Q209" i="60" s="1"/>
  <c r="Q218" i="60" s="1"/>
  <c r="Q232" i="60" s="1"/>
  <c r="Q245" i="60" s="1"/>
  <c r="Q258" i="60" s="1"/>
  <c r="Q266" i="60" s="1"/>
  <c r="Q280" i="60" s="1"/>
  <c r="Q293" i="60" s="1"/>
  <c r="Q306" i="60" s="1"/>
  <c r="Q314" i="60" s="1"/>
  <c r="Q328" i="60" s="1"/>
  <c r="Q341" i="60" s="1"/>
  <c r="Q354" i="60" s="1"/>
  <c r="Q362" i="60" s="1"/>
  <c r="Q376" i="60" s="1"/>
  <c r="Q389" i="60" s="1"/>
  <c r="Q402" i="60" s="1"/>
  <c r="Q410" i="60" s="1"/>
  <c r="Q424" i="60" s="1"/>
  <c r="Q437" i="60" s="1"/>
  <c r="Q450" i="60" s="1"/>
  <c r="Q458" i="60" s="1"/>
  <c r="Q472" i="60" s="1"/>
  <c r="Q485" i="60" s="1"/>
  <c r="Q498" i="60" s="1"/>
  <c r="Q506" i="60" s="1"/>
  <c r="Q520" i="60" s="1"/>
  <c r="Q533" i="60" s="1"/>
  <c r="Q546" i="60" s="1"/>
  <c r="Q554" i="60" s="1"/>
  <c r="Q568" i="60" s="1"/>
  <c r="Q581" i="60" s="1"/>
  <c r="Q594" i="60" s="1"/>
  <c r="Q602" i="60" s="1"/>
  <c r="Q616" i="60" s="1"/>
  <c r="Q629" i="60" s="1"/>
  <c r="Q642" i="60" s="1"/>
  <c r="R75" i="60"/>
  <c r="R89" i="60" s="1"/>
  <c r="R102" i="60" s="1"/>
  <c r="R115" i="60" s="1"/>
  <c r="R122" i="60" s="1"/>
  <c r="R136" i="60" s="1"/>
  <c r="R149" i="60" s="1"/>
  <c r="R161" i="60" s="1"/>
  <c r="R169" i="60" s="1"/>
  <c r="R183" i="60" s="1"/>
  <c r="R196" i="60" s="1"/>
  <c r="R209" i="60" s="1"/>
  <c r="R218" i="60" s="1"/>
  <c r="R232" i="60" s="1"/>
  <c r="R245" i="60" s="1"/>
  <c r="R258" i="60" s="1"/>
  <c r="R266" i="60" s="1"/>
  <c r="R280" i="60" s="1"/>
  <c r="R293" i="60" s="1"/>
  <c r="R306" i="60" s="1"/>
  <c r="R314" i="60" s="1"/>
  <c r="R328" i="60" s="1"/>
  <c r="R341" i="60" s="1"/>
  <c r="R354" i="60" s="1"/>
  <c r="R362" i="60" s="1"/>
  <c r="R376" i="60" s="1"/>
  <c r="R389" i="60" s="1"/>
  <c r="R402" i="60" s="1"/>
  <c r="R410" i="60" s="1"/>
  <c r="R424" i="60" s="1"/>
  <c r="R437" i="60" s="1"/>
  <c r="R450" i="60" s="1"/>
  <c r="R458" i="60" s="1"/>
  <c r="R472" i="60" s="1"/>
  <c r="R485" i="60" s="1"/>
  <c r="R498" i="60" s="1"/>
  <c r="R506" i="60" s="1"/>
  <c r="R520" i="60" s="1"/>
  <c r="R533" i="60" s="1"/>
  <c r="R546" i="60" s="1"/>
  <c r="R554" i="60" s="1"/>
  <c r="R568" i="60" s="1"/>
  <c r="R581" i="60" s="1"/>
  <c r="R594" i="60" s="1"/>
  <c r="R602" i="60" s="1"/>
  <c r="R616" i="60" s="1"/>
  <c r="R629" i="60" s="1"/>
  <c r="R642" i="60" s="1"/>
  <c r="S75" i="60"/>
  <c r="S89" i="60" s="1"/>
  <c r="S102" i="60" s="1"/>
  <c r="S115" i="60" s="1"/>
  <c r="S122" i="60" s="1"/>
  <c r="S136" i="60" s="1"/>
  <c r="S149" i="60" s="1"/>
  <c r="S161" i="60" s="1"/>
  <c r="S169" i="60" s="1"/>
  <c r="S183" i="60" s="1"/>
  <c r="S196" i="60" s="1"/>
  <c r="S209" i="60" s="1"/>
  <c r="S218" i="60" s="1"/>
  <c r="S232" i="60" s="1"/>
  <c r="S245" i="60" s="1"/>
  <c r="S258" i="60" s="1"/>
  <c r="S266" i="60" s="1"/>
  <c r="S280" i="60" s="1"/>
  <c r="S293" i="60" s="1"/>
  <c r="S306" i="60" s="1"/>
  <c r="S314" i="60" s="1"/>
  <c r="S328" i="60" s="1"/>
  <c r="S341" i="60" s="1"/>
  <c r="S354" i="60" s="1"/>
  <c r="S362" i="60" s="1"/>
  <c r="S376" i="60" s="1"/>
  <c r="S389" i="60" s="1"/>
  <c r="S402" i="60" s="1"/>
  <c r="S410" i="60" s="1"/>
  <c r="S424" i="60" s="1"/>
  <c r="S437" i="60" s="1"/>
  <c r="S450" i="60" s="1"/>
  <c r="S458" i="60" s="1"/>
  <c r="S472" i="60" s="1"/>
  <c r="S485" i="60" s="1"/>
  <c r="S498" i="60" s="1"/>
  <c r="S506" i="60" s="1"/>
  <c r="S520" i="60" s="1"/>
  <c r="S533" i="60" s="1"/>
  <c r="S546" i="60" s="1"/>
  <c r="S554" i="60" s="1"/>
  <c r="S568" i="60" s="1"/>
  <c r="S581" i="60" s="1"/>
  <c r="S594" i="60" s="1"/>
  <c r="S602" i="60" s="1"/>
  <c r="S616" i="60" s="1"/>
  <c r="S629" i="60" s="1"/>
  <c r="S642" i="60" s="1"/>
  <c r="T75" i="60"/>
  <c r="T89" i="60" s="1"/>
  <c r="T102" i="60" s="1"/>
  <c r="T115" i="60" s="1"/>
  <c r="T122" i="60" s="1"/>
  <c r="T136" i="60" s="1"/>
  <c r="T149" i="60" s="1"/>
  <c r="T161" i="60" s="1"/>
  <c r="T169" i="60" s="1"/>
  <c r="T183" i="60" s="1"/>
  <c r="T196" i="60" s="1"/>
  <c r="T209" i="60" s="1"/>
  <c r="T218" i="60" s="1"/>
  <c r="T232" i="60" s="1"/>
  <c r="T245" i="60" s="1"/>
  <c r="T258" i="60" s="1"/>
  <c r="T266" i="60" s="1"/>
  <c r="T280" i="60" s="1"/>
  <c r="T293" i="60" s="1"/>
  <c r="T306" i="60" s="1"/>
  <c r="T314" i="60" s="1"/>
  <c r="T328" i="60" s="1"/>
  <c r="T341" i="60" s="1"/>
  <c r="T354" i="60" s="1"/>
  <c r="T362" i="60" s="1"/>
  <c r="T376" i="60" s="1"/>
  <c r="T389" i="60" s="1"/>
  <c r="T402" i="60" s="1"/>
  <c r="T410" i="60" s="1"/>
  <c r="T424" i="60" s="1"/>
  <c r="T437" i="60" s="1"/>
  <c r="T450" i="60" s="1"/>
  <c r="T458" i="60" s="1"/>
  <c r="T472" i="60" s="1"/>
  <c r="T485" i="60" s="1"/>
  <c r="T498" i="60" s="1"/>
  <c r="T506" i="60" s="1"/>
  <c r="T520" i="60" s="1"/>
  <c r="T533" i="60" s="1"/>
  <c r="T546" i="60" s="1"/>
  <c r="T554" i="60" s="1"/>
  <c r="T568" i="60" s="1"/>
  <c r="T581" i="60" s="1"/>
  <c r="T594" i="60" s="1"/>
  <c r="T602" i="60" s="1"/>
  <c r="T616" i="60" s="1"/>
  <c r="T629" i="60" s="1"/>
  <c r="T642" i="60" s="1"/>
  <c r="U75" i="60"/>
  <c r="U89" i="60" s="1"/>
  <c r="U102" i="60" s="1"/>
  <c r="U115" i="60" s="1"/>
  <c r="U122" i="60" s="1"/>
  <c r="U136" i="60" s="1"/>
  <c r="U149" i="60" s="1"/>
  <c r="U161" i="60" s="1"/>
  <c r="U169" i="60" s="1"/>
  <c r="U183" i="60" s="1"/>
  <c r="U196" i="60" s="1"/>
  <c r="U209" i="60" s="1"/>
  <c r="U218" i="60" s="1"/>
  <c r="U232" i="60" s="1"/>
  <c r="U245" i="60" s="1"/>
  <c r="U258" i="60" s="1"/>
  <c r="U266" i="60" s="1"/>
  <c r="U280" i="60" s="1"/>
  <c r="U293" i="60" s="1"/>
  <c r="U306" i="60" s="1"/>
  <c r="U314" i="60" s="1"/>
  <c r="U328" i="60" s="1"/>
  <c r="U341" i="60" s="1"/>
  <c r="U354" i="60" s="1"/>
  <c r="U362" i="60" s="1"/>
  <c r="U376" i="60" s="1"/>
  <c r="U389" i="60" s="1"/>
  <c r="U402" i="60" s="1"/>
  <c r="U410" i="60" s="1"/>
  <c r="U424" i="60" s="1"/>
  <c r="U437" i="60" s="1"/>
  <c r="U450" i="60" s="1"/>
  <c r="U458" i="60" s="1"/>
  <c r="U472" i="60" s="1"/>
  <c r="U485" i="60" s="1"/>
  <c r="U498" i="60" s="1"/>
  <c r="U506" i="60" s="1"/>
  <c r="U520" i="60" s="1"/>
  <c r="U533" i="60" s="1"/>
  <c r="U546" i="60" s="1"/>
  <c r="U554" i="60" s="1"/>
  <c r="U568" i="60" s="1"/>
  <c r="U581" i="60" s="1"/>
  <c r="U594" i="60" s="1"/>
  <c r="U602" i="60" s="1"/>
  <c r="U616" i="60" s="1"/>
  <c r="U629" i="60" s="1"/>
  <c r="U642" i="60" s="1"/>
  <c r="V75" i="60"/>
  <c r="V89" i="60" s="1"/>
  <c r="V102" i="60" s="1"/>
  <c r="V115" i="60" s="1"/>
  <c r="V122" i="60" s="1"/>
  <c r="V136" i="60" s="1"/>
  <c r="V149" i="60" s="1"/>
  <c r="V161" i="60" s="1"/>
  <c r="V169" i="60" s="1"/>
  <c r="V183" i="60" s="1"/>
  <c r="V196" i="60" s="1"/>
  <c r="V209" i="60" s="1"/>
  <c r="V218" i="60" s="1"/>
  <c r="V232" i="60" s="1"/>
  <c r="V245" i="60" s="1"/>
  <c r="V258" i="60" s="1"/>
  <c r="V266" i="60" s="1"/>
  <c r="V280" i="60" s="1"/>
  <c r="V293" i="60" s="1"/>
  <c r="V306" i="60" s="1"/>
  <c r="V314" i="60" s="1"/>
  <c r="V328" i="60" s="1"/>
  <c r="V341" i="60" s="1"/>
  <c r="V354" i="60" s="1"/>
  <c r="V362" i="60" s="1"/>
  <c r="V376" i="60" s="1"/>
  <c r="V389" i="60" s="1"/>
  <c r="V402" i="60" s="1"/>
  <c r="V410" i="60" s="1"/>
  <c r="V424" i="60" s="1"/>
  <c r="V437" i="60" s="1"/>
  <c r="V450" i="60" s="1"/>
  <c r="V458" i="60" s="1"/>
  <c r="V472" i="60" s="1"/>
  <c r="V485" i="60" s="1"/>
  <c r="V498" i="60" s="1"/>
  <c r="V506" i="60" s="1"/>
  <c r="V520" i="60" s="1"/>
  <c r="V533" i="60" s="1"/>
  <c r="V546" i="60" s="1"/>
  <c r="V554" i="60" s="1"/>
  <c r="V568" i="60" s="1"/>
  <c r="V581" i="60" s="1"/>
  <c r="V594" i="60" s="1"/>
  <c r="V602" i="60" s="1"/>
  <c r="V616" i="60" s="1"/>
  <c r="V629" i="60" s="1"/>
  <c r="V642" i="60" s="1"/>
  <c r="W75" i="60"/>
  <c r="W89" i="60" s="1"/>
  <c r="W102" i="60" s="1"/>
  <c r="W115" i="60" s="1"/>
  <c r="W122" i="60" s="1"/>
  <c r="W136" i="60" s="1"/>
  <c r="W149" i="60" s="1"/>
  <c r="W161" i="60" s="1"/>
  <c r="W169" i="60" s="1"/>
  <c r="W183" i="60" s="1"/>
  <c r="W196" i="60" s="1"/>
  <c r="W209" i="60" s="1"/>
  <c r="W218" i="60" s="1"/>
  <c r="W232" i="60" s="1"/>
  <c r="W245" i="60" s="1"/>
  <c r="W258" i="60" s="1"/>
  <c r="W266" i="60" s="1"/>
  <c r="W280" i="60" s="1"/>
  <c r="W293" i="60" s="1"/>
  <c r="W306" i="60" s="1"/>
  <c r="W314" i="60" s="1"/>
  <c r="W328" i="60" s="1"/>
  <c r="W341" i="60" s="1"/>
  <c r="W354" i="60" s="1"/>
  <c r="W362" i="60" s="1"/>
  <c r="W376" i="60" s="1"/>
  <c r="W389" i="60" s="1"/>
  <c r="W402" i="60" s="1"/>
  <c r="W410" i="60" s="1"/>
  <c r="W424" i="60" s="1"/>
  <c r="W437" i="60" s="1"/>
  <c r="W450" i="60" s="1"/>
  <c r="W458" i="60" s="1"/>
  <c r="W472" i="60" s="1"/>
  <c r="W485" i="60" s="1"/>
  <c r="W498" i="60" s="1"/>
  <c r="W506" i="60" s="1"/>
  <c r="W520" i="60" s="1"/>
  <c r="W533" i="60" s="1"/>
  <c r="W546" i="60" s="1"/>
  <c r="W554" i="60" s="1"/>
  <c r="W568" i="60" s="1"/>
  <c r="W581" i="60" s="1"/>
  <c r="W594" i="60" s="1"/>
  <c r="W602" i="60" s="1"/>
  <c r="W616" i="60" s="1"/>
  <c r="W629" i="60" s="1"/>
  <c r="W642" i="60" s="1"/>
  <c r="X75" i="60"/>
  <c r="X89" i="60" s="1"/>
  <c r="X102" i="60" s="1"/>
  <c r="X115" i="60" s="1"/>
  <c r="X122" i="60" s="1"/>
  <c r="X136" i="60" s="1"/>
  <c r="X149" i="60" s="1"/>
  <c r="X161" i="60" s="1"/>
  <c r="X169" i="60" s="1"/>
  <c r="X183" i="60" s="1"/>
  <c r="X196" i="60" s="1"/>
  <c r="X209" i="60" s="1"/>
  <c r="X218" i="60" s="1"/>
  <c r="X232" i="60" s="1"/>
  <c r="X245" i="60" s="1"/>
  <c r="X258" i="60" s="1"/>
  <c r="X266" i="60" s="1"/>
  <c r="X280" i="60" s="1"/>
  <c r="X293" i="60" s="1"/>
  <c r="X306" i="60" s="1"/>
  <c r="X314" i="60" s="1"/>
  <c r="X328" i="60" s="1"/>
  <c r="X341" i="60" s="1"/>
  <c r="X354" i="60" s="1"/>
  <c r="X362" i="60" s="1"/>
  <c r="X376" i="60" s="1"/>
  <c r="X389" i="60" s="1"/>
  <c r="X402" i="60" s="1"/>
  <c r="X410" i="60" s="1"/>
  <c r="X424" i="60" s="1"/>
  <c r="X437" i="60" s="1"/>
  <c r="X450" i="60" s="1"/>
  <c r="X458" i="60" s="1"/>
  <c r="X472" i="60" s="1"/>
  <c r="X485" i="60" s="1"/>
  <c r="X498" i="60" s="1"/>
  <c r="X506" i="60" s="1"/>
  <c r="X520" i="60" s="1"/>
  <c r="X533" i="60" s="1"/>
  <c r="X546" i="60" s="1"/>
  <c r="X554" i="60" s="1"/>
  <c r="X568" i="60" s="1"/>
  <c r="X581" i="60" s="1"/>
  <c r="X594" i="60" s="1"/>
  <c r="X602" i="60" s="1"/>
  <c r="X616" i="60" s="1"/>
  <c r="X629" i="60" s="1"/>
  <c r="X642" i="60" s="1"/>
  <c r="Y75" i="60"/>
  <c r="Y89" i="60" s="1"/>
  <c r="Y102" i="60" s="1"/>
  <c r="Y115" i="60" s="1"/>
  <c r="Y122" i="60" s="1"/>
  <c r="Y136" i="60" s="1"/>
  <c r="Y149" i="60" s="1"/>
  <c r="Y161" i="60" s="1"/>
  <c r="Y169" i="60" s="1"/>
  <c r="Y183" i="60" s="1"/>
  <c r="Y196" i="60" s="1"/>
  <c r="Y209" i="60" s="1"/>
  <c r="Y218" i="60" s="1"/>
  <c r="Y232" i="60" s="1"/>
  <c r="Y245" i="60" s="1"/>
  <c r="Y258" i="60" s="1"/>
  <c r="Y266" i="60" s="1"/>
  <c r="Y280" i="60" s="1"/>
  <c r="Y293" i="60" s="1"/>
  <c r="Y306" i="60" s="1"/>
  <c r="Y314" i="60" s="1"/>
  <c r="Y328" i="60" s="1"/>
  <c r="Y341" i="60" s="1"/>
  <c r="Y354" i="60" s="1"/>
  <c r="Y362" i="60" s="1"/>
  <c r="Y376" i="60" s="1"/>
  <c r="Y389" i="60" s="1"/>
  <c r="Y402" i="60" s="1"/>
  <c r="Y410" i="60" s="1"/>
  <c r="Y424" i="60" s="1"/>
  <c r="Y437" i="60" s="1"/>
  <c r="Y450" i="60" s="1"/>
  <c r="Y458" i="60" s="1"/>
  <c r="Y472" i="60" s="1"/>
  <c r="Y485" i="60" s="1"/>
  <c r="Y498" i="60" s="1"/>
  <c r="Y506" i="60" s="1"/>
  <c r="Y520" i="60" s="1"/>
  <c r="Y533" i="60" s="1"/>
  <c r="Y546" i="60" s="1"/>
  <c r="Y554" i="60" s="1"/>
  <c r="Y568" i="60" s="1"/>
  <c r="Y581" i="60" s="1"/>
  <c r="Y594" i="60" s="1"/>
  <c r="Y602" i="60" s="1"/>
  <c r="Y616" i="60" s="1"/>
  <c r="Y629" i="60" s="1"/>
  <c r="Y642" i="60" s="1"/>
  <c r="Z75" i="60"/>
  <c r="Z89" i="60" s="1"/>
  <c r="Z102" i="60" s="1"/>
  <c r="Z115" i="60" s="1"/>
  <c r="Z122" i="60" s="1"/>
  <c r="Z136" i="60" s="1"/>
  <c r="Z149" i="60" s="1"/>
  <c r="Z161" i="60" s="1"/>
  <c r="Z169" i="60" s="1"/>
  <c r="Z183" i="60" s="1"/>
  <c r="Z196" i="60" s="1"/>
  <c r="Z209" i="60" s="1"/>
  <c r="Z218" i="60" s="1"/>
  <c r="Z232" i="60" s="1"/>
  <c r="Z245" i="60" s="1"/>
  <c r="Z258" i="60" s="1"/>
  <c r="Z266" i="60" s="1"/>
  <c r="Z280" i="60" s="1"/>
  <c r="Z293" i="60" s="1"/>
  <c r="Z306" i="60" s="1"/>
  <c r="Z314" i="60" s="1"/>
  <c r="Z328" i="60" s="1"/>
  <c r="Z341" i="60" s="1"/>
  <c r="Z354" i="60" s="1"/>
  <c r="Z362" i="60" s="1"/>
  <c r="Z376" i="60" s="1"/>
  <c r="Z389" i="60" s="1"/>
  <c r="Z402" i="60" s="1"/>
  <c r="Z410" i="60" s="1"/>
  <c r="Z424" i="60" s="1"/>
  <c r="Z437" i="60" s="1"/>
  <c r="Z450" i="60" s="1"/>
  <c r="Z458" i="60" s="1"/>
  <c r="Z472" i="60" s="1"/>
  <c r="Z485" i="60" s="1"/>
  <c r="Z498" i="60" s="1"/>
  <c r="Z506" i="60" s="1"/>
  <c r="Z520" i="60" s="1"/>
  <c r="Z533" i="60" s="1"/>
  <c r="Z546" i="60" s="1"/>
  <c r="Z554" i="60" s="1"/>
  <c r="Z568" i="60" s="1"/>
  <c r="Z581" i="60" s="1"/>
  <c r="Z594" i="60" s="1"/>
  <c r="Z602" i="60" s="1"/>
  <c r="Z616" i="60" s="1"/>
  <c r="Z629" i="60" s="1"/>
  <c r="Z642" i="60" s="1"/>
  <c r="AA75" i="60"/>
  <c r="AA89" i="60" s="1"/>
  <c r="AA102" i="60" s="1"/>
  <c r="AA115" i="60" s="1"/>
  <c r="AA122" i="60" s="1"/>
  <c r="AA136" i="60" s="1"/>
  <c r="AA149" i="60" s="1"/>
  <c r="AA161" i="60" s="1"/>
  <c r="AA169" i="60" s="1"/>
  <c r="AA183" i="60" s="1"/>
  <c r="AA196" i="60" s="1"/>
  <c r="AA209" i="60" s="1"/>
  <c r="AA218" i="60" s="1"/>
  <c r="AA232" i="60" s="1"/>
  <c r="AA245" i="60" s="1"/>
  <c r="AA258" i="60" s="1"/>
  <c r="AA266" i="60" s="1"/>
  <c r="AA280" i="60" s="1"/>
  <c r="AA293" i="60" s="1"/>
  <c r="AA306" i="60" s="1"/>
  <c r="AA314" i="60" s="1"/>
  <c r="AA328" i="60" s="1"/>
  <c r="AA341" i="60" s="1"/>
  <c r="AA354" i="60" s="1"/>
  <c r="AA362" i="60" s="1"/>
  <c r="AA376" i="60" s="1"/>
  <c r="AA389" i="60" s="1"/>
  <c r="AA402" i="60" s="1"/>
  <c r="AA410" i="60" s="1"/>
  <c r="AA424" i="60" s="1"/>
  <c r="AA437" i="60" s="1"/>
  <c r="AA450" i="60" s="1"/>
  <c r="AA458" i="60" s="1"/>
  <c r="AA472" i="60" s="1"/>
  <c r="AA485" i="60" s="1"/>
  <c r="AA498" i="60" s="1"/>
  <c r="AA506" i="60" s="1"/>
  <c r="AA520" i="60" s="1"/>
  <c r="AA533" i="60" s="1"/>
  <c r="AA546" i="60" s="1"/>
  <c r="AA554" i="60" s="1"/>
  <c r="AA568" i="60" s="1"/>
  <c r="AA581" i="60" s="1"/>
  <c r="AA594" i="60" s="1"/>
  <c r="AA602" i="60" s="1"/>
  <c r="AA616" i="60" s="1"/>
  <c r="AA629" i="60" s="1"/>
  <c r="AA642" i="60" s="1"/>
  <c r="AB75" i="60"/>
  <c r="AB89" i="60" s="1"/>
  <c r="AB102" i="60" s="1"/>
  <c r="AB115" i="60" s="1"/>
  <c r="AB122" i="60" s="1"/>
  <c r="AB136" i="60" s="1"/>
  <c r="AB149" i="60" s="1"/>
  <c r="AB161" i="60" s="1"/>
  <c r="AB169" i="60" s="1"/>
  <c r="AB183" i="60" s="1"/>
  <c r="AB196" i="60" s="1"/>
  <c r="AB209" i="60" s="1"/>
  <c r="AB218" i="60" s="1"/>
  <c r="AB232" i="60" s="1"/>
  <c r="AB245" i="60" s="1"/>
  <c r="AB258" i="60" s="1"/>
  <c r="AB266" i="60" s="1"/>
  <c r="AB280" i="60" s="1"/>
  <c r="AB293" i="60" s="1"/>
  <c r="AB306" i="60" s="1"/>
  <c r="AB314" i="60" s="1"/>
  <c r="AB328" i="60" s="1"/>
  <c r="AB341" i="60" s="1"/>
  <c r="AB354" i="60" s="1"/>
  <c r="AB362" i="60" s="1"/>
  <c r="AB376" i="60" s="1"/>
  <c r="AB389" i="60" s="1"/>
  <c r="AB402" i="60" s="1"/>
  <c r="AB410" i="60" s="1"/>
  <c r="AB424" i="60" s="1"/>
  <c r="AB437" i="60" s="1"/>
  <c r="AB450" i="60" s="1"/>
  <c r="AB458" i="60" s="1"/>
  <c r="AB472" i="60" s="1"/>
  <c r="AB485" i="60" s="1"/>
  <c r="AB498" i="60" s="1"/>
  <c r="AB506" i="60" s="1"/>
  <c r="AB520" i="60" s="1"/>
  <c r="AB533" i="60" s="1"/>
  <c r="AB546" i="60" s="1"/>
  <c r="AB554" i="60" s="1"/>
  <c r="AB568" i="60" s="1"/>
  <c r="AB581" i="60" s="1"/>
  <c r="AB594" i="60" s="1"/>
  <c r="AB602" i="60" s="1"/>
  <c r="AB616" i="60" s="1"/>
  <c r="AB629" i="60" s="1"/>
  <c r="AB642" i="60" s="1"/>
  <c r="AC75" i="60"/>
  <c r="AC89" i="60" s="1"/>
  <c r="AC102" i="60" s="1"/>
  <c r="AC115" i="60" s="1"/>
  <c r="AC122" i="60" s="1"/>
  <c r="AC136" i="60" s="1"/>
  <c r="AC149" i="60" s="1"/>
  <c r="AC161" i="60" s="1"/>
  <c r="AC169" i="60" s="1"/>
  <c r="AC183" i="60" s="1"/>
  <c r="AC196" i="60" s="1"/>
  <c r="AC209" i="60" s="1"/>
  <c r="AC218" i="60" s="1"/>
  <c r="AC232" i="60" s="1"/>
  <c r="AC245" i="60" s="1"/>
  <c r="AC258" i="60" s="1"/>
  <c r="AC266" i="60" s="1"/>
  <c r="AC280" i="60" s="1"/>
  <c r="AC293" i="60" s="1"/>
  <c r="AC306" i="60" s="1"/>
  <c r="AC314" i="60" s="1"/>
  <c r="AC328" i="60" s="1"/>
  <c r="AC341" i="60" s="1"/>
  <c r="AC354" i="60" s="1"/>
  <c r="AC362" i="60" s="1"/>
  <c r="AC376" i="60" s="1"/>
  <c r="AC389" i="60" s="1"/>
  <c r="AC402" i="60" s="1"/>
  <c r="AC410" i="60" s="1"/>
  <c r="AC424" i="60" s="1"/>
  <c r="AC437" i="60" s="1"/>
  <c r="AC450" i="60" s="1"/>
  <c r="AC458" i="60" s="1"/>
  <c r="AC472" i="60" s="1"/>
  <c r="AC485" i="60" s="1"/>
  <c r="AC498" i="60" s="1"/>
  <c r="AC506" i="60" s="1"/>
  <c r="AC520" i="60" s="1"/>
  <c r="AC533" i="60" s="1"/>
  <c r="AC546" i="60" s="1"/>
  <c r="AC554" i="60" s="1"/>
  <c r="AC568" i="60" s="1"/>
  <c r="AC581" i="60" s="1"/>
  <c r="AC594" i="60" s="1"/>
  <c r="AC602" i="60" s="1"/>
  <c r="AC616" i="60" s="1"/>
  <c r="AC629" i="60" s="1"/>
  <c r="AC642" i="60" s="1"/>
  <c r="AD75" i="60"/>
  <c r="AD89" i="60" s="1"/>
  <c r="AD102" i="60" s="1"/>
  <c r="AD115" i="60" s="1"/>
  <c r="AD122" i="60" s="1"/>
  <c r="AD136" i="60" s="1"/>
  <c r="AD149" i="60" s="1"/>
  <c r="AD161" i="60" s="1"/>
  <c r="AD169" i="60" s="1"/>
  <c r="AD183" i="60" s="1"/>
  <c r="AD196" i="60" s="1"/>
  <c r="AD209" i="60" s="1"/>
  <c r="AD218" i="60" s="1"/>
  <c r="AD232" i="60" s="1"/>
  <c r="AD245" i="60" s="1"/>
  <c r="AD258" i="60" s="1"/>
  <c r="AD266" i="60" s="1"/>
  <c r="AD280" i="60" s="1"/>
  <c r="AD293" i="60" s="1"/>
  <c r="AD306" i="60" s="1"/>
  <c r="AD314" i="60" s="1"/>
  <c r="AD328" i="60" s="1"/>
  <c r="AD341" i="60" s="1"/>
  <c r="AD354" i="60" s="1"/>
  <c r="AD362" i="60" s="1"/>
  <c r="AD376" i="60" s="1"/>
  <c r="AD389" i="60" s="1"/>
  <c r="AD402" i="60" s="1"/>
  <c r="AD410" i="60" s="1"/>
  <c r="AD424" i="60" s="1"/>
  <c r="AD437" i="60" s="1"/>
  <c r="AD450" i="60" s="1"/>
  <c r="AD458" i="60" s="1"/>
  <c r="AD472" i="60" s="1"/>
  <c r="AD485" i="60" s="1"/>
  <c r="AD498" i="60" s="1"/>
  <c r="AD506" i="60" s="1"/>
  <c r="AD520" i="60" s="1"/>
  <c r="AD533" i="60" s="1"/>
  <c r="AD546" i="60" s="1"/>
  <c r="AD554" i="60" s="1"/>
  <c r="AD568" i="60" s="1"/>
  <c r="AD581" i="60" s="1"/>
  <c r="AD594" i="60" s="1"/>
  <c r="AD602" i="60" s="1"/>
  <c r="AD616" i="60" s="1"/>
  <c r="AD629" i="60" s="1"/>
  <c r="AD642" i="60" s="1"/>
  <c r="D75" i="60"/>
  <c r="D89" i="60" s="1"/>
  <c r="D102" i="60" s="1"/>
  <c r="D115" i="60" s="1"/>
  <c r="D122" i="60" s="1"/>
  <c r="D136" i="60" s="1"/>
  <c r="D149" i="60" s="1"/>
  <c r="D161" i="60" s="1"/>
  <c r="D169" i="60" s="1"/>
  <c r="D183" i="60" s="1"/>
  <c r="D196" i="60" s="1"/>
  <c r="D209" i="60" s="1"/>
  <c r="D218" i="60" s="1"/>
  <c r="D232" i="60" s="1"/>
  <c r="D245" i="60" s="1"/>
  <c r="D258" i="60" s="1"/>
  <c r="D266" i="60" s="1"/>
  <c r="D280" i="60" s="1"/>
  <c r="D293" i="60" s="1"/>
  <c r="D306" i="60" s="1"/>
  <c r="D314" i="60" s="1"/>
  <c r="D328" i="60" s="1"/>
  <c r="D341" i="60" s="1"/>
  <c r="D354" i="60" s="1"/>
  <c r="D362" i="60" s="1"/>
  <c r="D376" i="60" s="1"/>
  <c r="D389" i="60" s="1"/>
  <c r="D402" i="60" s="1"/>
  <c r="D410" i="60" s="1"/>
  <c r="D424" i="60" s="1"/>
  <c r="D437" i="60" s="1"/>
  <c r="D450" i="60" s="1"/>
  <c r="D458" i="60" s="1"/>
  <c r="D472" i="60" s="1"/>
  <c r="D485" i="60" s="1"/>
  <c r="D498" i="60" s="1"/>
  <c r="D506" i="60" s="1"/>
  <c r="D520" i="60" s="1"/>
  <c r="D533" i="60" s="1"/>
  <c r="D546" i="60" s="1"/>
  <c r="D554" i="60" s="1"/>
  <c r="D568" i="60" s="1"/>
  <c r="D581" i="60" s="1"/>
  <c r="D594" i="60" s="1"/>
  <c r="D602" i="60" s="1"/>
  <c r="D616" i="60" s="1"/>
  <c r="D629" i="60" s="1"/>
  <c r="D642" i="60" s="1"/>
  <c r="F83" i="60"/>
  <c r="G83" i="60"/>
  <c r="H83" i="60"/>
  <c r="I83" i="60"/>
  <c r="J83" i="60"/>
  <c r="K83" i="60"/>
  <c r="L83" i="60"/>
  <c r="M83" i="60"/>
  <c r="N83" i="60"/>
  <c r="O83" i="60"/>
  <c r="P83" i="60"/>
  <c r="Q83" i="60"/>
  <c r="R83" i="60"/>
  <c r="S83" i="60"/>
  <c r="T83" i="60"/>
  <c r="U83" i="60"/>
  <c r="V83" i="60"/>
  <c r="W83" i="60"/>
  <c r="X83" i="60"/>
  <c r="Y83" i="60"/>
  <c r="Z83" i="60"/>
  <c r="AA83" i="60"/>
  <c r="AB83" i="60"/>
  <c r="AC83" i="60"/>
  <c r="AD83" i="60"/>
  <c r="E200" i="43"/>
  <c r="O200" i="43"/>
  <c r="P576" i="60" l="1"/>
  <c r="AD595" i="60"/>
  <c r="AD596" i="60" s="1"/>
  <c r="AE18" i="60" s="1"/>
  <c r="AE53" i="60" s="1"/>
  <c r="O74" i="58"/>
  <c r="O32" i="58" s="1"/>
  <c r="BW8" i="59"/>
  <c r="BW22" i="59" s="1"/>
  <c r="T121" i="61"/>
  <c r="AZ24" i="59"/>
  <c r="AZ38" i="59" s="1"/>
  <c r="V66" i="58"/>
  <c r="AU25" i="59"/>
  <c r="Q67" i="58"/>
  <c r="O122" i="61"/>
  <c r="V68" i="58"/>
  <c r="Y22" i="61"/>
  <c r="X20" i="61"/>
  <c r="Y91" i="61"/>
  <c r="Y21" i="61" s="1"/>
  <c r="Y97" i="61"/>
  <c r="Y27" i="61" s="1"/>
  <c r="W24" i="60"/>
  <c r="W59" i="60" s="1"/>
  <c r="V27" i="60"/>
  <c r="V62" i="60" s="1"/>
  <c r="V28" i="60"/>
  <c r="V63" i="60" s="1"/>
  <c r="AC13" i="59"/>
  <c r="S13" i="59"/>
  <c r="J13" i="59"/>
  <c r="AB13" i="59"/>
  <c r="Q13" i="59"/>
  <c r="O13" i="59"/>
  <c r="R13" i="59"/>
  <c r="M13" i="59"/>
  <c r="Y13" i="59"/>
  <c r="P13" i="59"/>
  <c r="H13" i="59"/>
  <c r="W13" i="59"/>
  <c r="Z13" i="59"/>
  <c r="L13" i="59"/>
  <c r="N13" i="59"/>
  <c r="AA13" i="59"/>
  <c r="V13" i="59"/>
  <c r="U13" i="59"/>
  <c r="K13" i="59"/>
  <c r="AF13" i="59"/>
  <c r="AD13" i="59"/>
  <c r="X13" i="59"/>
  <c r="AE13" i="59"/>
  <c r="T13" i="59"/>
  <c r="I13" i="59"/>
  <c r="AG13" i="59"/>
  <c r="Z92" i="61"/>
  <c r="Y90" i="61"/>
  <c r="P432" i="60"/>
  <c r="G336" i="60"/>
  <c r="AD576" i="60"/>
  <c r="Z384" i="60"/>
  <c r="V595" i="60"/>
  <c r="V596" i="60" s="1"/>
  <c r="W18" i="60" s="1"/>
  <c r="W53" i="60" s="1"/>
  <c r="D335" i="60"/>
  <c r="E384" i="60"/>
  <c r="H624" i="60"/>
  <c r="T624" i="60"/>
  <c r="Y547" i="60"/>
  <c r="Y548" i="60" s="1"/>
  <c r="Z17" i="60" s="1"/>
  <c r="Z52" i="60" s="1"/>
  <c r="M528" i="60"/>
  <c r="N336" i="60"/>
  <c r="F595" i="60"/>
  <c r="F596" i="60" s="1"/>
  <c r="G18" i="60" s="1"/>
  <c r="G53" i="60" s="1"/>
  <c r="U384" i="60"/>
  <c r="AB595" i="60"/>
  <c r="AB596" i="60" s="1"/>
  <c r="AC18" i="60" s="1"/>
  <c r="AC53" i="60" s="1"/>
  <c r="E624" i="60"/>
  <c r="F643" i="60"/>
  <c r="F644" i="60" s="1"/>
  <c r="G19" i="60" s="1"/>
  <c r="G54" i="60" s="1"/>
  <c r="F403" i="60"/>
  <c r="F404" i="60" s="1"/>
  <c r="G14" i="60" s="1"/>
  <c r="G49" i="60" s="1"/>
  <c r="K384" i="60"/>
  <c r="N403" i="60"/>
  <c r="N404" i="60" s="1"/>
  <c r="O14" i="60" s="1"/>
  <c r="O49" i="60" s="1"/>
  <c r="Q451" i="60"/>
  <c r="Q452" i="60" s="1"/>
  <c r="R15" i="60" s="1"/>
  <c r="R50" i="60" s="1"/>
  <c r="AB384" i="60"/>
  <c r="I384" i="60"/>
  <c r="N576" i="60"/>
  <c r="I576" i="60"/>
  <c r="W595" i="60"/>
  <c r="W596" i="60" s="1"/>
  <c r="X18" i="60" s="1"/>
  <c r="X53" i="60" s="1"/>
  <c r="S259" i="60"/>
  <c r="S260" i="60" s="1"/>
  <c r="T11" i="60" s="1"/>
  <c r="T46" i="60" s="1"/>
  <c r="Q259" i="60"/>
  <c r="Q260" i="60" s="1"/>
  <c r="R11" i="60" s="1"/>
  <c r="R46" i="60" s="1"/>
  <c r="J336" i="60"/>
  <c r="AC528" i="60"/>
  <c r="M643" i="60"/>
  <c r="M644" i="60" s="1"/>
  <c r="N19" i="60" s="1"/>
  <c r="N54" i="60" s="1"/>
  <c r="R432" i="60"/>
  <c r="G288" i="60"/>
  <c r="S307" i="60"/>
  <c r="S308" i="60" s="1"/>
  <c r="T12" i="60" s="1"/>
  <c r="T47" i="60" s="1"/>
  <c r="AA480" i="60"/>
  <c r="AC547" i="60"/>
  <c r="AC548" i="60" s="1"/>
  <c r="AD17" i="60" s="1"/>
  <c r="AD52" i="60" s="1"/>
  <c r="H403" i="60"/>
  <c r="H404" i="60" s="1"/>
  <c r="I14" i="60" s="1"/>
  <c r="I49" i="60" s="1"/>
  <c r="L432" i="60"/>
  <c r="J576" i="60"/>
  <c r="AC403" i="60"/>
  <c r="AC404" i="60" s="1"/>
  <c r="AD14" i="60" s="1"/>
  <c r="AD49" i="60" s="1"/>
  <c r="AA384" i="60"/>
  <c r="U403" i="60"/>
  <c r="U404" i="60" s="1"/>
  <c r="V14" i="60" s="1"/>
  <c r="V49" i="60" s="1"/>
  <c r="I624" i="60"/>
  <c r="AB576" i="60"/>
  <c r="P595" i="60"/>
  <c r="P596" i="60" s="1"/>
  <c r="Q18" i="60" s="1"/>
  <c r="Q53" i="60" s="1"/>
  <c r="L624" i="60"/>
  <c r="K624" i="60"/>
  <c r="F451" i="60"/>
  <c r="F452" i="60" s="1"/>
  <c r="G15" i="60" s="1"/>
  <c r="G50" i="60" s="1"/>
  <c r="M384" i="60"/>
  <c r="K595" i="60"/>
  <c r="K596" i="60" s="1"/>
  <c r="L18" i="60" s="1"/>
  <c r="L53" i="60" s="1"/>
  <c r="S595" i="60"/>
  <c r="S596" i="60" s="1"/>
  <c r="T18" i="60" s="1"/>
  <c r="T53" i="60" s="1"/>
  <c r="Q384" i="60"/>
  <c r="X384" i="60"/>
  <c r="O499" i="60"/>
  <c r="O500" i="60" s="1"/>
  <c r="P16" i="60" s="1"/>
  <c r="P51" i="60" s="1"/>
  <c r="L499" i="60"/>
  <c r="L500" i="60" s="1"/>
  <c r="M16" i="60" s="1"/>
  <c r="M51" i="60" s="1"/>
  <c r="G624" i="60"/>
  <c r="F384" i="60"/>
  <c r="Q432" i="60"/>
  <c r="AC336" i="60"/>
  <c r="H336" i="60"/>
  <c r="F480" i="60"/>
  <c r="I499" i="60"/>
  <c r="I500" i="60" s="1"/>
  <c r="J16" i="60" s="1"/>
  <c r="J51" i="60" s="1"/>
  <c r="S499" i="60"/>
  <c r="S500" i="60" s="1"/>
  <c r="T16" i="60" s="1"/>
  <c r="T51" i="60" s="1"/>
  <c r="U643" i="60"/>
  <c r="U644" i="60" s="1"/>
  <c r="V19" i="60" s="1"/>
  <c r="V54" i="60" s="1"/>
  <c r="O576" i="60"/>
  <c r="Y595" i="60"/>
  <c r="Y596" i="60" s="1"/>
  <c r="Z18" i="60" s="1"/>
  <c r="Z53" i="60" s="1"/>
  <c r="Y643" i="60"/>
  <c r="Y644" i="60" s="1"/>
  <c r="Z19" i="60" s="1"/>
  <c r="Z54" i="60" s="1"/>
  <c r="L595" i="60"/>
  <c r="L596" i="60" s="1"/>
  <c r="M18" i="60" s="1"/>
  <c r="M53" i="60" s="1"/>
  <c r="AD432" i="60"/>
  <c r="R403" i="60"/>
  <c r="R404" i="60" s="1"/>
  <c r="S14" i="60" s="1"/>
  <c r="S49" i="60" s="1"/>
  <c r="AD403" i="60"/>
  <c r="AD404" i="60" s="1"/>
  <c r="AE14" i="60" s="1"/>
  <c r="AE49" i="60" s="1"/>
  <c r="Y288" i="60"/>
  <c r="T307" i="60"/>
  <c r="T308" i="60" s="1"/>
  <c r="U12" i="60" s="1"/>
  <c r="U47" i="60" s="1"/>
  <c r="AC384" i="60"/>
  <c r="K403" i="60"/>
  <c r="K404" i="60" s="1"/>
  <c r="L14" i="60" s="1"/>
  <c r="L49" i="60" s="1"/>
  <c r="U480" i="60"/>
  <c r="S576" i="60"/>
  <c r="AC624" i="60"/>
  <c r="T595" i="60"/>
  <c r="T596" i="60" s="1"/>
  <c r="U18" i="60" s="1"/>
  <c r="U53" i="60" s="1"/>
  <c r="W576" i="60"/>
  <c r="Q624" i="60"/>
  <c r="H576" i="60"/>
  <c r="N624" i="60"/>
  <c r="F432" i="60"/>
  <c r="W384" i="60"/>
  <c r="M336" i="60"/>
  <c r="AB307" i="60"/>
  <c r="AB308" i="60" s="1"/>
  <c r="AC12" i="60" s="1"/>
  <c r="AC47" i="60" s="1"/>
  <c r="AA307" i="60"/>
  <c r="AA308" i="60" s="1"/>
  <c r="AB12" i="60" s="1"/>
  <c r="AB47" i="60" s="1"/>
  <c r="Z288" i="60"/>
  <c r="W547" i="60"/>
  <c r="W548" i="60" s="1"/>
  <c r="X17" i="60" s="1"/>
  <c r="X52" i="60" s="1"/>
  <c r="Z528" i="60"/>
  <c r="O547" i="60"/>
  <c r="O548" i="60" s="1"/>
  <c r="P17" i="60" s="1"/>
  <c r="P52" i="60" s="1"/>
  <c r="U547" i="60"/>
  <c r="U548" i="60" s="1"/>
  <c r="V17" i="60" s="1"/>
  <c r="V52" i="60" s="1"/>
  <c r="AA643" i="60"/>
  <c r="AA644" i="60" s="1"/>
  <c r="AB19" i="60" s="1"/>
  <c r="AB54" i="60" s="1"/>
  <c r="Y384" i="60"/>
  <c r="S403" i="60"/>
  <c r="S404" i="60" s="1"/>
  <c r="T14" i="60" s="1"/>
  <c r="T49" i="60" s="1"/>
  <c r="I307" i="60"/>
  <c r="I308" i="60" s="1"/>
  <c r="J12" i="60" s="1"/>
  <c r="J47" i="60" s="1"/>
  <c r="D329" i="60"/>
  <c r="AC355" i="60"/>
  <c r="AC356" i="60" s="1"/>
  <c r="AD13" i="60" s="1"/>
  <c r="AD48" i="60" s="1"/>
  <c r="R336" i="60"/>
  <c r="AA403" i="60"/>
  <c r="AA404" i="60" s="1"/>
  <c r="AB14" i="60" s="1"/>
  <c r="AB49" i="60" s="1"/>
  <c r="AD547" i="60"/>
  <c r="AD548" i="60" s="1"/>
  <c r="AE17" i="60" s="1"/>
  <c r="AE52" i="60" s="1"/>
  <c r="E528" i="60"/>
  <c r="N547" i="60"/>
  <c r="N548" i="60" s="1"/>
  <c r="O17" i="60" s="1"/>
  <c r="O52" i="60" s="1"/>
  <c r="AB528" i="60"/>
  <c r="P528" i="60"/>
  <c r="Q528" i="60"/>
  <c r="F528" i="60"/>
  <c r="U576" i="60"/>
  <c r="O624" i="60"/>
  <c r="G576" i="60"/>
  <c r="S624" i="60"/>
  <c r="AA432" i="60"/>
  <c r="K307" i="60"/>
  <c r="K308" i="60" s="1"/>
  <c r="L12" i="60" s="1"/>
  <c r="L47" i="60" s="1"/>
  <c r="U259" i="60"/>
  <c r="U260" i="60" s="1"/>
  <c r="V11" i="60" s="1"/>
  <c r="V46" i="60" s="1"/>
  <c r="Z336" i="60"/>
  <c r="O336" i="60"/>
  <c r="H384" i="60"/>
  <c r="AA547" i="60"/>
  <c r="AA548" i="60" s="1"/>
  <c r="AB17" i="60" s="1"/>
  <c r="AB52" i="60" s="1"/>
  <c r="K547" i="60"/>
  <c r="K548" i="60" s="1"/>
  <c r="L17" i="60" s="1"/>
  <c r="L52" i="60" s="1"/>
  <c r="F576" i="60"/>
  <c r="F624" i="60"/>
  <c r="AB624" i="60"/>
  <c r="N595" i="60"/>
  <c r="N596" i="60" s="1"/>
  <c r="O18" i="60" s="1"/>
  <c r="O53" i="60" s="1"/>
  <c r="X576" i="60"/>
  <c r="T403" i="60"/>
  <c r="T404" i="60" s="1"/>
  <c r="U14" i="60" s="1"/>
  <c r="U49" i="60" s="1"/>
  <c r="U432" i="60"/>
  <c r="J595" i="60"/>
  <c r="J596" i="60" s="1"/>
  <c r="K18" i="60" s="1"/>
  <c r="K53" i="60" s="1"/>
  <c r="K499" i="60"/>
  <c r="K500" i="60" s="1"/>
  <c r="L16" i="60" s="1"/>
  <c r="L51" i="60" s="1"/>
  <c r="D573" i="60"/>
  <c r="AA336" i="60"/>
  <c r="F336" i="60"/>
  <c r="T355" i="60"/>
  <c r="T356" i="60" s="1"/>
  <c r="U13" i="60" s="1"/>
  <c r="U48" i="60" s="1"/>
  <c r="I336" i="60"/>
  <c r="R451" i="60"/>
  <c r="R452" i="60" s="1"/>
  <c r="S15" i="60" s="1"/>
  <c r="S50" i="60" s="1"/>
  <c r="E499" i="60"/>
  <c r="E500" i="60" s="1"/>
  <c r="F16" i="60" s="1"/>
  <c r="F51" i="60" s="1"/>
  <c r="H547" i="60"/>
  <c r="H548" i="60" s="1"/>
  <c r="I17" i="60" s="1"/>
  <c r="I52" i="60" s="1"/>
  <c r="N643" i="60"/>
  <c r="N644" i="60" s="1"/>
  <c r="O19" i="60" s="1"/>
  <c r="O54" i="60" s="1"/>
  <c r="I595" i="60"/>
  <c r="I596" i="60" s="1"/>
  <c r="J18" i="60" s="1"/>
  <c r="J53" i="60" s="1"/>
  <c r="U595" i="60"/>
  <c r="U596" i="60" s="1"/>
  <c r="V18" i="60" s="1"/>
  <c r="V53" i="60" s="1"/>
  <c r="E576" i="60"/>
  <c r="E643" i="60"/>
  <c r="E644" i="60" s="1"/>
  <c r="F19" i="60" s="1"/>
  <c r="F54" i="60" s="1"/>
  <c r="V576" i="60"/>
  <c r="P624" i="60"/>
  <c r="R643" i="60"/>
  <c r="R644" i="60" s="1"/>
  <c r="S19" i="60" s="1"/>
  <c r="S54" i="60" s="1"/>
  <c r="X403" i="60"/>
  <c r="X404" i="60" s="1"/>
  <c r="Y14" i="60" s="1"/>
  <c r="Y49" i="60" s="1"/>
  <c r="R384" i="60"/>
  <c r="D571" i="60"/>
  <c r="N355" i="60"/>
  <c r="N356" i="60" s="1"/>
  <c r="O13" i="60" s="1"/>
  <c r="O48" i="60" s="1"/>
  <c r="R355" i="60"/>
  <c r="R356" i="60" s="1"/>
  <c r="S13" i="60" s="1"/>
  <c r="S48" i="60" s="1"/>
  <c r="K259" i="60"/>
  <c r="K260" i="60" s="1"/>
  <c r="L11" i="60" s="1"/>
  <c r="L46" i="60" s="1"/>
  <c r="T259" i="60"/>
  <c r="T260" i="60" s="1"/>
  <c r="U11" i="60" s="1"/>
  <c r="U46" i="60" s="1"/>
  <c r="Y355" i="60"/>
  <c r="Y356" i="60" s="1"/>
  <c r="Z13" i="60" s="1"/>
  <c r="Z48" i="60" s="1"/>
  <c r="N384" i="60"/>
  <c r="E547" i="60"/>
  <c r="E548" i="60" s="1"/>
  <c r="F17" i="60" s="1"/>
  <c r="F52" i="60" s="1"/>
  <c r="V643" i="60"/>
  <c r="V644" i="60" s="1"/>
  <c r="W19" i="60" s="1"/>
  <c r="W54" i="60" s="1"/>
  <c r="Q595" i="60"/>
  <c r="Q596" i="60" s="1"/>
  <c r="R18" i="60" s="1"/>
  <c r="R53" i="60" s="1"/>
  <c r="AC595" i="60"/>
  <c r="AC596" i="60" s="1"/>
  <c r="AD18" i="60" s="1"/>
  <c r="AD53" i="60" s="1"/>
  <c r="M576" i="60"/>
  <c r="M624" i="60"/>
  <c r="W624" i="60"/>
  <c r="K643" i="60"/>
  <c r="K644" i="60" s="1"/>
  <c r="L19" i="60" s="1"/>
  <c r="L54" i="60" s="1"/>
  <c r="Z595" i="60"/>
  <c r="Z596" i="60" s="1"/>
  <c r="AA18" i="60" s="1"/>
  <c r="AA53" i="60" s="1"/>
  <c r="AA595" i="60"/>
  <c r="AA596" i="60" s="1"/>
  <c r="AB18" i="60" s="1"/>
  <c r="AB53" i="60" s="1"/>
  <c r="T547" i="60"/>
  <c r="T548" i="60" s="1"/>
  <c r="U17" i="60" s="1"/>
  <c r="U52" i="60" s="1"/>
  <c r="J432" i="60"/>
  <c r="Z403" i="60"/>
  <c r="Z404" i="60" s="1"/>
  <c r="AA14" i="60" s="1"/>
  <c r="AA49" i="60" s="1"/>
  <c r="L403" i="60"/>
  <c r="L404" i="60" s="1"/>
  <c r="M14" i="60" s="1"/>
  <c r="M49" i="60" s="1"/>
  <c r="J403" i="60"/>
  <c r="J404" i="60" s="1"/>
  <c r="K14" i="60" s="1"/>
  <c r="K49" i="60" s="1"/>
  <c r="V403" i="60"/>
  <c r="V404" i="60" s="1"/>
  <c r="W14" i="60" s="1"/>
  <c r="W49" i="60" s="1"/>
  <c r="P403" i="60"/>
  <c r="P404" i="60" s="1"/>
  <c r="Q14" i="60" s="1"/>
  <c r="Q49" i="60" s="1"/>
  <c r="R595" i="60"/>
  <c r="R596" i="60" s="1"/>
  <c r="S18" i="60" s="1"/>
  <c r="S53" i="60" s="1"/>
  <c r="AC432" i="60"/>
  <c r="G140" i="60"/>
  <c r="H187" i="59"/>
  <c r="J9" i="59" s="1"/>
  <c r="W140" i="60"/>
  <c r="X187" i="59"/>
  <c r="Z9" i="59" s="1"/>
  <c r="H140" i="60"/>
  <c r="I187" i="59"/>
  <c r="K9" i="59" s="1"/>
  <c r="R259" i="60"/>
  <c r="R260" i="60" s="1"/>
  <c r="S11" i="60" s="1"/>
  <c r="S46" i="60" s="1"/>
  <c r="O480" i="60"/>
  <c r="H643" i="60"/>
  <c r="H644" i="60" s="1"/>
  <c r="I19" i="60" s="1"/>
  <c r="I54" i="60" s="1"/>
  <c r="E139" i="60"/>
  <c r="F187" i="59"/>
  <c r="H9" i="59" s="1"/>
  <c r="M138" i="60"/>
  <c r="N187" i="59"/>
  <c r="P9" i="59" s="1"/>
  <c r="U138" i="60"/>
  <c r="V187" i="59"/>
  <c r="X9" i="59" s="1"/>
  <c r="AC138" i="60"/>
  <c r="AD187" i="59"/>
  <c r="AF9" i="59" s="1"/>
  <c r="O288" i="60"/>
  <c r="AA355" i="60"/>
  <c r="AA356" i="60" s="1"/>
  <c r="AB13" i="60" s="1"/>
  <c r="AB48" i="60" s="1"/>
  <c r="W336" i="60"/>
  <c r="S336" i="60"/>
  <c r="H355" i="60"/>
  <c r="H356" i="60" s="1"/>
  <c r="I13" i="60" s="1"/>
  <c r="I48" i="60" s="1"/>
  <c r="V384" i="60"/>
  <c r="T384" i="60"/>
  <c r="I403" i="60"/>
  <c r="I404" i="60" s="1"/>
  <c r="J14" i="60" s="1"/>
  <c r="J49" i="60" s="1"/>
  <c r="H499" i="60"/>
  <c r="H500" i="60" s="1"/>
  <c r="I16" i="60" s="1"/>
  <c r="I51" i="60" s="1"/>
  <c r="P480" i="60"/>
  <c r="Y499" i="60"/>
  <c r="Y500" i="60" s="1"/>
  <c r="Z16" i="60" s="1"/>
  <c r="Z51" i="60" s="1"/>
  <c r="AD499" i="60"/>
  <c r="AD500" i="60" s="1"/>
  <c r="AE16" i="60" s="1"/>
  <c r="AE51" i="60" s="1"/>
  <c r="W528" i="60"/>
  <c r="Y576" i="60"/>
  <c r="M595" i="60"/>
  <c r="M596" i="60" s="1"/>
  <c r="N18" i="60" s="1"/>
  <c r="N53" i="60" s="1"/>
  <c r="Z576" i="60"/>
  <c r="H595" i="60"/>
  <c r="H596" i="60" s="1"/>
  <c r="I18" i="60" s="1"/>
  <c r="I53" i="60" s="1"/>
  <c r="AA624" i="60"/>
  <c r="U624" i="60"/>
  <c r="I643" i="60"/>
  <c r="I644" i="60" s="1"/>
  <c r="J19" i="60" s="1"/>
  <c r="J54" i="60" s="1"/>
  <c r="T643" i="60"/>
  <c r="T644" i="60" s="1"/>
  <c r="U19" i="60" s="1"/>
  <c r="U54" i="60" s="1"/>
  <c r="S643" i="60"/>
  <c r="S644" i="60" s="1"/>
  <c r="T19" i="60" s="1"/>
  <c r="T54" i="60" s="1"/>
  <c r="O140" i="60"/>
  <c r="P187" i="59"/>
  <c r="R9" i="59" s="1"/>
  <c r="R307" i="60"/>
  <c r="R308" i="60" s="1"/>
  <c r="S12" i="60" s="1"/>
  <c r="S47" i="60" s="1"/>
  <c r="Q403" i="60"/>
  <c r="Q404" i="60" s="1"/>
  <c r="R14" i="60" s="1"/>
  <c r="R49" i="60" s="1"/>
  <c r="F137" i="60"/>
  <c r="G187" i="59"/>
  <c r="I9" i="59" s="1"/>
  <c r="N137" i="60"/>
  <c r="O187" i="59"/>
  <c r="Q9" i="59" s="1"/>
  <c r="V137" i="60"/>
  <c r="W187" i="59"/>
  <c r="Y9" i="59" s="1"/>
  <c r="AD137" i="60"/>
  <c r="AE187" i="59"/>
  <c r="AG9" i="59" s="1"/>
  <c r="AB259" i="60"/>
  <c r="AB260" i="60" s="1"/>
  <c r="AC11" i="60" s="1"/>
  <c r="AC46" i="60" s="1"/>
  <c r="AC259" i="60"/>
  <c r="AC260" i="60" s="1"/>
  <c r="AD11" i="60" s="1"/>
  <c r="AD46" i="60" s="1"/>
  <c r="W307" i="60"/>
  <c r="W308" i="60" s="1"/>
  <c r="X12" i="60" s="1"/>
  <c r="X47" i="60" s="1"/>
  <c r="L307" i="60"/>
  <c r="L308" i="60" s="1"/>
  <c r="M12" i="60" s="1"/>
  <c r="M47" i="60" s="1"/>
  <c r="Y336" i="60"/>
  <c r="D333" i="60"/>
  <c r="Z355" i="60"/>
  <c r="Z356" i="60" s="1"/>
  <c r="AA13" i="60" s="1"/>
  <c r="AA48" i="60" s="1"/>
  <c r="L384" i="60"/>
  <c r="P192" i="59"/>
  <c r="R14" i="59" s="1"/>
  <c r="O379" i="60"/>
  <c r="O383" i="60"/>
  <c r="O380" i="60"/>
  <c r="O377" i="60"/>
  <c r="O378" i="60"/>
  <c r="O382" i="60"/>
  <c r="O381" i="60"/>
  <c r="AB403" i="60"/>
  <c r="AB404" i="60" s="1"/>
  <c r="AC14" i="60" s="1"/>
  <c r="AC49" i="60" s="1"/>
  <c r="E480" i="60"/>
  <c r="P499" i="60"/>
  <c r="P500" i="60" s="1"/>
  <c r="Q16" i="60" s="1"/>
  <c r="Q51" i="60" s="1"/>
  <c r="X480" i="60"/>
  <c r="AD528" i="60"/>
  <c r="V547" i="60"/>
  <c r="V548" i="60" s="1"/>
  <c r="W17" i="60" s="1"/>
  <c r="W52" i="60" s="1"/>
  <c r="Y528" i="60"/>
  <c r="T528" i="60"/>
  <c r="I547" i="60"/>
  <c r="I548" i="60" s="1"/>
  <c r="J17" i="60" s="1"/>
  <c r="J52" i="60" s="1"/>
  <c r="M547" i="60"/>
  <c r="M548" i="60" s="1"/>
  <c r="N17" i="60" s="1"/>
  <c r="N52" i="60" s="1"/>
  <c r="AA528" i="60"/>
  <c r="Q576" i="60"/>
  <c r="T576" i="60"/>
  <c r="E595" i="60"/>
  <c r="E596" i="60" s="1"/>
  <c r="F18" i="60" s="1"/>
  <c r="F53" i="60" s="1"/>
  <c r="R576" i="60"/>
  <c r="K576" i="60"/>
  <c r="Q643" i="60"/>
  <c r="Q644" i="60" s="1"/>
  <c r="R19" i="60" s="1"/>
  <c r="R54" i="60" s="1"/>
  <c r="AB643" i="60"/>
  <c r="AB644" i="60" s="1"/>
  <c r="AC19" i="60" s="1"/>
  <c r="AC54" i="60" s="1"/>
  <c r="D574" i="60"/>
  <c r="F259" i="60"/>
  <c r="F260" i="60" s="1"/>
  <c r="G11" i="60" s="1"/>
  <c r="G46" i="60" s="1"/>
  <c r="X140" i="60"/>
  <c r="Y187" i="59"/>
  <c r="AA9" i="59" s="1"/>
  <c r="AD307" i="60"/>
  <c r="AD308" i="60" s="1"/>
  <c r="AE12" i="60" s="1"/>
  <c r="AE47" i="60" s="1"/>
  <c r="P384" i="60"/>
  <c r="R624" i="60"/>
  <c r="D622" i="60"/>
  <c r="D619" i="60"/>
  <c r="I137" i="60"/>
  <c r="J187" i="59"/>
  <c r="L9" i="59" s="1"/>
  <c r="Q137" i="60"/>
  <c r="R187" i="59"/>
  <c r="T9" i="59" s="1"/>
  <c r="Y137" i="60"/>
  <c r="Z187" i="59"/>
  <c r="AB9" i="59" s="1"/>
  <c r="Z259" i="60"/>
  <c r="Z260" i="60" s="1"/>
  <c r="AA11" i="60" s="1"/>
  <c r="AA46" i="60" s="1"/>
  <c r="O259" i="60"/>
  <c r="O260" i="60" s="1"/>
  <c r="P11" i="60" s="1"/>
  <c r="P46" i="60" s="1"/>
  <c r="AA259" i="60"/>
  <c r="AA260" i="60" s="1"/>
  <c r="AB11" i="60" s="1"/>
  <c r="AB46" i="60" s="1"/>
  <c r="X259" i="60"/>
  <c r="X260" i="60" s="1"/>
  <c r="Y11" i="60" s="1"/>
  <c r="Y46" i="60" s="1"/>
  <c r="J259" i="60"/>
  <c r="J260" i="60" s="1"/>
  <c r="K11" i="60" s="1"/>
  <c r="K46" i="60" s="1"/>
  <c r="Y259" i="60"/>
  <c r="Y260" i="60" s="1"/>
  <c r="Z11" i="60" s="1"/>
  <c r="Z46" i="60" s="1"/>
  <c r="U307" i="60"/>
  <c r="U308" i="60" s="1"/>
  <c r="V12" i="60" s="1"/>
  <c r="V47" i="60" s="1"/>
  <c r="Z307" i="60"/>
  <c r="Z308" i="60" s="1"/>
  <c r="AA12" i="60" s="1"/>
  <c r="AA47" i="60" s="1"/>
  <c r="D331" i="60"/>
  <c r="L355" i="60"/>
  <c r="L356" i="60" s="1"/>
  <c r="M13" i="60" s="1"/>
  <c r="M48" i="60" s="1"/>
  <c r="J384" i="60"/>
  <c r="M403" i="60"/>
  <c r="M404" i="60" s="1"/>
  <c r="N14" i="60" s="1"/>
  <c r="N49" i="60" s="1"/>
  <c r="Y403" i="60"/>
  <c r="Y404" i="60" s="1"/>
  <c r="Z14" i="60" s="1"/>
  <c r="Z49" i="60" s="1"/>
  <c r="E193" i="59"/>
  <c r="D431" i="60"/>
  <c r="D425" i="60"/>
  <c r="D426" i="60"/>
  <c r="D428" i="60"/>
  <c r="M499" i="60"/>
  <c r="M500" i="60" s="1"/>
  <c r="N16" i="60" s="1"/>
  <c r="N51" i="60" s="1"/>
  <c r="R480" i="60"/>
  <c r="N499" i="60"/>
  <c r="N500" i="60" s="1"/>
  <c r="O16" i="60" s="1"/>
  <c r="O51" i="60" s="1"/>
  <c r="AB499" i="60"/>
  <c r="AB500" i="60" s="1"/>
  <c r="AC16" i="60" s="1"/>
  <c r="AC51" i="60" s="1"/>
  <c r="U528" i="60"/>
  <c r="J528" i="60"/>
  <c r="R547" i="60"/>
  <c r="R548" i="60" s="1"/>
  <c r="S17" i="60" s="1"/>
  <c r="S52" i="60" s="1"/>
  <c r="G547" i="60"/>
  <c r="G548" i="60" s="1"/>
  <c r="H17" i="60" s="1"/>
  <c r="H52" i="60" s="1"/>
  <c r="S547" i="60"/>
  <c r="S548" i="60" s="1"/>
  <c r="T17" i="60" s="1"/>
  <c r="T52" i="60" s="1"/>
  <c r="AB547" i="60"/>
  <c r="AB548" i="60" s="1"/>
  <c r="AC17" i="60" s="1"/>
  <c r="AC52" i="60" s="1"/>
  <c r="F547" i="60"/>
  <c r="F548" i="60" s="1"/>
  <c r="G17" i="60" s="1"/>
  <c r="G52" i="60" s="1"/>
  <c r="O528" i="60"/>
  <c r="AC576" i="60"/>
  <c r="G595" i="60"/>
  <c r="G596" i="60" s="1"/>
  <c r="H18" i="60" s="1"/>
  <c r="H53" i="60" s="1"/>
  <c r="G643" i="60"/>
  <c r="G644" i="60" s="1"/>
  <c r="H19" i="60" s="1"/>
  <c r="H54" i="60" s="1"/>
  <c r="P643" i="60"/>
  <c r="P644" i="60" s="1"/>
  <c r="Q19" i="60" s="1"/>
  <c r="Q54" i="60" s="1"/>
  <c r="AC643" i="60"/>
  <c r="AC644" i="60" s="1"/>
  <c r="AD19" i="60" s="1"/>
  <c r="AD54" i="60" s="1"/>
  <c r="D617" i="60"/>
  <c r="D430" i="60"/>
  <c r="L528" i="60"/>
  <c r="P140" i="60"/>
  <c r="Q187" i="59"/>
  <c r="S9" i="59" s="1"/>
  <c r="G259" i="60"/>
  <c r="G260" i="60" s="1"/>
  <c r="H11" i="60" s="1"/>
  <c r="H46" i="60" s="1"/>
  <c r="E195" i="59"/>
  <c r="D522" i="60"/>
  <c r="O595" i="60"/>
  <c r="O596" i="60" s="1"/>
  <c r="P18" i="60" s="1"/>
  <c r="P53" i="60" s="1"/>
  <c r="D623" i="60"/>
  <c r="J139" i="60"/>
  <c r="K187" i="59"/>
  <c r="M9" i="59" s="1"/>
  <c r="R139" i="60"/>
  <c r="S187" i="59"/>
  <c r="U9" i="59" s="1"/>
  <c r="Z139" i="60"/>
  <c r="AA187" i="59"/>
  <c r="AC9" i="59" s="1"/>
  <c r="W259" i="60"/>
  <c r="W260" i="60" s="1"/>
  <c r="X11" i="60" s="1"/>
  <c r="X46" i="60" s="1"/>
  <c r="Q307" i="60"/>
  <c r="Q308" i="60" s="1"/>
  <c r="R12" i="60" s="1"/>
  <c r="R47" i="60" s="1"/>
  <c r="D330" i="60"/>
  <c r="T336" i="60"/>
  <c r="V336" i="60"/>
  <c r="J355" i="60"/>
  <c r="J356" i="60" s="1"/>
  <c r="K13" i="60" s="1"/>
  <c r="K48" i="60" s="1"/>
  <c r="P336" i="60"/>
  <c r="E403" i="60"/>
  <c r="E404" i="60" s="1"/>
  <c r="F14" i="60" s="1"/>
  <c r="F49" i="60" s="1"/>
  <c r="X193" i="59"/>
  <c r="Z15" i="59" s="1"/>
  <c r="W428" i="60"/>
  <c r="W426" i="60"/>
  <c r="W429" i="60"/>
  <c r="W431" i="60"/>
  <c r="W425" i="60"/>
  <c r="W432" i="60" s="1"/>
  <c r="W430" i="60"/>
  <c r="W427" i="60"/>
  <c r="U499" i="60"/>
  <c r="U500" i="60" s="1"/>
  <c r="V16" i="60" s="1"/>
  <c r="V51" i="60" s="1"/>
  <c r="AA499" i="60"/>
  <c r="AA500" i="60" s="1"/>
  <c r="AB16" i="60" s="1"/>
  <c r="AB51" i="60" s="1"/>
  <c r="V499" i="60"/>
  <c r="V500" i="60" s="1"/>
  <c r="W16" i="60" s="1"/>
  <c r="W51" i="60" s="1"/>
  <c r="Z499" i="60"/>
  <c r="Z500" i="60" s="1"/>
  <c r="AA16" i="60" s="1"/>
  <c r="AA51" i="60" s="1"/>
  <c r="L480" i="60"/>
  <c r="K528" i="60"/>
  <c r="AA576" i="60"/>
  <c r="V624" i="60"/>
  <c r="Y624" i="60"/>
  <c r="O643" i="60"/>
  <c r="O644" i="60" s="1"/>
  <c r="P19" i="60" s="1"/>
  <c r="P54" i="60" s="1"/>
  <c r="D524" i="60"/>
  <c r="D523" i="60"/>
  <c r="D527" i="60"/>
  <c r="D526" i="60"/>
  <c r="AD259" i="60"/>
  <c r="AD260" i="60" s="1"/>
  <c r="AE11" i="60" s="1"/>
  <c r="AE46" i="60" s="1"/>
  <c r="K140" i="60"/>
  <c r="L187" i="59"/>
  <c r="N9" i="59" s="1"/>
  <c r="S140" i="60"/>
  <c r="T187" i="59"/>
  <c r="V9" i="59" s="1"/>
  <c r="AA140" i="60"/>
  <c r="AB187" i="59"/>
  <c r="AD9" i="59" s="1"/>
  <c r="E259" i="60"/>
  <c r="E260" i="60" s="1"/>
  <c r="F11" i="60" s="1"/>
  <c r="F46" i="60" s="1"/>
  <c r="N259" i="60"/>
  <c r="N260" i="60" s="1"/>
  <c r="O11" i="60" s="1"/>
  <c r="O46" i="60" s="1"/>
  <c r="P307" i="60"/>
  <c r="P308" i="60" s="1"/>
  <c r="Q12" i="60" s="1"/>
  <c r="Q47" i="60" s="1"/>
  <c r="D334" i="60"/>
  <c r="U336" i="60"/>
  <c r="AB355" i="60"/>
  <c r="AB356" i="60" s="1"/>
  <c r="AC13" i="60" s="1"/>
  <c r="AC48" i="60" s="1"/>
  <c r="Q336" i="60"/>
  <c r="AD336" i="60"/>
  <c r="X336" i="60"/>
  <c r="P193" i="59"/>
  <c r="R15" i="59" s="1"/>
  <c r="O428" i="60"/>
  <c r="O427" i="60"/>
  <c r="O426" i="60"/>
  <c r="O431" i="60"/>
  <c r="O429" i="60"/>
  <c r="O430" i="60"/>
  <c r="O425" i="60"/>
  <c r="AC480" i="60"/>
  <c r="F499" i="60"/>
  <c r="F500" i="60" s="1"/>
  <c r="G16" i="60" s="1"/>
  <c r="G51" i="60" s="1"/>
  <c r="T480" i="60"/>
  <c r="Q499" i="60"/>
  <c r="Q500" i="60" s="1"/>
  <c r="R16" i="60" s="1"/>
  <c r="R51" i="60" s="1"/>
  <c r="J480" i="60"/>
  <c r="I528" i="60"/>
  <c r="E196" i="59"/>
  <c r="D569" i="60"/>
  <c r="D572" i="60"/>
  <c r="W643" i="60"/>
  <c r="W644" i="60" s="1"/>
  <c r="X19" i="60" s="1"/>
  <c r="X54" i="60" s="1"/>
  <c r="D575" i="60"/>
  <c r="D525" i="60"/>
  <c r="E355" i="60"/>
  <c r="E356" i="60" s="1"/>
  <c r="F13" i="60" s="1"/>
  <c r="F48" i="60" s="1"/>
  <c r="H192" i="59"/>
  <c r="J14" i="59" s="1"/>
  <c r="G379" i="60"/>
  <c r="G383" i="60"/>
  <c r="G377" i="60"/>
  <c r="G380" i="60"/>
  <c r="G378" i="60"/>
  <c r="G382" i="60"/>
  <c r="G381" i="60"/>
  <c r="E197" i="59"/>
  <c r="D620" i="60"/>
  <c r="D621" i="60"/>
  <c r="L139" i="60"/>
  <c r="M187" i="59"/>
  <c r="O9" i="59" s="1"/>
  <c r="T139" i="60"/>
  <c r="U187" i="59"/>
  <c r="W9" i="59" s="1"/>
  <c r="AB139" i="60"/>
  <c r="AC187" i="59"/>
  <c r="AE9" i="59" s="1"/>
  <c r="M259" i="60"/>
  <c r="M260" i="60" s="1"/>
  <c r="N11" i="60" s="1"/>
  <c r="N46" i="60" s="1"/>
  <c r="V259" i="60"/>
  <c r="V260" i="60" s="1"/>
  <c r="W11" i="60" s="1"/>
  <c r="W46" i="60" s="1"/>
  <c r="D235" i="60"/>
  <c r="E189" i="59"/>
  <c r="G307" i="60"/>
  <c r="G308" i="60" s="1"/>
  <c r="H12" i="60" s="1"/>
  <c r="H47" i="60" s="1"/>
  <c r="X288" i="60"/>
  <c r="J307" i="60"/>
  <c r="J308" i="60" s="1"/>
  <c r="K12" i="60" s="1"/>
  <c r="K47" i="60" s="1"/>
  <c r="H288" i="60"/>
  <c r="I288" i="60"/>
  <c r="D332" i="60"/>
  <c r="K336" i="60"/>
  <c r="M355" i="60"/>
  <c r="M356" i="60" s="1"/>
  <c r="N13" i="60" s="1"/>
  <c r="N48" i="60" s="1"/>
  <c r="G355" i="60"/>
  <c r="G356" i="60" s="1"/>
  <c r="H13" i="60" s="1"/>
  <c r="H48" i="60" s="1"/>
  <c r="AD384" i="60"/>
  <c r="S384" i="60"/>
  <c r="H193" i="59"/>
  <c r="J15" i="59" s="1"/>
  <c r="G428" i="60"/>
  <c r="G426" i="60"/>
  <c r="G431" i="60"/>
  <c r="G425" i="60"/>
  <c r="G430" i="60"/>
  <c r="G427" i="60"/>
  <c r="G429" i="60"/>
  <c r="T499" i="60"/>
  <c r="T500" i="60" s="1"/>
  <c r="U16" i="60" s="1"/>
  <c r="U51" i="60" s="1"/>
  <c r="N480" i="60"/>
  <c r="K480" i="60"/>
  <c r="L643" i="60"/>
  <c r="L644" i="60" s="1"/>
  <c r="M19" i="60" s="1"/>
  <c r="M54" i="60" s="1"/>
  <c r="D429" i="60"/>
  <c r="D427" i="60"/>
  <c r="D185" i="60"/>
  <c r="E188" i="59"/>
  <c r="H90" i="60"/>
  <c r="I186" i="59"/>
  <c r="K8" i="59" s="1"/>
  <c r="X90" i="60"/>
  <c r="Y186" i="59"/>
  <c r="AA8" i="59" s="1"/>
  <c r="W90" i="60"/>
  <c r="X186" i="59"/>
  <c r="Z8" i="59" s="1"/>
  <c r="O90" i="60"/>
  <c r="P186" i="59"/>
  <c r="R8" i="59" s="1"/>
  <c r="G90" i="60"/>
  <c r="H186" i="59"/>
  <c r="J8" i="59" s="1"/>
  <c r="AD91" i="60"/>
  <c r="AE186" i="59"/>
  <c r="AG8" i="59" s="1"/>
  <c r="V91" i="60"/>
  <c r="W186" i="59"/>
  <c r="Y8" i="59" s="1"/>
  <c r="N91" i="60"/>
  <c r="O186" i="59"/>
  <c r="Q8" i="59" s="1"/>
  <c r="F91" i="60"/>
  <c r="G186" i="59"/>
  <c r="I8" i="59" s="1"/>
  <c r="AC91" i="60"/>
  <c r="AD186" i="59"/>
  <c r="AF8" i="59" s="1"/>
  <c r="U91" i="60"/>
  <c r="V186" i="59"/>
  <c r="X8" i="59" s="1"/>
  <c r="M91" i="60"/>
  <c r="N186" i="59"/>
  <c r="P8" i="59" s="1"/>
  <c r="AB90" i="60"/>
  <c r="AC186" i="59"/>
  <c r="AE8" i="59" s="1"/>
  <c r="T90" i="60"/>
  <c r="U186" i="59"/>
  <c r="W8" i="59" s="1"/>
  <c r="L90" i="60"/>
  <c r="M186" i="59"/>
  <c r="O8" i="59" s="1"/>
  <c r="P90" i="60"/>
  <c r="Q186" i="59"/>
  <c r="S8" i="59" s="1"/>
  <c r="E91" i="60"/>
  <c r="F186" i="59"/>
  <c r="H8" i="59" s="1"/>
  <c r="AA91" i="60"/>
  <c r="AB186" i="59"/>
  <c r="AD8" i="59" s="1"/>
  <c r="S91" i="60"/>
  <c r="T186" i="59"/>
  <c r="V8" i="59" s="1"/>
  <c r="K91" i="60"/>
  <c r="L186" i="59"/>
  <c r="N8" i="59" s="1"/>
  <c r="Z91" i="60"/>
  <c r="AA186" i="59"/>
  <c r="AC8" i="59" s="1"/>
  <c r="R91" i="60"/>
  <c r="S186" i="59"/>
  <c r="U8" i="59" s="1"/>
  <c r="J91" i="60"/>
  <c r="K186" i="59"/>
  <c r="M8" i="59" s="1"/>
  <c r="Y93" i="60"/>
  <c r="Z186" i="59"/>
  <c r="AB8" i="59" s="1"/>
  <c r="Q93" i="60"/>
  <c r="R186" i="59"/>
  <c r="T8" i="59" s="1"/>
  <c r="I93" i="60"/>
  <c r="J186" i="59"/>
  <c r="L8" i="59" s="1"/>
  <c r="V528" i="60"/>
  <c r="L547" i="60"/>
  <c r="L548" i="60" s="1"/>
  <c r="M17" i="60" s="1"/>
  <c r="M52" i="60" s="1"/>
  <c r="Z547" i="60"/>
  <c r="Z548" i="60" s="1"/>
  <c r="AA17" i="60" s="1"/>
  <c r="AA52" i="60" s="1"/>
  <c r="P547" i="60"/>
  <c r="P548" i="60" s="1"/>
  <c r="Q17" i="60" s="1"/>
  <c r="Q52" i="60" s="1"/>
  <c r="N528" i="60"/>
  <c r="Q547" i="60"/>
  <c r="Q548" i="60" s="1"/>
  <c r="R17" i="60" s="1"/>
  <c r="R52" i="60" s="1"/>
  <c r="S528" i="60"/>
  <c r="R528" i="60"/>
  <c r="H528" i="60"/>
  <c r="G528" i="60"/>
  <c r="J547" i="60"/>
  <c r="J548" i="60" s="1"/>
  <c r="K17" i="60" s="1"/>
  <c r="K52" i="60" s="1"/>
  <c r="G473" i="60"/>
  <c r="G474" i="60"/>
  <c r="G475" i="60"/>
  <c r="G479" i="60"/>
  <c r="G476" i="60"/>
  <c r="G477" i="60"/>
  <c r="G478" i="60"/>
  <c r="J499" i="60"/>
  <c r="J500" i="60" s="1"/>
  <c r="K16" i="60" s="1"/>
  <c r="K51" i="60" s="1"/>
  <c r="I480" i="60"/>
  <c r="S480" i="60"/>
  <c r="R499" i="60"/>
  <c r="R500" i="60" s="1"/>
  <c r="S16" i="60" s="1"/>
  <c r="S51" i="60" s="1"/>
  <c r="X499" i="60"/>
  <c r="X500" i="60" s="1"/>
  <c r="Y16" i="60" s="1"/>
  <c r="Y51" i="60" s="1"/>
  <c r="Q480" i="60"/>
  <c r="M480" i="60"/>
  <c r="H480" i="60"/>
  <c r="Y480" i="60"/>
  <c r="AC499" i="60"/>
  <c r="AC500" i="60" s="1"/>
  <c r="AD16" i="60" s="1"/>
  <c r="AD51" i="60" s="1"/>
  <c r="V480" i="60"/>
  <c r="AD480" i="60"/>
  <c r="W473" i="60"/>
  <c r="W479" i="60"/>
  <c r="W474" i="60"/>
  <c r="W475" i="60"/>
  <c r="W476" i="60"/>
  <c r="W477" i="60"/>
  <c r="W478" i="60"/>
  <c r="Z480" i="60"/>
  <c r="AB480" i="60"/>
  <c r="D474" i="60"/>
  <c r="D475" i="60"/>
  <c r="D476" i="60"/>
  <c r="D477" i="60"/>
  <c r="D478" i="60"/>
  <c r="D479" i="60"/>
  <c r="D473" i="60"/>
  <c r="D370" i="60"/>
  <c r="D383" i="60" s="1"/>
  <c r="W403" i="60"/>
  <c r="W404" i="60" s="1"/>
  <c r="X14" i="60" s="1"/>
  <c r="X49" i="60" s="1"/>
  <c r="D184" i="60"/>
  <c r="AB336" i="60"/>
  <c r="O355" i="60"/>
  <c r="O356" i="60" s="1"/>
  <c r="P13" i="60" s="1"/>
  <c r="P48" i="60" s="1"/>
  <c r="P355" i="60"/>
  <c r="P356" i="60" s="1"/>
  <c r="Q13" i="60" s="1"/>
  <c r="Q48" i="60" s="1"/>
  <c r="K355" i="60"/>
  <c r="K356" i="60" s="1"/>
  <c r="L13" i="60" s="1"/>
  <c r="L48" i="60" s="1"/>
  <c r="W355" i="60"/>
  <c r="W356" i="60" s="1"/>
  <c r="X13" i="60" s="1"/>
  <c r="X48" i="60" s="1"/>
  <c r="I355" i="60"/>
  <c r="I356" i="60" s="1"/>
  <c r="J13" i="60" s="1"/>
  <c r="J48" i="60" s="1"/>
  <c r="X355" i="60"/>
  <c r="X356" i="60" s="1"/>
  <c r="Y13" i="60" s="1"/>
  <c r="Y48" i="60" s="1"/>
  <c r="S355" i="60"/>
  <c r="S356" i="60" s="1"/>
  <c r="T13" i="60" s="1"/>
  <c r="T48" i="60" s="1"/>
  <c r="L336" i="60"/>
  <c r="Q355" i="60"/>
  <c r="Q356" i="60" s="1"/>
  <c r="R13" i="60" s="1"/>
  <c r="R48" i="60" s="1"/>
  <c r="F355" i="60"/>
  <c r="F356" i="60" s="1"/>
  <c r="G13" i="60" s="1"/>
  <c r="G48" i="60" s="1"/>
  <c r="U355" i="60"/>
  <c r="U356" i="60" s="1"/>
  <c r="V13" i="60" s="1"/>
  <c r="V48" i="60" s="1"/>
  <c r="V355" i="60"/>
  <c r="V356" i="60" s="1"/>
  <c r="W13" i="60" s="1"/>
  <c r="W48" i="60" s="1"/>
  <c r="AD355" i="60"/>
  <c r="AD356" i="60" s="1"/>
  <c r="AE13" i="60" s="1"/>
  <c r="AE48" i="60" s="1"/>
  <c r="E336" i="60"/>
  <c r="E307" i="60"/>
  <c r="E308" i="60" s="1"/>
  <c r="F12" i="60" s="1"/>
  <c r="F47" i="60" s="1"/>
  <c r="M288" i="60"/>
  <c r="D190" i="60"/>
  <c r="D236" i="60"/>
  <c r="D237" i="60"/>
  <c r="J288" i="60"/>
  <c r="U288" i="60"/>
  <c r="W288" i="60"/>
  <c r="D233" i="60"/>
  <c r="D283" i="60"/>
  <c r="L288" i="60"/>
  <c r="AC288" i="60"/>
  <c r="D281" i="60"/>
  <c r="L259" i="60"/>
  <c r="L260" i="60" s="1"/>
  <c r="M11" i="60" s="1"/>
  <c r="M46" i="60" s="1"/>
  <c r="T288" i="60"/>
  <c r="O307" i="60"/>
  <c r="O308" i="60" s="1"/>
  <c r="P12" i="60" s="1"/>
  <c r="P47" i="60" s="1"/>
  <c r="AA288" i="60"/>
  <c r="P288" i="60"/>
  <c r="AC307" i="60"/>
  <c r="AC308" i="60" s="1"/>
  <c r="AD12" i="60" s="1"/>
  <c r="AD47" i="60" s="1"/>
  <c r="X307" i="60"/>
  <c r="X308" i="60" s="1"/>
  <c r="Y12" i="60" s="1"/>
  <c r="Y47" i="60" s="1"/>
  <c r="D285" i="60"/>
  <c r="AB288" i="60"/>
  <c r="F288" i="60"/>
  <c r="F307" i="60"/>
  <c r="F308" i="60" s="1"/>
  <c r="G12" i="60" s="1"/>
  <c r="G47" i="60" s="1"/>
  <c r="H259" i="60"/>
  <c r="H260" i="60" s="1"/>
  <c r="I11" i="60" s="1"/>
  <c r="I46" i="60" s="1"/>
  <c r="I259" i="60"/>
  <c r="I260" i="60" s="1"/>
  <c r="J11" i="60" s="1"/>
  <c r="J46" i="60" s="1"/>
  <c r="K288" i="60"/>
  <c r="Y307" i="60"/>
  <c r="Y308" i="60" s="1"/>
  <c r="Z12" i="60" s="1"/>
  <c r="Z47" i="60" s="1"/>
  <c r="AD288" i="60"/>
  <c r="H307" i="60"/>
  <c r="H308" i="60" s="1"/>
  <c r="I12" i="60" s="1"/>
  <c r="I47" i="60" s="1"/>
  <c r="N307" i="60"/>
  <c r="N308" i="60" s="1"/>
  <c r="O12" i="60" s="1"/>
  <c r="O47" i="60" s="1"/>
  <c r="N288" i="60"/>
  <c r="Q288" i="60"/>
  <c r="M307" i="60"/>
  <c r="M308" i="60" s="1"/>
  <c r="N12" i="60" s="1"/>
  <c r="N47" i="60" s="1"/>
  <c r="D284" i="60"/>
  <c r="P259" i="60"/>
  <c r="P260" i="60" s="1"/>
  <c r="Q11" i="60" s="1"/>
  <c r="Q46" i="60" s="1"/>
  <c r="S288" i="60"/>
  <c r="R288" i="60"/>
  <c r="E288" i="60"/>
  <c r="V307" i="60"/>
  <c r="V308" i="60" s="1"/>
  <c r="W12" i="60" s="1"/>
  <c r="W47" i="60" s="1"/>
  <c r="V288" i="60"/>
  <c r="D186" i="60"/>
  <c r="D188" i="60"/>
  <c r="D238" i="60"/>
  <c r="D189" i="60"/>
  <c r="D187" i="60"/>
  <c r="D234" i="60"/>
  <c r="D239" i="60"/>
  <c r="F139" i="60"/>
  <c r="AB142" i="60"/>
  <c r="S139" i="60"/>
  <c r="AD140" i="60"/>
  <c r="Z138" i="60"/>
  <c r="S142" i="60"/>
  <c r="V140" i="60"/>
  <c r="S138" i="60"/>
  <c r="N140" i="60"/>
  <c r="O191" i="60"/>
  <c r="Y139" i="60"/>
  <c r="I140" i="60"/>
  <c r="I143" i="60"/>
  <c r="Q143" i="60"/>
  <c r="AA139" i="60"/>
  <c r="V240" i="60"/>
  <c r="AD240" i="60"/>
  <c r="P240" i="60"/>
  <c r="X240" i="60"/>
  <c r="L240" i="60"/>
  <c r="G240" i="60"/>
  <c r="S240" i="60"/>
  <c r="M240" i="60"/>
  <c r="N240" i="60"/>
  <c r="T240" i="60"/>
  <c r="Z240" i="60"/>
  <c r="AB240" i="60"/>
  <c r="R240" i="60"/>
  <c r="F240" i="60"/>
  <c r="K240" i="60"/>
  <c r="H240" i="60"/>
  <c r="I240" i="60"/>
  <c r="J240" i="60"/>
  <c r="E240" i="60"/>
  <c r="O240" i="60"/>
  <c r="Q240" i="60"/>
  <c r="U240" i="60"/>
  <c r="W240" i="60"/>
  <c r="Y240" i="60"/>
  <c r="AA240" i="60"/>
  <c r="AC240" i="60"/>
  <c r="T142" i="60"/>
  <c r="AB140" i="60"/>
  <c r="V139" i="60"/>
  <c r="K138" i="60"/>
  <c r="AC137" i="60"/>
  <c r="AD143" i="60"/>
  <c r="R142" i="60"/>
  <c r="T140" i="60"/>
  <c r="N139" i="60"/>
  <c r="AB137" i="60"/>
  <c r="Y143" i="60"/>
  <c r="L142" i="60"/>
  <c r="Q140" i="60"/>
  <c r="T137" i="60"/>
  <c r="T162" i="60" s="1"/>
  <c r="T210" i="60"/>
  <c r="T211" i="60" s="1"/>
  <c r="U10" i="60" s="1"/>
  <c r="U45" i="60" s="1"/>
  <c r="W210" i="60"/>
  <c r="W211" i="60" s="1"/>
  <c r="X10" i="60" s="1"/>
  <c r="X45" i="60" s="1"/>
  <c r="T141" i="60"/>
  <c r="AB138" i="60"/>
  <c r="G191" i="60"/>
  <c r="K143" i="60"/>
  <c r="M141" i="60"/>
  <c r="AA138" i="60"/>
  <c r="L141" i="60"/>
  <c r="AA143" i="60"/>
  <c r="F143" i="60"/>
  <c r="K142" i="60"/>
  <c r="E141" i="60"/>
  <c r="L140" i="60"/>
  <c r="Q139" i="60"/>
  <c r="T138" i="60"/>
  <c r="U137" i="60"/>
  <c r="W191" i="60"/>
  <c r="S210" i="60"/>
  <c r="S211" i="60" s="1"/>
  <c r="T10" i="60" s="1"/>
  <c r="T45" i="60" s="1"/>
  <c r="J142" i="60"/>
  <c r="V143" i="60"/>
  <c r="AA142" i="60"/>
  <c r="AC141" i="60"/>
  <c r="F140" i="60"/>
  <c r="K139" i="60"/>
  <c r="R138" i="60"/>
  <c r="M137" i="60"/>
  <c r="L210" i="60"/>
  <c r="L211" i="60" s="1"/>
  <c r="M10" i="60" s="1"/>
  <c r="M45" i="60" s="1"/>
  <c r="S143" i="60"/>
  <c r="Z142" i="60"/>
  <c r="AB141" i="60"/>
  <c r="Y140" i="60"/>
  <c r="AD139" i="60"/>
  <c r="I139" i="60"/>
  <c r="L138" i="60"/>
  <c r="L137" i="60"/>
  <c r="U141" i="60"/>
  <c r="P210" i="60"/>
  <c r="P211" i="60" s="1"/>
  <c r="Q10" i="60" s="1"/>
  <c r="Q45" i="60" s="1"/>
  <c r="Q191" i="60"/>
  <c r="M210" i="60"/>
  <c r="M211" i="60" s="1"/>
  <c r="N10" i="60" s="1"/>
  <c r="N45" i="60" s="1"/>
  <c r="N143" i="60"/>
  <c r="J138" i="60"/>
  <c r="F210" i="60"/>
  <c r="F211" i="60" s="1"/>
  <c r="G10" i="60" s="1"/>
  <c r="G45" i="60" s="1"/>
  <c r="AC210" i="60"/>
  <c r="AC211" i="60" s="1"/>
  <c r="AD10" i="60" s="1"/>
  <c r="AD45" i="60" s="1"/>
  <c r="X143" i="60"/>
  <c r="H143" i="60"/>
  <c r="X139" i="60"/>
  <c r="P139" i="60"/>
  <c r="H139" i="60"/>
  <c r="W143" i="60"/>
  <c r="O143" i="60"/>
  <c r="G143" i="60"/>
  <c r="Y142" i="60"/>
  <c r="Q142" i="60"/>
  <c r="I142" i="60"/>
  <c r="AA141" i="60"/>
  <c r="S141" i="60"/>
  <c r="K141" i="60"/>
  <c r="AC140" i="60"/>
  <c r="U140" i="60"/>
  <c r="M140" i="60"/>
  <c r="E140" i="60"/>
  <c r="W139" i="60"/>
  <c r="O139" i="60"/>
  <c r="G139" i="60"/>
  <c r="Y138" i="60"/>
  <c r="Q138" i="60"/>
  <c r="I138" i="60"/>
  <c r="AA137" i="60"/>
  <c r="S137" i="60"/>
  <c r="S162" i="60" s="1"/>
  <c r="K137" i="60"/>
  <c r="O210" i="60"/>
  <c r="O211" i="60" s="1"/>
  <c r="P10" i="60" s="1"/>
  <c r="P45" i="60" s="1"/>
  <c r="P142" i="60"/>
  <c r="R141" i="60"/>
  <c r="Z137" i="60"/>
  <c r="H142" i="60"/>
  <c r="Z141" i="60"/>
  <c r="J141" i="60"/>
  <c r="P138" i="60"/>
  <c r="R137" i="60"/>
  <c r="R162" i="60" s="1"/>
  <c r="U94" i="60"/>
  <c r="AC143" i="60"/>
  <c r="U143" i="60"/>
  <c r="M143" i="60"/>
  <c r="E143" i="60"/>
  <c r="W142" i="60"/>
  <c r="O142" i="60"/>
  <c r="G142" i="60"/>
  <c r="Y141" i="60"/>
  <c r="Q141" i="60"/>
  <c r="I141" i="60"/>
  <c r="AC139" i="60"/>
  <c r="U139" i="60"/>
  <c r="M139" i="60"/>
  <c r="W138" i="60"/>
  <c r="O138" i="60"/>
  <c r="G138" i="60"/>
  <c r="M96" i="60"/>
  <c r="X142" i="60"/>
  <c r="X138" i="60"/>
  <c r="H138" i="60"/>
  <c r="J137" i="60"/>
  <c r="J162" i="60" s="1"/>
  <c r="W93" i="60"/>
  <c r="AB143" i="60"/>
  <c r="T143" i="60"/>
  <c r="L143" i="60"/>
  <c r="AD142" i="60"/>
  <c r="V142" i="60"/>
  <c r="N142" i="60"/>
  <c r="F142" i="60"/>
  <c r="X141" i="60"/>
  <c r="P141" i="60"/>
  <c r="H141" i="60"/>
  <c r="Z140" i="60"/>
  <c r="R140" i="60"/>
  <c r="J140" i="60"/>
  <c r="AD138" i="60"/>
  <c r="V138" i="60"/>
  <c r="N138" i="60"/>
  <c r="F138" i="60"/>
  <c r="X137" i="60"/>
  <c r="P137" i="60"/>
  <c r="H137" i="60"/>
  <c r="P143" i="60"/>
  <c r="G93" i="60"/>
  <c r="D130" i="60"/>
  <c r="AC142" i="60"/>
  <c r="U142" i="60"/>
  <c r="M142" i="60"/>
  <c r="E142" i="60"/>
  <c r="W141" i="60"/>
  <c r="O141" i="60"/>
  <c r="G141" i="60"/>
  <c r="E138" i="60"/>
  <c r="W137" i="60"/>
  <c r="O137" i="60"/>
  <c r="O162" i="60" s="1"/>
  <c r="G137" i="60"/>
  <c r="U92" i="60"/>
  <c r="Z143" i="60"/>
  <c r="R143" i="60"/>
  <c r="J143" i="60"/>
  <c r="AD141" i="60"/>
  <c r="V141" i="60"/>
  <c r="N141" i="60"/>
  <c r="F141" i="60"/>
  <c r="J210" i="60"/>
  <c r="J211" i="60" s="1"/>
  <c r="K10" i="60" s="1"/>
  <c r="K45" i="60" s="1"/>
  <c r="V90" i="60"/>
  <c r="E137" i="60"/>
  <c r="R210" i="60"/>
  <c r="R211" i="60" s="1"/>
  <c r="S10" i="60" s="1"/>
  <c r="S45" i="60" s="1"/>
  <c r="J191" i="60"/>
  <c r="R191" i="60"/>
  <c r="Z191" i="60"/>
  <c r="K191" i="60"/>
  <c r="S191" i="60"/>
  <c r="AA191" i="60"/>
  <c r="H191" i="60"/>
  <c r="P191" i="60"/>
  <c r="X191" i="60"/>
  <c r="L191" i="60"/>
  <c r="T191" i="60"/>
  <c r="AB191" i="60"/>
  <c r="E191" i="60"/>
  <c r="M191" i="60"/>
  <c r="U191" i="60"/>
  <c r="AC191" i="60"/>
  <c r="F191" i="60"/>
  <c r="N191" i="60"/>
  <c r="V191" i="60"/>
  <c r="AD191" i="60"/>
  <c r="X96" i="60"/>
  <c r="J96" i="60"/>
  <c r="N94" i="60"/>
  <c r="V93" i="60"/>
  <c r="F93" i="60"/>
  <c r="Q92" i="60"/>
  <c r="U90" i="60"/>
  <c r="W96" i="60"/>
  <c r="I96" i="60"/>
  <c r="M94" i="60"/>
  <c r="U93" i="60"/>
  <c r="E93" i="60"/>
  <c r="P92" i="60"/>
  <c r="N90" i="60"/>
  <c r="U96" i="60"/>
  <c r="H96" i="60"/>
  <c r="F94" i="60"/>
  <c r="P93" i="60"/>
  <c r="AC92" i="60"/>
  <c r="M92" i="60"/>
  <c r="M90" i="60"/>
  <c r="M116" i="60" s="1"/>
  <c r="R96" i="60"/>
  <c r="G96" i="60"/>
  <c r="E94" i="60"/>
  <c r="O93" i="60"/>
  <c r="Z92" i="60"/>
  <c r="I92" i="60"/>
  <c r="F90" i="60"/>
  <c r="Q96" i="60"/>
  <c r="AD94" i="60"/>
  <c r="AD93" i="60"/>
  <c r="N93" i="60"/>
  <c r="Y92" i="60"/>
  <c r="H92" i="60"/>
  <c r="E90" i="60"/>
  <c r="AC96" i="60"/>
  <c r="P96" i="60"/>
  <c r="AC94" i="60"/>
  <c r="AC93" i="60"/>
  <c r="M93" i="60"/>
  <c r="X92" i="60"/>
  <c r="AD90" i="60"/>
  <c r="Y96" i="60"/>
  <c r="Z96" i="60"/>
  <c r="O96" i="60"/>
  <c r="V94" i="60"/>
  <c r="X93" i="60"/>
  <c r="H93" i="60"/>
  <c r="W92" i="60"/>
  <c r="AC90" i="60"/>
  <c r="Q95" i="60"/>
  <c r="AA94" i="60"/>
  <c r="S94" i="60"/>
  <c r="K94" i="60"/>
  <c r="O92" i="60"/>
  <c r="G92" i="60"/>
  <c r="Y91" i="60"/>
  <c r="Q91" i="60"/>
  <c r="I91" i="60"/>
  <c r="AA90" i="60"/>
  <c r="S90" i="60"/>
  <c r="K90" i="60"/>
  <c r="D83" i="60"/>
  <c r="AD96" i="60"/>
  <c r="V96" i="60"/>
  <c r="N96" i="60"/>
  <c r="F96" i="60"/>
  <c r="X95" i="60"/>
  <c r="P95" i="60"/>
  <c r="H95" i="60"/>
  <c r="Z94" i="60"/>
  <c r="R94" i="60"/>
  <c r="J94" i="60"/>
  <c r="AB93" i="60"/>
  <c r="T93" i="60"/>
  <c r="L93" i="60"/>
  <c r="AD92" i="60"/>
  <c r="V92" i="60"/>
  <c r="N92" i="60"/>
  <c r="F92" i="60"/>
  <c r="X91" i="60"/>
  <c r="P91" i="60"/>
  <c r="H91" i="60"/>
  <c r="Z90" i="60"/>
  <c r="R90" i="60"/>
  <c r="J90" i="60"/>
  <c r="J116" i="60" s="1"/>
  <c r="O95" i="60"/>
  <c r="Y94" i="60"/>
  <c r="AA93" i="60"/>
  <c r="S93" i="60"/>
  <c r="K93" i="60"/>
  <c r="E92" i="60"/>
  <c r="W91" i="60"/>
  <c r="O91" i="60"/>
  <c r="G91" i="60"/>
  <c r="Y90" i="60"/>
  <c r="Q90" i="60"/>
  <c r="I90" i="60"/>
  <c r="W95" i="60"/>
  <c r="G95" i="60"/>
  <c r="I94" i="60"/>
  <c r="AB96" i="60"/>
  <c r="T96" i="60"/>
  <c r="L96" i="60"/>
  <c r="AD95" i="60"/>
  <c r="V95" i="60"/>
  <c r="N95" i="60"/>
  <c r="F95" i="60"/>
  <c r="X94" i="60"/>
  <c r="P94" i="60"/>
  <c r="H94" i="60"/>
  <c r="Z93" i="60"/>
  <c r="R93" i="60"/>
  <c r="J93" i="60"/>
  <c r="AB92" i="60"/>
  <c r="T92" i="60"/>
  <c r="L92" i="60"/>
  <c r="AA95" i="60"/>
  <c r="Y95" i="60"/>
  <c r="I95" i="60"/>
  <c r="E96" i="60"/>
  <c r="Q94" i="60"/>
  <c r="AA96" i="60"/>
  <c r="S96" i="60"/>
  <c r="K96" i="60"/>
  <c r="AC95" i="60"/>
  <c r="U95" i="60"/>
  <c r="M95" i="60"/>
  <c r="E95" i="60"/>
  <c r="W94" i="60"/>
  <c r="O94" i="60"/>
  <c r="G94" i="60"/>
  <c r="AA92" i="60"/>
  <c r="S92" i="60"/>
  <c r="K92" i="60"/>
  <c r="AB95" i="60"/>
  <c r="T95" i="60"/>
  <c r="L95" i="60"/>
  <c r="R92" i="60"/>
  <c r="J92" i="60"/>
  <c r="AB91" i="60"/>
  <c r="T91" i="60"/>
  <c r="L91" i="60"/>
  <c r="S95" i="60"/>
  <c r="K95" i="60"/>
  <c r="Z95" i="60"/>
  <c r="R95" i="60"/>
  <c r="J95" i="60"/>
  <c r="AB94" i="60"/>
  <c r="T94" i="60"/>
  <c r="L94" i="60"/>
  <c r="G200" i="59"/>
  <c r="I25" i="59" s="1"/>
  <c r="X116" i="60" l="1"/>
  <c r="K116" i="60"/>
  <c r="N116" i="60"/>
  <c r="W162" i="60"/>
  <c r="K162" i="60"/>
  <c r="L9" i="60" s="1"/>
  <c r="L44" i="60" s="1"/>
  <c r="AC162" i="60"/>
  <c r="AD9" i="60" s="1"/>
  <c r="AD44" i="60" s="1"/>
  <c r="F162" i="60"/>
  <c r="Z116" i="60"/>
  <c r="AA116" i="60"/>
  <c r="F116" i="60"/>
  <c r="AA162" i="60"/>
  <c r="AD162" i="60"/>
  <c r="T116" i="60"/>
  <c r="T117" i="60" s="1"/>
  <c r="U8" i="60" s="1"/>
  <c r="U43" i="60" s="1"/>
  <c r="AB116" i="60"/>
  <c r="AB117" i="60" s="1"/>
  <c r="AC8" i="60" s="1"/>
  <c r="AC43" i="60" s="1"/>
  <c r="E116" i="60"/>
  <c r="L162" i="60"/>
  <c r="AB162" i="60"/>
  <c r="P116" i="60"/>
  <c r="O116" i="60"/>
  <c r="Q162" i="60"/>
  <c r="R9" i="60" s="1"/>
  <c r="R44" i="60" s="1"/>
  <c r="G116" i="60"/>
  <c r="G117" i="60" s="1"/>
  <c r="H8" i="60" s="1"/>
  <c r="H43" i="60" s="1"/>
  <c r="Y162" i="60"/>
  <c r="I116" i="60"/>
  <c r="AC116" i="60"/>
  <c r="V116" i="60"/>
  <c r="H162" i="60"/>
  <c r="Z162" i="60"/>
  <c r="M162" i="60"/>
  <c r="N9" i="60" s="1"/>
  <c r="N44" i="60" s="1"/>
  <c r="V162" i="60"/>
  <c r="W9" i="60" s="1"/>
  <c r="W44" i="60" s="1"/>
  <c r="U116" i="60"/>
  <c r="S116" i="60"/>
  <c r="H116" i="60"/>
  <c r="AD116" i="60"/>
  <c r="Q116" i="60"/>
  <c r="P162" i="60"/>
  <c r="L116" i="60"/>
  <c r="L117" i="60" s="1"/>
  <c r="M8" i="60" s="1"/>
  <c r="M43" i="60" s="1"/>
  <c r="W116" i="60"/>
  <c r="W117" i="60" s="1"/>
  <c r="X8" i="60" s="1"/>
  <c r="X43" i="60" s="1"/>
  <c r="I162" i="60"/>
  <c r="R116" i="60"/>
  <c r="Y116" i="60"/>
  <c r="G162" i="60"/>
  <c r="X162" i="60"/>
  <c r="U162" i="60"/>
  <c r="N162" i="60"/>
  <c r="BA24" i="59"/>
  <c r="BA38" i="59" s="1"/>
  <c r="W66" i="58"/>
  <c r="U121" i="61"/>
  <c r="P74" i="58"/>
  <c r="P32" i="58" s="1"/>
  <c r="BX8" i="59"/>
  <c r="BX22" i="59" s="1"/>
  <c r="G25" i="59"/>
  <c r="AJ25" i="59" s="1"/>
  <c r="AL25" i="59"/>
  <c r="W68" i="58"/>
  <c r="AV25" i="59"/>
  <c r="R67" i="58"/>
  <c r="P122" i="61"/>
  <c r="Y20" i="61"/>
  <c r="Z22" i="61"/>
  <c r="Z97" i="61"/>
  <c r="Z27" i="61" s="1"/>
  <c r="Z91" i="61"/>
  <c r="Z21" i="61" s="1"/>
  <c r="W28" i="60"/>
  <c r="W63" i="60" s="1"/>
  <c r="W27" i="60"/>
  <c r="W62" i="60" s="1"/>
  <c r="X24" i="60"/>
  <c r="X59" i="60" s="1"/>
  <c r="G13" i="59"/>
  <c r="Z90" i="61"/>
  <c r="AA92" i="61"/>
  <c r="D336" i="60"/>
  <c r="D624" i="60"/>
  <c r="D355" i="60"/>
  <c r="D356" i="60" s="1"/>
  <c r="D528" i="60"/>
  <c r="O403" i="60"/>
  <c r="O404" i="60" s="1"/>
  <c r="P14" i="60" s="1"/>
  <c r="P49" i="60" s="1"/>
  <c r="D499" i="60"/>
  <c r="D500" i="60" s="1"/>
  <c r="E16" i="60" s="1"/>
  <c r="E51" i="60" s="1"/>
  <c r="G403" i="60"/>
  <c r="G404" i="60" s="1"/>
  <c r="H14" i="60" s="1"/>
  <c r="H49" i="60" s="1"/>
  <c r="G451" i="60"/>
  <c r="G452" i="60" s="1"/>
  <c r="H15" i="60" s="1"/>
  <c r="H50" i="60" s="1"/>
  <c r="G432" i="60"/>
  <c r="D143" i="60"/>
  <c r="E187" i="59"/>
  <c r="G384" i="60"/>
  <c r="D547" i="60"/>
  <c r="D451" i="60"/>
  <c r="D452" i="60" s="1"/>
  <c r="E15" i="60" s="1"/>
  <c r="E50" i="60" s="1"/>
  <c r="G480" i="60"/>
  <c r="E192" i="59"/>
  <c r="D379" i="60"/>
  <c r="D381" i="60"/>
  <c r="D382" i="60"/>
  <c r="D377" i="60"/>
  <c r="D378" i="60"/>
  <c r="D380" i="60"/>
  <c r="W499" i="60"/>
  <c r="W500" i="60" s="1"/>
  <c r="X16" i="60" s="1"/>
  <c r="X51" i="60" s="1"/>
  <c r="D432" i="60"/>
  <c r="D643" i="60"/>
  <c r="O384" i="60"/>
  <c r="D595" i="60"/>
  <c r="D576" i="60"/>
  <c r="O432" i="60"/>
  <c r="D90" i="60"/>
  <c r="E186" i="59"/>
  <c r="W480" i="60"/>
  <c r="G499" i="60"/>
  <c r="G500" i="60" s="1"/>
  <c r="H16" i="60" s="1"/>
  <c r="H51" i="60" s="1"/>
  <c r="D480" i="60"/>
  <c r="D210" i="60"/>
  <c r="AA210" i="60" s="1"/>
  <c r="AA211" i="60" s="1"/>
  <c r="AB10" i="60" s="1"/>
  <c r="AB45" i="60" s="1"/>
  <c r="D259" i="60"/>
  <c r="D260" i="60" s="1"/>
  <c r="E11" i="60" s="1"/>
  <c r="E46" i="60" s="1"/>
  <c r="N144" i="60"/>
  <c r="D240" i="60"/>
  <c r="D191" i="60"/>
  <c r="D307" i="60"/>
  <c r="D308" i="60" s="1"/>
  <c r="E12" i="60" s="1"/>
  <c r="E47" i="60" s="1"/>
  <c r="D288" i="60"/>
  <c r="O144" i="60"/>
  <c r="J9" i="60"/>
  <c r="J44" i="60" s="1"/>
  <c r="AB144" i="60"/>
  <c r="G144" i="60"/>
  <c r="E144" i="60"/>
  <c r="P144" i="60"/>
  <c r="L144" i="60"/>
  <c r="Y144" i="60"/>
  <c r="R144" i="60"/>
  <c r="F144" i="60"/>
  <c r="AC9" i="60"/>
  <c r="AC44" i="60" s="1"/>
  <c r="H9" i="60"/>
  <c r="H44" i="60" s="1"/>
  <c r="AE9" i="60"/>
  <c r="AE44" i="60" s="1"/>
  <c r="AA144" i="60"/>
  <c r="U9" i="60"/>
  <c r="U44" i="60" s="1"/>
  <c r="AD144" i="60"/>
  <c r="P9" i="60"/>
  <c r="P44" i="60" s="1"/>
  <c r="O9" i="60"/>
  <c r="O44" i="60" s="1"/>
  <c r="Y117" i="60"/>
  <c r="Z8" i="60" s="1"/>
  <c r="Z43" i="60" s="1"/>
  <c r="Z9" i="60"/>
  <c r="Z44" i="60" s="1"/>
  <c r="T9" i="60"/>
  <c r="T44" i="60" s="1"/>
  <c r="V117" i="60"/>
  <c r="W8" i="60" s="1"/>
  <c r="W43" i="60" s="1"/>
  <c r="AA9" i="60"/>
  <c r="AA44" i="60" s="1"/>
  <c r="M144" i="60"/>
  <c r="K144" i="60"/>
  <c r="V144" i="60"/>
  <c r="J144" i="60"/>
  <c r="X144" i="60"/>
  <c r="AB9" i="60"/>
  <c r="AB44" i="60" s="1"/>
  <c r="T144" i="60"/>
  <c r="X9" i="60"/>
  <c r="X44" i="60" s="1"/>
  <c r="H144" i="60"/>
  <c r="S9" i="60"/>
  <c r="S44" i="60" s="1"/>
  <c r="I144" i="60"/>
  <c r="U144" i="60"/>
  <c r="AC144" i="60"/>
  <c r="Z144" i="60"/>
  <c r="Q144" i="60"/>
  <c r="O117" i="60"/>
  <c r="P8" i="60" s="1"/>
  <c r="P43" i="60" s="1"/>
  <c r="AC117" i="60"/>
  <c r="AD8" i="60" s="1"/>
  <c r="AD43" i="60" s="1"/>
  <c r="AD117" i="60"/>
  <c r="AE8" i="60" s="1"/>
  <c r="AE43" i="60" s="1"/>
  <c r="H117" i="60"/>
  <c r="I8" i="60" s="1"/>
  <c r="I43" i="60" s="1"/>
  <c r="P117" i="60"/>
  <c r="Q8" i="60" s="1"/>
  <c r="Q43" i="60" s="1"/>
  <c r="K9" i="60"/>
  <c r="K44" i="60" s="1"/>
  <c r="M9" i="60"/>
  <c r="M44" i="60" s="1"/>
  <c r="F9" i="60"/>
  <c r="F44" i="60" s="1"/>
  <c r="V9" i="60"/>
  <c r="V44" i="60" s="1"/>
  <c r="G9" i="60"/>
  <c r="G44" i="60" s="1"/>
  <c r="X117" i="60"/>
  <c r="Y8" i="60" s="1"/>
  <c r="Y43" i="60" s="1"/>
  <c r="Q9" i="60"/>
  <c r="Q44" i="60" s="1"/>
  <c r="D140" i="60"/>
  <c r="D142" i="60"/>
  <c r="D139" i="60"/>
  <c r="D141" i="60"/>
  <c r="W144" i="60"/>
  <c r="S144" i="60"/>
  <c r="I9" i="60"/>
  <c r="I44" i="60" s="1"/>
  <c r="D138" i="60"/>
  <c r="Y9" i="60"/>
  <c r="Y44" i="60" s="1"/>
  <c r="D137" i="60"/>
  <c r="J117" i="60"/>
  <c r="K8" i="60" s="1"/>
  <c r="K43" i="60" s="1"/>
  <c r="AA117" i="60"/>
  <c r="AB8" i="60" s="1"/>
  <c r="AB43" i="60" s="1"/>
  <c r="M117" i="60"/>
  <c r="N8" i="60" s="1"/>
  <c r="N43" i="60" s="1"/>
  <c r="S117" i="60"/>
  <c r="T8" i="60" s="1"/>
  <c r="T43" i="60" s="1"/>
  <c r="Z117" i="60"/>
  <c r="AA8" i="60" s="1"/>
  <c r="AA43" i="60" s="1"/>
  <c r="I117" i="60"/>
  <c r="J8" i="60" s="1"/>
  <c r="J43" i="60" s="1"/>
  <c r="D91" i="60"/>
  <c r="F117" i="60"/>
  <c r="G8" i="60" s="1"/>
  <c r="G43" i="60" s="1"/>
  <c r="K117" i="60"/>
  <c r="L8" i="60" s="1"/>
  <c r="L43" i="60" s="1"/>
  <c r="U117" i="60"/>
  <c r="V8" i="60" s="1"/>
  <c r="V43" i="60" s="1"/>
  <c r="N117" i="60"/>
  <c r="O8" i="60" s="1"/>
  <c r="O43" i="60" s="1"/>
  <c r="Q117" i="60"/>
  <c r="R8" i="60" s="1"/>
  <c r="R43" i="60" s="1"/>
  <c r="D96" i="60"/>
  <c r="E117" i="60"/>
  <c r="F8" i="60" s="1"/>
  <c r="F43" i="60" s="1"/>
  <c r="R117" i="60"/>
  <c r="S8" i="60" s="1"/>
  <c r="S43" i="60" s="1"/>
  <c r="D95" i="60"/>
  <c r="D92" i="60"/>
  <c r="D94" i="60"/>
  <c r="D93" i="60"/>
  <c r="D116" i="60" l="1"/>
  <c r="Q74" i="58"/>
  <c r="Q32" i="58" s="1"/>
  <c r="BY8" i="59"/>
  <c r="BY22" i="59" s="1"/>
  <c r="X66" i="58"/>
  <c r="V121" i="61"/>
  <c r="BB24" i="59"/>
  <c r="BB38" i="59" s="1"/>
  <c r="AW25" i="59"/>
  <c r="S67" i="58"/>
  <c r="Q122" i="61"/>
  <c r="X68" i="58"/>
  <c r="AA22" i="61"/>
  <c r="Z20" i="61"/>
  <c r="AA91" i="61"/>
  <c r="AA21" i="61" s="1"/>
  <c r="AA97" i="61"/>
  <c r="AA27" i="61" s="1"/>
  <c r="Y24" i="60"/>
  <c r="Y59" i="60" s="1"/>
  <c r="X27" i="60"/>
  <c r="X62" i="60" s="1"/>
  <c r="X28" i="60"/>
  <c r="X63" i="60" s="1"/>
  <c r="AB92" i="61"/>
  <c r="AA90" i="61"/>
  <c r="E13" i="60"/>
  <c r="E48" i="60" s="1"/>
  <c r="D384" i="60"/>
  <c r="D403" i="60"/>
  <c r="D404" i="60" s="1"/>
  <c r="E14" i="60" s="1"/>
  <c r="E49" i="60" s="1"/>
  <c r="X547" i="60"/>
  <c r="X548" i="60" s="1"/>
  <c r="Y17" i="60" s="1"/>
  <c r="Y52" i="60" s="1"/>
  <c r="D548" i="60"/>
  <c r="E17" i="60" s="1"/>
  <c r="E52" i="60" s="1"/>
  <c r="X595" i="60"/>
  <c r="X596" i="60" s="1"/>
  <c r="Y18" i="60" s="1"/>
  <c r="Y53" i="60" s="1"/>
  <c r="D596" i="60"/>
  <c r="E18" i="60" s="1"/>
  <c r="E53" i="60" s="1"/>
  <c r="X643" i="60"/>
  <c r="X644" i="60" s="1"/>
  <c r="Y19" i="60" s="1"/>
  <c r="Y54" i="60" s="1"/>
  <c r="AD643" i="60"/>
  <c r="AD644" i="60" s="1"/>
  <c r="AE19" i="60" s="1"/>
  <c r="AE54" i="60" s="1"/>
  <c r="Z643" i="60"/>
  <c r="Z644" i="60" s="1"/>
  <c r="AA19" i="60" s="1"/>
  <c r="AA54" i="60" s="1"/>
  <c r="J643" i="60"/>
  <c r="J644" i="60" s="1"/>
  <c r="K19" i="60" s="1"/>
  <c r="K54" i="60" s="1"/>
  <c r="D644" i="60"/>
  <c r="E19" i="60" s="1"/>
  <c r="E54" i="60" s="1"/>
  <c r="N210" i="60"/>
  <c r="N211" i="60" s="1"/>
  <c r="O10" i="60" s="1"/>
  <c r="O45" i="60" s="1"/>
  <c r="M451" i="60"/>
  <c r="M452" i="60" s="1"/>
  <c r="N15" i="60" s="1"/>
  <c r="N50" i="60" s="1"/>
  <c r="J451" i="60"/>
  <c r="J452" i="60" s="1"/>
  <c r="K15" i="60" s="1"/>
  <c r="K50" i="60" s="1"/>
  <c r="V451" i="60"/>
  <c r="V452" i="60" s="1"/>
  <c r="W15" i="60" s="1"/>
  <c r="W50" i="60" s="1"/>
  <c r="AC451" i="60"/>
  <c r="AC452" i="60" s="1"/>
  <c r="AD15" i="60" s="1"/>
  <c r="AD50" i="60" s="1"/>
  <c r="Y451" i="60"/>
  <c r="Y452" i="60" s="1"/>
  <c r="Z15" i="60" s="1"/>
  <c r="Z50" i="60" s="1"/>
  <c r="L451" i="60"/>
  <c r="L452" i="60" s="1"/>
  <c r="M15" i="60" s="1"/>
  <c r="M50" i="60" s="1"/>
  <c r="X451" i="60"/>
  <c r="X452" i="60" s="1"/>
  <c r="Y15" i="60" s="1"/>
  <c r="Y50" i="60" s="1"/>
  <c r="U451" i="60"/>
  <c r="U452" i="60" s="1"/>
  <c r="V15" i="60" s="1"/>
  <c r="V50" i="60" s="1"/>
  <c r="T451" i="60"/>
  <c r="T452" i="60" s="1"/>
  <c r="U15" i="60" s="1"/>
  <c r="U50" i="60" s="1"/>
  <c r="N451" i="60"/>
  <c r="N452" i="60" s="1"/>
  <c r="O15" i="60" s="1"/>
  <c r="O50" i="60" s="1"/>
  <c r="AD451" i="60"/>
  <c r="AD452" i="60" s="1"/>
  <c r="AE15" i="60" s="1"/>
  <c r="AE50" i="60" s="1"/>
  <c r="K451" i="60"/>
  <c r="K452" i="60" s="1"/>
  <c r="L15" i="60" s="1"/>
  <c r="L50" i="60" s="1"/>
  <c r="AB451" i="60"/>
  <c r="AB452" i="60" s="1"/>
  <c r="AC15" i="60" s="1"/>
  <c r="AC50" i="60" s="1"/>
  <c r="Z451" i="60"/>
  <c r="Z452" i="60" s="1"/>
  <c r="AA15" i="60" s="1"/>
  <c r="AA50" i="60" s="1"/>
  <c r="AA451" i="60"/>
  <c r="AA452" i="60" s="1"/>
  <c r="AB15" i="60" s="1"/>
  <c r="AB50" i="60" s="1"/>
  <c r="P451" i="60"/>
  <c r="P452" i="60" s="1"/>
  <c r="Q15" i="60" s="1"/>
  <c r="Q50" i="60" s="1"/>
  <c r="S451" i="60"/>
  <c r="S452" i="60" s="1"/>
  <c r="T15" i="60" s="1"/>
  <c r="T50" i="60" s="1"/>
  <c r="H451" i="60"/>
  <c r="H452" i="60" s="1"/>
  <c r="I15" i="60" s="1"/>
  <c r="I50" i="60" s="1"/>
  <c r="E451" i="60"/>
  <c r="E452" i="60" s="1"/>
  <c r="F15" i="60" s="1"/>
  <c r="F50" i="60" s="1"/>
  <c r="I451" i="60"/>
  <c r="I452" i="60" s="1"/>
  <c r="J15" i="60" s="1"/>
  <c r="J50" i="60" s="1"/>
  <c r="W451" i="60"/>
  <c r="W452" i="60" s="1"/>
  <c r="X15" i="60" s="1"/>
  <c r="X50" i="60" s="1"/>
  <c r="O451" i="60"/>
  <c r="O452" i="60" s="1"/>
  <c r="P15" i="60" s="1"/>
  <c r="P50" i="60" s="1"/>
  <c r="Y210" i="60"/>
  <c r="Y211" i="60" s="1"/>
  <c r="Z10" i="60" s="1"/>
  <c r="Z45" i="60" s="1"/>
  <c r="E210" i="60"/>
  <c r="E211" i="60" s="1"/>
  <c r="F10" i="60" s="1"/>
  <c r="F45" i="60" s="1"/>
  <c r="Z210" i="60"/>
  <c r="Z211" i="60" s="1"/>
  <c r="AA10" i="60" s="1"/>
  <c r="AA45" i="60" s="1"/>
  <c r="U210" i="60"/>
  <c r="U211" i="60" s="1"/>
  <c r="V10" i="60" s="1"/>
  <c r="V45" i="60" s="1"/>
  <c r="I210" i="60"/>
  <c r="I211" i="60" s="1"/>
  <c r="J10" i="60" s="1"/>
  <c r="J45" i="60" s="1"/>
  <c r="G210" i="60"/>
  <c r="G211" i="60" s="1"/>
  <c r="H10" i="60" s="1"/>
  <c r="H45" i="60" s="1"/>
  <c r="X210" i="60"/>
  <c r="X211" i="60" s="1"/>
  <c r="Y10" i="60" s="1"/>
  <c r="Y45" i="60" s="1"/>
  <c r="K210" i="60"/>
  <c r="K211" i="60" s="1"/>
  <c r="L10" i="60" s="1"/>
  <c r="L45" i="60" s="1"/>
  <c r="Q210" i="60"/>
  <c r="Q211" i="60" s="1"/>
  <c r="R10" i="60" s="1"/>
  <c r="R45" i="60" s="1"/>
  <c r="V210" i="60"/>
  <c r="V211" i="60" s="1"/>
  <c r="W10" i="60" s="1"/>
  <c r="W45" i="60" s="1"/>
  <c r="H210" i="60"/>
  <c r="H211" i="60" s="1"/>
  <c r="I10" i="60" s="1"/>
  <c r="I45" i="60" s="1"/>
  <c r="D211" i="60"/>
  <c r="E10" i="60" s="1"/>
  <c r="E45" i="60" s="1"/>
  <c r="AD210" i="60"/>
  <c r="AD211" i="60" s="1"/>
  <c r="AE10" i="60" s="1"/>
  <c r="AE45" i="60" s="1"/>
  <c r="AB210" i="60"/>
  <c r="AB211" i="60" s="1"/>
  <c r="AC10" i="60" s="1"/>
  <c r="AC45" i="60" s="1"/>
  <c r="D144" i="60"/>
  <c r="D117" i="60"/>
  <c r="E8" i="60" s="1"/>
  <c r="E43" i="60" s="1"/>
  <c r="D97" i="60"/>
  <c r="D230" i="59"/>
  <c r="D231" i="59"/>
  <c r="D232" i="59"/>
  <c r="D233" i="59"/>
  <c r="F23" i="60"/>
  <c r="F58" i="60" s="1"/>
  <c r="B22" i="60"/>
  <c r="B57" i="60" s="1"/>
  <c r="B23" i="60"/>
  <c r="B58" i="60" s="1"/>
  <c r="B21" i="60"/>
  <c r="B56" i="60" s="1"/>
  <c r="F122" i="61"/>
  <c r="D122" i="61"/>
  <c r="G199" i="59"/>
  <c r="G4" i="59"/>
  <c r="E25" i="59"/>
  <c r="E24" i="59"/>
  <c r="C25" i="59"/>
  <c r="C26" i="59"/>
  <c r="C123" i="59" s="1"/>
  <c r="C124" i="59" s="1"/>
  <c r="C24" i="59"/>
  <c r="BC24" i="59" l="1"/>
  <c r="BC38" i="59" s="1"/>
  <c r="W121" i="61"/>
  <c r="Y66" i="58"/>
  <c r="R74" i="58"/>
  <c r="R32" i="58" s="1"/>
  <c r="BZ8" i="59"/>
  <c r="BZ22" i="59" s="1"/>
  <c r="C78" i="59"/>
  <c r="AI25" i="59"/>
  <c r="C79" i="59"/>
  <c r="AI26" i="59"/>
  <c r="E48" i="58"/>
  <c r="E6" i="58" s="1"/>
  <c r="AJ4" i="59"/>
  <c r="C77" i="59"/>
  <c r="AI24" i="59"/>
  <c r="Y68" i="58"/>
  <c r="AX25" i="59"/>
  <c r="T67" i="58"/>
  <c r="R122" i="61"/>
  <c r="AB22" i="61"/>
  <c r="AA20" i="61"/>
  <c r="AB97" i="61"/>
  <c r="AB27" i="61" s="1"/>
  <c r="AB91" i="61"/>
  <c r="AB21" i="61" s="1"/>
  <c r="I24" i="59"/>
  <c r="Y28" i="60"/>
  <c r="Y63" i="60" s="1"/>
  <c r="G23" i="60"/>
  <c r="G58" i="60" s="1"/>
  <c r="Y27" i="60"/>
  <c r="Y62" i="60" s="1"/>
  <c r="Z24" i="60"/>
  <c r="Z59" i="60" s="1"/>
  <c r="B122" i="61"/>
  <c r="B91" i="61"/>
  <c r="B123" i="61"/>
  <c r="B92" i="61"/>
  <c r="AB90" i="61"/>
  <c r="B121" i="61"/>
  <c r="B90" i="61"/>
  <c r="AC92" i="61"/>
  <c r="E199" i="59"/>
  <c r="D342" i="43"/>
  <c r="E342" i="43"/>
  <c r="F342" i="43"/>
  <c r="G342" i="43"/>
  <c r="H342" i="43"/>
  <c r="I342" i="43"/>
  <c r="J342" i="43"/>
  <c r="K342" i="43"/>
  <c r="L342" i="43"/>
  <c r="M342" i="43"/>
  <c r="N342" i="43"/>
  <c r="O342" i="43"/>
  <c r="P342" i="43"/>
  <c r="Q342" i="43"/>
  <c r="R342" i="43"/>
  <c r="S342" i="43"/>
  <c r="T342" i="43"/>
  <c r="U342" i="43"/>
  <c r="V342" i="43"/>
  <c r="W342" i="43"/>
  <c r="X342" i="43"/>
  <c r="Y342" i="43"/>
  <c r="Z342" i="43"/>
  <c r="AA342" i="43"/>
  <c r="AB342" i="43"/>
  <c r="AC342" i="43"/>
  <c r="C342" i="43"/>
  <c r="D328" i="43"/>
  <c r="E328" i="43"/>
  <c r="F328" i="43"/>
  <c r="G328" i="43"/>
  <c r="H328" i="43"/>
  <c r="I328" i="43"/>
  <c r="J328" i="43"/>
  <c r="K328" i="43"/>
  <c r="L328" i="43"/>
  <c r="M328" i="43"/>
  <c r="N328" i="43"/>
  <c r="O328" i="43"/>
  <c r="P328" i="43"/>
  <c r="Q328" i="43"/>
  <c r="R328" i="43"/>
  <c r="S328" i="43"/>
  <c r="T328" i="43"/>
  <c r="U328" i="43"/>
  <c r="V328" i="43"/>
  <c r="W328" i="43"/>
  <c r="X328" i="43"/>
  <c r="Y328" i="43"/>
  <c r="Z328" i="43"/>
  <c r="AA328" i="43"/>
  <c r="AB328" i="43"/>
  <c r="AC328" i="43"/>
  <c r="C328" i="43"/>
  <c r="D314" i="43"/>
  <c r="D279" i="43" s="1"/>
  <c r="E314" i="43"/>
  <c r="E279" i="43" s="1"/>
  <c r="F314" i="43"/>
  <c r="F279" i="43" s="1"/>
  <c r="G314" i="43"/>
  <c r="G279" i="43" s="1"/>
  <c r="H314" i="43"/>
  <c r="H279" i="43" s="1"/>
  <c r="I314" i="43"/>
  <c r="I279" i="43" s="1"/>
  <c r="J314" i="43"/>
  <c r="J279" i="43" s="1"/>
  <c r="K314" i="43"/>
  <c r="K279" i="43" s="1"/>
  <c r="L314" i="43"/>
  <c r="L279" i="43" s="1"/>
  <c r="M314" i="43"/>
  <c r="M279" i="43" s="1"/>
  <c r="N314" i="43"/>
  <c r="N279" i="43" s="1"/>
  <c r="O314" i="43"/>
  <c r="O279" i="43" s="1"/>
  <c r="P314" i="43"/>
  <c r="P279" i="43" s="1"/>
  <c r="Q314" i="43"/>
  <c r="Q279" i="43" s="1"/>
  <c r="R314" i="43"/>
  <c r="R279" i="43" s="1"/>
  <c r="S314" i="43"/>
  <c r="S279" i="43" s="1"/>
  <c r="T314" i="43"/>
  <c r="T279" i="43" s="1"/>
  <c r="U314" i="43"/>
  <c r="U279" i="43" s="1"/>
  <c r="V314" i="43"/>
  <c r="V279" i="43" s="1"/>
  <c r="W314" i="43"/>
  <c r="W279" i="43" s="1"/>
  <c r="X314" i="43"/>
  <c r="X279" i="43" s="1"/>
  <c r="Y314" i="43"/>
  <c r="Y279" i="43" s="1"/>
  <c r="Z314" i="43"/>
  <c r="Z279" i="43" s="1"/>
  <c r="AA314" i="43"/>
  <c r="AA279" i="43" s="1"/>
  <c r="AB314" i="43"/>
  <c r="AB279" i="43" s="1"/>
  <c r="AC314" i="43"/>
  <c r="AC279" i="43" s="1"/>
  <c r="C314" i="43"/>
  <c r="C279" i="43" s="1"/>
  <c r="C170" i="43"/>
  <c r="D170" i="43"/>
  <c r="E170" i="43"/>
  <c r="F170" i="43"/>
  <c r="G170" i="43"/>
  <c r="H170" i="43"/>
  <c r="I170" i="43"/>
  <c r="J170" i="43"/>
  <c r="K170" i="43"/>
  <c r="L170" i="43"/>
  <c r="M170" i="43"/>
  <c r="N170" i="43"/>
  <c r="O170" i="43"/>
  <c r="P170" i="43"/>
  <c r="Q170" i="43"/>
  <c r="R170" i="43"/>
  <c r="S170" i="43"/>
  <c r="T170" i="43"/>
  <c r="U170" i="43"/>
  <c r="V170" i="43"/>
  <c r="W170" i="43"/>
  <c r="X170" i="43"/>
  <c r="Y170" i="43"/>
  <c r="Z170" i="43"/>
  <c r="AA170" i="43"/>
  <c r="AB170" i="43"/>
  <c r="B170" i="43"/>
  <c r="C137" i="43"/>
  <c r="D137" i="43"/>
  <c r="E137" i="43"/>
  <c r="F137" i="43"/>
  <c r="G137" i="43"/>
  <c r="H137" i="43"/>
  <c r="I137" i="43"/>
  <c r="J137" i="43"/>
  <c r="K137" i="43"/>
  <c r="L137" i="43"/>
  <c r="M137" i="43"/>
  <c r="N137" i="43"/>
  <c r="O137" i="43"/>
  <c r="P137" i="43"/>
  <c r="Q137" i="43"/>
  <c r="R137" i="43"/>
  <c r="S137" i="43"/>
  <c r="T137" i="43"/>
  <c r="U137" i="43"/>
  <c r="V137" i="43"/>
  <c r="W137" i="43"/>
  <c r="X137" i="43"/>
  <c r="Y137" i="43"/>
  <c r="Z137" i="43"/>
  <c r="AA137" i="43"/>
  <c r="AB137" i="43"/>
  <c r="B137" i="43"/>
  <c r="D95" i="43"/>
  <c r="E95" i="43"/>
  <c r="F95" i="43"/>
  <c r="G95" i="43"/>
  <c r="H95" i="43"/>
  <c r="I95" i="43"/>
  <c r="J95" i="43"/>
  <c r="K95" i="43"/>
  <c r="L95" i="43"/>
  <c r="M95" i="43"/>
  <c r="N95" i="43"/>
  <c r="O95" i="43"/>
  <c r="P95" i="43"/>
  <c r="Q95" i="43"/>
  <c r="R95" i="43"/>
  <c r="S95" i="43"/>
  <c r="T95" i="43"/>
  <c r="U95" i="43"/>
  <c r="V95" i="43"/>
  <c r="W95" i="43"/>
  <c r="X95" i="43"/>
  <c r="Y95" i="43"/>
  <c r="Z95" i="43"/>
  <c r="AA95" i="43"/>
  <c r="AB95" i="43"/>
  <c r="AC95" i="43"/>
  <c r="C95" i="43"/>
  <c r="D79" i="43"/>
  <c r="E79" i="43"/>
  <c r="F79" i="43"/>
  <c r="G79" i="43"/>
  <c r="H79" i="43"/>
  <c r="I79" i="43"/>
  <c r="J79" i="43"/>
  <c r="K79" i="43"/>
  <c r="L79" i="43"/>
  <c r="M79" i="43"/>
  <c r="N79" i="43"/>
  <c r="O79" i="43"/>
  <c r="P79" i="43"/>
  <c r="Q79" i="43"/>
  <c r="R79" i="43"/>
  <c r="S79" i="43"/>
  <c r="T79" i="43"/>
  <c r="U79" i="43"/>
  <c r="V79" i="43"/>
  <c r="W79" i="43"/>
  <c r="X79" i="43"/>
  <c r="Y79" i="43"/>
  <c r="Z79" i="43"/>
  <c r="AA79" i="43"/>
  <c r="AB79" i="43"/>
  <c r="AC79" i="43"/>
  <c r="C79" i="43"/>
  <c r="I4" i="59"/>
  <c r="J4" i="59"/>
  <c r="K4" i="59"/>
  <c r="L4" i="59"/>
  <c r="M4" i="59"/>
  <c r="N4" i="59"/>
  <c r="O4" i="59"/>
  <c r="P4" i="59"/>
  <c r="Q4" i="59"/>
  <c r="R4" i="59"/>
  <c r="S4" i="59"/>
  <c r="T4" i="59"/>
  <c r="U4" i="59"/>
  <c r="V4" i="59"/>
  <c r="W4" i="59"/>
  <c r="X4" i="59"/>
  <c r="Y4" i="59"/>
  <c r="Z4" i="59"/>
  <c r="AA4" i="59"/>
  <c r="AB4" i="59"/>
  <c r="AC4" i="59"/>
  <c r="AD4" i="59"/>
  <c r="AE4" i="59"/>
  <c r="AF4" i="59"/>
  <c r="AG4" i="59"/>
  <c r="H4" i="59"/>
  <c r="F184" i="59"/>
  <c r="G184" i="59"/>
  <c r="H184" i="59"/>
  <c r="I184" i="59"/>
  <c r="J184" i="59"/>
  <c r="K184" i="59"/>
  <c r="L184" i="59"/>
  <c r="M184" i="59"/>
  <c r="N184" i="59"/>
  <c r="O184" i="59"/>
  <c r="P184" i="59"/>
  <c r="Q184" i="59"/>
  <c r="R184" i="59"/>
  <c r="S184" i="59"/>
  <c r="T184" i="59"/>
  <c r="U184" i="59"/>
  <c r="V184" i="59"/>
  <c r="W184" i="59"/>
  <c r="X184" i="59"/>
  <c r="Y184" i="59"/>
  <c r="Z184" i="59"/>
  <c r="AA184" i="59"/>
  <c r="AB184" i="59"/>
  <c r="AC184" i="59"/>
  <c r="AD184" i="59"/>
  <c r="AE184" i="59"/>
  <c r="E184" i="59"/>
  <c r="C81" i="43"/>
  <c r="C83" i="43"/>
  <c r="C84" i="43"/>
  <c r="C85" i="43"/>
  <c r="C86" i="43"/>
  <c r="C107" i="43"/>
  <c r="E266" i="43" s="1"/>
  <c r="C98" i="43"/>
  <c r="E274" i="43" s="1"/>
  <c r="D171" i="43"/>
  <c r="AC138" i="43"/>
  <c r="B138" i="43"/>
  <c r="F108" i="43"/>
  <c r="G108" i="43"/>
  <c r="H108" i="43"/>
  <c r="I108" i="43"/>
  <c r="J108" i="43"/>
  <c r="K108" i="43"/>
  <c r="L108" i="43"/>
  <c r="M108" i="43"/>
  <c r="N108" i="43"/>
  <c r="O108" i="43"/>
  <c r="P108" i="43"/>
  <c r="Q108" i="43"/>
  <c r="R108" i="43"/>
  <c r="S108" i="43"/>
  <c r="T108" i="43"/>
  <c r="U108" i="43"/>
  <c r="V108" i="43"/>
  <c r="W108" i="43"/>
  <c r="X108" i="43"/>
  <c r="Y108" i="43"/>
  <c r="Z108" i="43"/>
  <c r="AA108" i="43"/>
  <c r="AB108" i="43"/>
  <c r="AC108" i="43"/>
  <c r="D108" i="43"/>
  <c r="E108" i="43"/>
  <c r="A12" i="43"/>
  <c r="S74" i="58" l="1"/>
  <c r="S32" i="58" s="1"/>
  <c r="CA8" i="59"/>
  <c r="CA22" i="59" s="1"/>
  <c r="BD24" i="59"/>
  <c r="BD38" i="59" s="1"/>
  <c r="Z66" i="58"/>
  <c r="X121" i="61"/>
  <c r="BD4" i="59"/>
  <c r="CH4" i="59" s="1"/>
  <c r="CH12" i="59" s="1"/>
  <c r="CH20" i="59" s="1"/>
  <c r="CH28" i="59" s="1"/>
  <c r="CH36" i="59" s="1"/>
  <c r="CH46" i="59" s="1"/>
  <c r="AV4" i="59"/>
  <c r="AV33" i="59" s="1"/>
  <c r="AN4" i="59"/>
  <c r="BR4" i="59" s="1"/>
  <c r="BR12" i="59" s="1"/>
  <c r="BR20" i="59" s="1"/>
  <c r="BR28" i="59" s="1"/>
  <c r="BR36" i="59" s="1"/>
  <c r="BR46" i="59" s="1"/>
  <c r="BC4" i="59"/>
  <c r="CG4" i="59" s="1"/>
  <c r="CG12" i="59" s="1"/>
  <c r="CG20" i="59" s="1"/>
  <c r="CG28" i="59" s="1"/>
  <c r="CG36" i="59" s="1"/>
  <c r="CG46" i="59" s="1"/>
  <c r="AM4" i="59"/>
  <c r="BQ4" i="59" s="1"/>
  <c r="BQ12" i="59" s="1"/>
  <c r="BQ20" i="59" s="1"/>
  <c r="BQ28" i="59" s="1"/>
  <c r="BQ36" i="59" s="1"/>
  <c r="BQ46" i="59" s="1"/>
  <c r="BB4" i="59"/>
  <c r="BB33" i="59" s="1"/>
  <c r="AT4" i="59"/>
  <c r="BX4" i="59" s="1"/>
  <c r="BX12" i="59" s="1"/>
  <c r="BX20" i="59" s="1"/>
  <c r="BX28" i="59" s="1"/>
  <c r="BX36" i="59" s="1"/>
  <c r="BX46" i="59" s="1"/>
  <c r="AL4" i="59"/>
  <c r="AL33" i="59" s="1"/>
  <c r="BJ4" i="59"/>
  <c r="BJ33" i="59" s="1"/>
  <c r="BI4" i="59"/>
  <c r="CM4" i="59" s="1"/>
  <c r="CM12" i="59" s="1"/>
  <c r="CM20" i="59" s="1"/>
  <c r="CM28" i="59" s="1"/>
  <c r="CM36" i="59" s="1"/>
  <c r="CM46" i="59" s="1"/>
  <c r="BA4" i="59"/>
  <c r="CE4" i="59" s="1"/>
  <c r="CE12" i="59" s="1"/>
  <c r="CE20" i="59" s="1"/>
  <c r="CE28" i="59" s="1"/>
  <c r="CE36" i="59" s="1"/>
  <c r="CE46" i="59" s="1"/>
  <c r="AS4" i="59"/>
  <c r="BW4" i="59" s="1"/>
  <c r="BW12" i="59" s="1"/>
  <c r="BW20" i="59" s="1"/>
  <c r="BW28" i="59" s="1"/>
  <c r="BW36" i="59" s="1"/>
  <c r="BW46" i="59" s="1"/>
  <c r="AK4" i="59"/>
  <c r="BO4" i="59" s="1"/>
  <c r="BO12" i="59" s="1"/>
  <c r="BO20" i="59" s="1"/>
  <c r="BO28" i="59" s="1"/>
  <c r="BO36" i="59" s="1"/>
  <c r="BO46" i="59" s="1"/>
  <c r="BH4" i="59"/>
  <c r="BH33" i="59" s="1"/>
  <c r="AZ4" i="59"/>
  <c r="AZ33" i="59" s="1"/>
  <c r="AR4" i="59"/>
  <c r="AR33" i="59" s="1"/>
  <c r="BG4" i="59"/>
  <c r="CK4" i="59" s="1"/>
  <c r="CK12" i="59" s="1"/>
  <c r="CK20" i="59" s="1"/>
  <c r="CK28" i="59" s="1"/>
  <c r="CK36" i="59" s="1"/>
  <c r="CK46" i="59" s="1"/>
  <c r="AY4" i="59"/>
  <c r="AY33" i="59" s="1"/>
  <c r="AQ4" i="59"/>
  <c r="AQ33" i="59" s="1"/>
  <c r="AU4" i="59"/>
  <c r="BY4" i="59" s="1"/>
  <c r="BY12" i="59" s="1"/>
  <c r="BY20" i="59" s="1"/>
  <c r="BY28" i="59" s="1"/>
  <c r="BY36" i="59" s="1"/>
  <c r="BY46" i="59" s="1"/>
  <c r="BF4" i="59"/>
  <c r="CJ4" i="59" s="1"/>
  <c r="CJ12" i="59" s="1"/>
  <c r="CJ20" i="59" s="1"/>
  <c r="CJ28" i="59" s="1"/>
  <c r="CJ36" i="59" s="1"/>
  <c r="CJ46" i="59" s="1"/>
  <c r="AX4" i="59"/>
  <c r="CB4" i="59" s="1"/>
  <c r="CB12" i="59" s="1"/>
  <c r="CB20" i="59" s="1"/>
  <c r="CB28" i="59" s="1"/>
  <c r="CB36" i="59" s="1"/>
  <c r="CB46" i="59" s="1"/>
  <c r="AP4" i="59"/>
  <c r="AP33" i="59" s="1"/>
  <c r="BE4" i="59"/>
  <c r="CI4" i="59" s="1"/>
  <c r="CI12" i="59" s="1"/>
  <c r="CI20" i="59" s="1"/>
  <c r="CI28" i="59" s="1"/>
  <c r="CI36" i="59" s="1"/>
  <c r="CI46" i="59" s="1"/>
  <c r="AW4" i="59"/>
  <c r="CA4" i="59" s="1"/>
  <c r="CA12" i="59" s="1"/>
  <c r="CA20" i="59" s="1"/>
  <c r="CA28" i="59" s="1"/>
  <c r="CA36" i="59" s="1"/>
  <c r="CA46" i="59" s="1"/>
  <c r="AO4" i="59"/>
  <c r="BS4" i="59" s="1"/>
  <c r="BS12" i="59" s="1"/>
  <c r="BS20" i="59" s="1"/>
  <c r="BS28" i="59" s="1"/>
  <c r="BS36" i="59" s="1"/>
  <c r="BS46" i="59" s="1"/>
  <c r="BN4" i="59"/>
  <c r="BN12" i="59" s="1"/>
  <c r="BN20" i="59" s="1"/>
  <c r="BN28" i="59" s="1"/>
  <c r="BN36" i="59" s="1"/>
  <c r="BN46" i="59" s="1"/>
  <c r="AJ33" i="59"/>
  <c r="G24" i="59"/>
  <c r="AJ24" i="59" s="1"/>
  <c r="AJ38" i="59" s="1"/>
  <c r="AL24" i="59"/>
  <c r="AL38" i="59" s="1"/>
  <c r="AY25" i="59"/>
  <c r="U67" i="58"/>
  <c r="S122" i="61"/>
  <c r="Z68" i="58"/>
  <c r="AB20" i="61"/>
  <c r="AC22" i="61"/>
  <c r="AC91" i="61"/>
  <c r="AC21" i="61" s="1"/>
  <c r="AC97" i="61"/>
  <c r="AC27" i="61" s="1"/>
  <c r="E263" i="43"/>
  <c r="E264" i="43"/>
  <c r="E265" i="43"/>
  <c r="E273" i="43"/>
  <c r="C299" i="43" s="1"/>
  <c r="C331" i="43" s="1"/>
  <c r="E272" i="43"/>
  <c r="C298" i="43" s="1"/>
  <c r="F121" i="61"/>
  <c r="W48" i="58"/>
  <c r="W6" i="58" s="1"/>
  <c r="AC48" i="58"/>
  <c r="AC6" i="58" s="1"/>
  <c r="U48" i="58"/>
  <c r="U6" i="58" s="1"/>
  <c r="M48" i="58"/>
  <c r="M6" i="58" s="1"/>
  <c r="AB48" i="58"/>
  <c r="AB6" i="58" s="1"/>
  <c r="T48" i="58"/>
  <c r="T6" i="58" s="1"/>
  <c r="L48" i="58"/>
  <c r="L6" i="58" s="1"/>
  <c r="V48" i="58"/>
  <c r="V6" i="58" s="1"/>
  <c r="AA48" i="58"/>
  <c r="AA6" i="58" s="1"/>
  <c r="S48" i="58"/>
  <c r="S6" i="58" s="1"/>
  <c r="K48" i="58"/>
  <c r="K6" i="58" s="1"/>
  <c r="G48" i="58"/>
  <c r="G6" i="58" s="1"/>
  <c r="AD48" i="58"/>
  <c r="AD6" i="58" s="1"/>
  <c r="Z48" i="58"/>
  <c r="Z6" i="58" s="1"/>
  <c r="R48" i="58"/>
  <c r="R6" i="58" s="1"/>
  <c r="J48" i="58"/>
  <c r="J6" i="58" s="1"/>
  <c r="Y48" i="58"/>
  <c r="Y6" i="58" s="1"/>
  <c r="Q48" i="58"/>
  <c r="Q6" i="58" s="1"/>
  <c r="I48" i="58"/>
  <c r="I6" i="58" s="1"/>
  <c r="AE48" i="58"/>
  <c r="AE6" i="58" s="1"/>
  <c r="O48" i="58"/>
  <c r="O6" i="58" s="1"/>
  <c r="N48" i="58"/>
  <c r="N6" i="58" s="1"/>
  <c r="F48" i="58"/>
  <c r="F6" i="58" s="1"/>
  <c r="X48" i="58"/>
  <c r="X6" i="58" s="1"/>
  <c r="P48" i="58"/>
  <c r="P6" i="58" s="1"/>
  <c r="H48" i="58"/>
  <c r="H6" i="58" s="1"/>
  <c r="AA24" i="60"/>
  <c r="AA59" i="60" s="1"/>
  <c r="Z28" i="60"/>
  <c r="Z63" i="60" s="1"/>
  <c r="Z27" i="60"/>
  <c r="Z62" i="60" s="1"/>
  <c r="H23" i="60"/>
  <c r="H58" i="60" s="1"/>
  <c r="AD92" i="61"/>
  <c r="AC90" i="61"/>
  <c r="C89" i="43"/>
  <c r="C476" i="43"/>
  <c r="C578" i="43"/>
  <c r="Y380" i="43"/>
  <c r="Y358" i="43"/>
  <c r="Q380" i="43"/>
  <c r="Q358" i="43"/>
  <c r="X380" i="43"/>
  <c r="X358" i="43"/>
  <c r="P380" i="43"/>
  <c r="P358" i="43"/>
  <c r="H380" i="43"/>
  <c r="H358" i="43"/>
  <c r="I380" i="43"/>
  <c r="I358" i="43"/>
  <c r="W380" i="43"/>
  <c r="W358" i="43"/>
  <c r="O380" i="43"/>
  <c r="O358" i="43"/>
  <c r="G380" i="43"/>
  <c r="G358" i="43"/>
  <c r="V380" i="43"/>
  <c r="V358" i="43"/>
  <c r="N380" i="43"/>
  <c r="N358" i="43"/>
  <c r="AC380" i="43"/>
  <c r="AC358" i="43"/>
  <c r="U380" i="43"/>
  <c r="U358" i="43"/>
  <c r="M380" i="43"/>
  <c r="M358" i="43"/>
  <c r="E380" i="43"/>
  <c r="E358" i="43"/>
  <c r="AB380" i="43"/>
  <c r="AB358" i="43"/>
  <c r="T380" i="43"/>
  <c r="T358" i="43"/>
  <c r="L380" i="43"/>
  <c r="L358" i="43"/>
  <c r="D380" i="43"/>
  <c r="D358" i="43"/>
  <c r="C380" i="43"/>
  <c r="C358" i="43"/>
  <c r="AA380" i="43"/>
  <c r="AA358" i="43"/>
  <c r="S380" i="43"/>
  <c r="S358" i="43"/>
  <c r="K380" i="43"/>
  <c r="K358" i="43"/>
  <c r="F380" i="43"/>
  <c r="F358" i="43"/>
  <c r="Z380" i="43"/>
  <c r="Z358" i="43"/>
  <c r="R380" i="43"/>
  <c r="R358" i="43"/>
  <c r="J380" i="43"/>
  <c r="J358" i="43"/>
  <c r="C350" i="43"/>
  <c r="F20" i="60"/>
  <c r="F21" i="60"/>
  <c r="F22" i="60"/>
  <c r="B20" i="60"/>
  <c r="B55" i="60" s="1"/>
  <c r="B18" i="60"/>
  <c r="B53" i="60" s="1"/>
  <c r="B19" i="60"/>
  <c r="B54" i="60" s="1"/>
  <c r="B17" i="60"/>
  <c r="B52" i="60" s="1"/>
  <c r="B9" i="60"/>
  <c r="B44" i="60" s="1"/>
  <c r="B10" i="60"/>
  <c r="B45" i="60" s="1"/>
  <c r="B11" i="60"/>
  <c r="B46" i="60" s="1"/>
  <c r="B12" i="60"/>
  <c r="B47" i="60" s="1"/>
  <c r="B14" i="60"/>
  <c r="B49" i="60" s="1"/>
  <c r="B15" i="60"/>
  <c r="B50" i="60" s="1"/>
  <c r="B16" i="60"/>
  <c r="B51" i="60" s="1"/>
  <c r="B8" i="60"/>
  <c r="B43" i="60" s="1"/>
  <c r="B7" i="60"/>
  <c r="B42" i="60" s="1"/>
  <c r="E4" i="60"/>
  <c r="B128" i="43"/>
  <c r="C321" i="43" s="1"/>
  <c r="C128" i="43"/>
  <c r="C335" i="43" s="1"/>
  <c r="A11" i="43"/>
  <c r="A10" i="43"/>
  <c r="A7" i="43"/>
  <c r="A5" i="43"/>
  <c r="A6" i="43"/>
  <c r="A4" i="43"/>
  <c r="E260" i="59"/>
  <c r="F257" i="59" s="1"/>
  <c r="C22" i="59"/>
  <c r="C121" i="59" s="1"/>
  <c r="C122" i="59" s="1"/>
  <c r="C20" i="59"/>
  <c r="C19" i="59"/>
  <c r="C117" i="59" s="1"/>
  <c r="C118" i="59" s="1"/>
  <c r="C18" i="59"/>
  <c r="C115" i="59" s="1"/>
  <c r="C116" i="59" s="1"/>
  <c r="E16" i="59"/>
  <c r="C16" i="59"/>
  <c r="E15" i="59"/>
  <c r="C15" i="59"/>
  <c r="E14" i="59"/>
  <c r="C14" i="59"/>
  <c r="C12" i="59"/>
  <c r="C11" i="59"/>
  <c r="C105" i="59" s="1"/>
  <c r="C106" i="59" s="1"/>
  <c r="C10" i="59"/>
  <c r="C103" i="59" s="1"/>
  <c r="C104" i="59" s="1"/>
  <c r="C9" i="59"/>
  <c r="C8" i="59"/>
  <c r="C6" i="59"/>
  <c r="C97" i="59" s="1"/>
  <c r="C98" i="59" s="1"/>
  <c r="N94" i="58"/>
  <c r="CL4" i="59" l="1"/>
  <c r="CL12" i="59" s="1"/>
  <c r="CL20" i="59" s="1"/>
  <c r="CL28" i="59" s="1"/>
  <c r="CL36" i="59" s="1"/>
  <c r="CL46" i="59" s="1"/>
  <c r="C99" i="59"/>
  <c r="C100" i="59"/>
  <c r="C102" i="59"/>
  <c r="C101" i="59"/>
  <c r="BZ4" i="59"/>
  <c r="BZ12" i="59" s="1"/>
  <c r="BZ20" i="59" s="1"/>
  <c r="BZ28" i="59" s="1"/>
  <c r="BZ36" i="59" s="1"/>
  <c r="BZ46" i="59" s="1"/>
  <c r="CC4" i="59"/>
  <c r="CC12" i="59" s="1"/>
  <c r="CC20" i="59" s="1"/>
  <c r="CC28" i="59" s="1"/>
  <c r="CC36" i="59" s="1"/>
  <c r="CC46" i="59" s="1"/>
  <c r="AK33" i="59"/>
  <c r="AK43" i="59" s="1"/>
  <c r="AK54" i="59" s="1"/>
  <c r="CN4" i="59"/>
  <c r="CN12" i="59" s="1"/>
  <c r="CN20" i="59" s="1"/>
  <c r="CN28" i="59" s="1"/>
  <c r="CN36" i="59" s="1"/>
  <c r="CN46" i="59" s="1"/>
  <c r="BU4" i="59"/>
  <c r="BU12" i="59" s="1"/>
  <c r="BU20" i="59" s="1"/>
  <c r="BU28" i="59" s="1"/>
  <c r="BU36" i="59" s="1"/>
  <c r="BU46" i="59" s="1"/>
  <c r="AM33" i="59"/>
  <c r="AM43" i="59" s="1"/>
  <c r="AM54" i="59" s="1"/>
  <c r="W423" i="43"/>
  <c r="W595" i="43" s="1"/>
  <c r="W605" i="43" s="1"/>
  <c r="W393" i="43"/>
  <c r="W402" i="43" s="1"/>
  <c r="R423" i="43"/>
  <c r="R432" i="43" s="1"/>
  <c r="R393" i="43"/>
  <c r="R402" i="43" s="1"/>
  <c r="L423" i="43"/>
  <c r="L432" i="43" s="1"/>
  <c r="L393" i="43"/>
  <c r="L402" i="43" s="1"/>
  <c r="M423" i="43"/>
  <c r="M595" i="43" s="1"/>
  <c r="M605" i="43" s="1"/>
  <c r="M393" i="43"/>
  <c r="M402" i="43" s="1"/>
  <c r="V423" i="43"/>
  <c r="V432" i="43" s="1"/>
  <c r="V393" i="43"/>
  <c r="V402" i="43" s="1"/>
  <c r="I423" i="43"/>
  <c r="I432" i="43" s="1"/>
  <c r="I393" i="43"/>
  <c r="I402" i="43" s="1"/>
  <c r="Q423" i="43"/>
  <c r="Q432" i="43" s="1"/>
  <c r="Q393" i="43"/>
  <c r="Q402" i="43" s="1"/>
  <c r="D423" i="43"/>
  <c r="D595" i="43" s="1"/>
  <c r="D605" i="43" s="1"/>
  <c r="D393" i="43"/>
  <c r="D402" i="43" s="1"/>
  <c r="S423" i="43"/>
  <c r="S432" i="43" s="1"/>
  <c r="S393" i="43"/>
  <c r="S402" i="43" s="1"/>
  <c r="K423" i="43"/>
  <c r="K432" i="43" s="1"/>
  <c r="K393" i="43"/>
  <c r="K402" i="43" s="1"/>
  <c r="Z423" i="43"/>
  <c r="Z432" i="43" s="1"/>
  <c r="Z393" i="43"/>
  <c r="Z402" i="43" s="1"/>
  <c r="AA423" i="43"/>
  <c r="AA432" i="43" s="1"/>
  <c r="AA393" i="43"/>
  <c r="AA402" i="43" s="1"/>
  <c r="T423" i="43"/>
  <c r="T432" i="43" s="1"/>
  <c r="T393" i="43"/>
  <c r="T402" i="43" s="1"/>
  <c r="U423" i="43"/>
  <c r="U432" i="43" s="1"/>
  <c r="U393" i="43"/>
  <c r="U402" i="43" s="1"/>
  <c r="G423" i="43"/>
  <c r="G432" i="43" s="1"/>
  <c r="G393" i="43"/>
  <c r="G402" i="43" s="1"/>
  <c r="H423" i="43"/>
  <c r="H432" i="43" s="1"/>
  <c r="H393" i="43"/>
  <c r="H402" i="43" s="1"/>
  <c r="Y423" i="43"/>
  <c r="Y432" i="43" s="1"/>
  <c r="Y393" i="43"/>
  <c r="Y402" i="43" s="1"/>
  <c r="N423" i="43"/>
  <c r="N432" i="43" s="1"/>
  <c r="N393" i="43"/>
  <c r="N402" i="43" s="1"/>
  <c r="E423" i="43"/>
  <c r="E595" i="43" s="1"/>
  <c r="E605" i="43" s="1"/>
  <c r="E393" i="43"/>
  <c r="E402" i="43" s="1"/>
  <c r="F423" i="43"/>
  <c r="F595" i="43" s="1"/>
  <c r="F605" i="43" s="1"/>
  <c r="F393" i="43"/>
  <c r="F402" i="43" s="1"/>
  <c r="C423" i="43"/>
  <c r="C595" i="43" s="1"/>
  <c r="C605" i="43" s="1"/>
  <c r="C393" i="43"/>
  <c r="C402" i="43" s="1"/>
  <c r="AB423" i="43"/>
  <c r="AB432" i="43" s="1"/>
  <c r="AB393" i="43"/>
  <c r="AB402" i="43" s="1"/>
  <c r="AC423" i="43"/>
  <c r="AC432" i="43" s="1"/>
  <c r="AC393" i="43"/>
  <c r="AC402" i="43" s="1"/>
  <c r="O423" i="43"/>
  <c r="O595" i="43" s="1"/>
  <c r="O605" i="43" s="1"/>
  <c r="O393" i="43"/>
  <c r="O402" i="43" s="1"/>
  <c r="P423" i="43"/>
  <c r="P432" i="43" s="1"/>
  <c r="P393" i="43"/>
  <c r="P402" i="43" s="1"/>
  <c r="J423" i="43"/>
  <c r="J595" i="43" s="1"/>
  <c r="J605" i="43" s="1"/>
  <c r="J393" i="43"/>
  <c r="J402" i="43" s="1"/>
  <c r="X423" i="43"/>
  <c r="X432" i="43" s="1"/>
  <c r="X393" i="43"/>
  <c r="X402" i="43" s="1"/>
  <c r="M432" i="43"/>
  <c r="Y595" i="43"/>
  <c r="Y605" i="43" s="1"/>
  <c r="C432" i="43"/>
  <c r="P595" i="43"/>
  <c r="P605" i="43" s="1"/>
  <c r="W432" i="43"/>
  <c r="Y121" i="61"/>
  <c r="BE24" i="59"/>
  <c r="BE38" i="59" s="1"/>
  <c r="AA66" i="58"/>
  <c r="T74" i="58"/>
  <c r="T32" i="58" s="1"/>
  <c r="CB8" i="59"/>
  <c r="CB22" i="59" s="1"/>
  <c r="BG33" i="59"/>
  <c r="BG69" i="59" s="1"/>
  <c r="BG82" i="59" s="1"/>
  <c r="BG95" i="59" s="1"/>
  <c r="BG107" i="59" s="1"/>
  <c r="BG118" i="59" s="1"/>
  <c r="AW33" i="59"/>
  <c r="AW43" i="59" s="1"/>
  <c r="AW54" i="59" s="1"/>
  <c r="AX33" i="59"/>
  <c r="AX43" i="59" s="1"/>
  <c r="AX54" i="59" s="1"/>
  <c r="BF33" i="59"/>
  <c r="BF43" i="59" s="1"/>
  <c r="BF54" i="59" s="1"/>
  <c r="BD33" i="59"/>
  <c r="BD69" i="59" s="1"/>
  <c r="BD82" i="59" s="1"/>
  <c r="BD95" i="59" s="1"/>
  <c r="BD107" i="59" s="1"/>
  <c r="BD118" i="59" s="1"/>
  <c r="AT33" i="59"/>
  <c r="AT69" i="59" s="1"/>
  <c r="AT82" i="59" s="1"/>
  <c r="AT95" i="59" s="1"/>
  <c r="AT107" i="59" s="1"/>
  <c r="AT118" i="59" s="1"/>
  <c r="BT4" i="59"/>
  <c r="BT12" i="59" s="1"/>
  <c r="BT20" i="59" s="1"/>
  <c r="BT28" i="59" s="1"/>
  <c r="BT36" i="59" s="1"/>
  <c r="BT46" i="59" s="1"/>
  <c r="CD4" i="59"/>
  <c r="CD12" i="59" s="1"/>
  <c r="CD20" i="59" s="1"/>
  <c r="CD28" i="59" s="1"/>
  <c r="CD36" i="59" s="1"/>
  <c r="CD46" i="59" s="1"/>
  <c r="H475" i="43"/>
  <c r="H577" i="43" s="1"/>
  <c r="H587" i="43" s="1"/>
  <c r="AA475" i="43"/>
  <c r="AA577" i="43" s="1"/>
  <c r="AA587" i="43" s="1"/>
  <c r="F367" i="43"/>
  <c r="C367" i="43"/>
  <c r="AB475" i="43"/>
  <c r="AB618" i="43" s="1"/>
  <c r="AB631" i="43" s="1"/>
  <c r="AC367" i="43"/>
  <c r="O367" i="43"/>
  <c r="P367" i="43"/>
  <c r="T475" i="43"/>
  <c r="T577" i="43" s="1"/>
  <c r="T587" i="43" s="1"/>
  <c r="K367" i="43"/>
  <c r="D367" i="43"/>
  <c r="E367" i="43"/>
  <c r="N367" i="43"/>
  <c r="W367" i="43"/>
  <c r="X367" i="43"/>
  <c r="U367" i="43"/>
  <c r="G367" i="43"/>
  <c r="R367" i="43"/>
  <c r="S367" i="43"/>
  <c r="L367" i="43"/>
  <c r="M475" i="43"/>
  <c r="M618" i="43" s="1"/>
  <c r="M631" i="43" s="1"/>
  <c r="V367" i="43"/>
  <c r="I367" i="43"/>
  <c r="Q367" i="43"/>
  <c r="Z367" i="43"/>
  <c r="Y367" i="43"/>
  <c r="J367" i="43"/>
  <c r="C96" i="43"/>
  <c r="BP4" i="59"/>
  <c r="BP12" i="59" s="1"/>
  <c r="BP20" i="59" s="1"/>
  <c r="BP28" i="59" s="1"/>
  <c r="BP36" i="59" s="1"/>
  <c r="BP46" i="59" s="1"/>
  <c r="BE33" i="59"/>
  <c r="BE69" i="59" s="1"/>
  <c r="BE82" i="59" s="1"/>
  <c r="BE95" i="59" s="1"/>
  <c r="BE107" i="59" s="1"/>
  <c r="BE118" i="59" s="1"/>
  <c r="AN33" i="59"/>
  <c r="AN43" i="59" s="1"/>
  <c r="AN54" i="59" s="1"/>
  <c r="BA33" i="59"/>
  <c r="BA69" i="59" s="1"/>
  <c r="BA82" i="59" s="1"/>
  <c r="BA95" i="59" s="1"/>
  <c r="BA107" i="59" s="1"/>
  <c r="BA118" i="59" s="1"/>
  <c r="BV4" i="59"/>
  <c r="BV12" i="59" s="1"/>
  <c r="BV20" i="59" s="1"/>
  <c r="BV28" i="59" s="1"/>
  <c r="BV36" i="59" s="1"/>
  <c r="BV46" i="59" s="1"/>
  <c r="AO33" i="59"/>
  <c r="AO43" i="59" s="1"/>
  <c r="AO54" i="59" s="1"/>
  <c r="BI33" i="59"/>
  <c r="BI69" i="59" s="1"/>
  <c r="BI82" i="59" s="1"/>
  <c r="BI95" i="59" s="1"/>
  <c r="BI107" i="59" s="1"/>
  <c r="BI118" i="59" s="1"/>
  <c r="CF4" i="59"/>
  <c r="CF12" i="59" s="1"/>
  <c r="CF20" i="59" s="1"/>
  <c r="CF28" i="59" s="1"/>
  <c r="CF36" i="59" s="1"/>
  <c r="CF46" i="59" s="1"/>
  <c r="AS33" i="59"/>
  <c r="AS43" i="59" s="1"/>
  <c r="AS54" i="59" s="1"/>
  <c r="AU33" i="59"/>
  <c r="AU43" i="59" s="1"/>
  <c r="AU54" i="59" s="1"/>
  <c r="BC33" i="59"/>
  <c r="BC43" i="59" s="1"/>
  <c r="BC54" i="59" s="1"/>
  <c r="C61" i="59"/>
  <c r="AI8" i="59"/>
  <c r="C65" i="59"/>
  <c r="C107" i="59" s="1"/>
  <c r="C108" i="59" s="1"/>
  <c r="AI12" i="59"/>
  <c r="C75" i="59"/>
  <c r="AI22" i="59"/>
  <c r="BH43" i="59"/>
  <c r="BH54" i="59" s="1"/>
  <c r="BH69" i="59"/>
  <c r="BH82" i="59" s="1"/>
  <c r="BH95" i="59" s="1"/>
  <c r="BH107" i="59" s="1"/>
  <c r="BH118" i="59" s="1"/>
  <c r="AV43" i="59"/>
  <c r="AV54" i="59" s="1"/>
  <c r="AV69" i="59"/>
  <c r="AV82" i="59" s="1"/>
  <c r="AV95" i="59" s="1"/>
  <c r="AV107" i="59" s="1"/>
  <c r="AV118" i="59" s="1"/>
  <c r="BB43" i="59"/>
  <c r="BB54" i="59" s="1"/>
  <c r="BB69" i="59"/>
  <c r="BB82" i="59" s="1"/>
  <c r="BB95" i="59" s="1"/>
  <c r="BB107" i="59" s="1"/>
  <c r="BB118" i="59" s="1"/>
  <c r="AY43" i="59"/>
  <c r="AY54" i="59" s="1"/>
  <c r="AY69" i="59"/>
  <c r="AY82" i="59" s="1"/>
  <c r="AY95" i="59" s="1"/>
  <c r="AY107" i="59" s="1"/>
  <c r="AY118" i="59" s="1"/>
  <c r="C71" i="59"/>
  <c r="AI18" i="59"/>
  <c r="AP43" i="59"/>
  <c r="AP54" i="59" s="1"/>
  <c r="AP69" i="59"/>
  <c r="AP82" i="59" s="1"/>
  <c r="AP95" i="59" s="1"/>
  <c r="AP107" i="59" s="1"/>
  <c r="AP118" i="59" s="1"/>
  <c r="C72" i="59"/>
  <c r="AI19" i="59"/>
  <c r="AJ43" i="59"/>
  <c r="AJ54" i="59" s="1"/>
  <c r="AJ69" i="59"/>
  <c r="AJ82" i="59" s="1"/>
  <c r="AJ95" i="59" s="1"/>
  <c r="AJ107" i="59" s="1"/>
  <c r="AJ118" i="59" s="1"/>
  <c r="BJ43" i="59"/>
  <c r="BJ54" i="59" s="1"/>
  <c r="BJ69" i="59"/>
  <c r="BJ82" i="59" s="1"/>
  <c r="BJ95" i="59" s="1"/>
  <c r="BJ107" i="59" s="1"/>
  <c r="BJ118" i="59" s="1"/>
  <c r="C63" i="59"/>
  <c r="AI10" i="59"/>
  <c r="C68" i="59"/>
  <c r="C113" i="59" s="1"/>
  <c r="C114" i="59" s="1"/>
  <c r="AI15" i="59"/>
  <c r="D121" i="61"/>
  <c r="C62" i="59"/>
  <c r="AI9" i="59"/>
  <c r="AQ43" i="59"/>
  <c r="AQ54" i="59" s="1"/>
  <c r="AQ69" i="59"/>
  <c r="AQ82" i="59" s="1"/>
  <c r="AQ95" i="59" s="1"/>
  <c r="AQ107" i="59" s="1"/>
  <c r="AQ118" i="59" s="1"/>
  <c r="AR43" i="59"/>
  <c r="AR54" i="59" s="1"/>
  <c r="AR69" i="59"/>
  <c r="AR82" i="59" s="1"/>
  <c r="AR95" i="59" s="1"/>
  <c r="AR107" i="59" s="1"/>
  <c r="AR118" i="59" s="1"/>
  <c r="AL43" i="59"/>
  <c r="AL54" i="59" s="1"/>
  <c r="AL69" i="59"/>
  <c r="AL82" i="59" s="1"/>
  <c r="AL95" i="59" s="1"/>
  <c r="AL107" i="59" s="1"/>
  <c r="AL118" i="59" s="1"/>
  <c r="AZ43" i="59"/>
  <c r="AZ54" i="59" s="1"/>
  <c r="AZ69" i="59"/>
  <c r="AZ82" i="59" s="1"/>
  <c r="AZ95" i="59" s="1"/>
  <c r="AZ107" i="59" s="1"/>
  <c r="AZ118" i="59" s="1"/>
  <c r="C59" i="59"/>
  <c r="AI6" i="59"/>
  <c r="C64" i="59"/>
  <c r="AI11" i="59"/>
  <c r="C67" i="59"/>
  <c r="C111" i="59" s="1"/>
  <c r="C112" i="59" s="1"/>
  <c r="AI14" i="59"/>
  <c r="C69" i="59"/>
  <c r="AI16" i="59"/>
  <c r="C73" i="59"/>
  <c r="C119" i="59" s="1"/>
  <c r="C120" i="59" s="1"/>
  <c r="AI20" i="59"/>
  <c r="AA68" i="58"/>
  <c r="AZ25" i="59"/>
  <c r="V67" i="58"/>
  <c r="T122" i="61"/>
  <c r="AC20" i="61"/>
  <c r="AD22" i="61"/>
  <c r="C317" i="43"/>
  <c r="AD97" i="61"/>
  <c r="AD27" i="61" s="1"/>
  <c r="AD91" i="61"/>
  <c r="F265" i="43"/>
  <c r="C308" i="43"/>
  <c r="C348" i="43" s="1"/>
  <c r="F264" i="43"/>
  <c r="C307" i="43"/>
  <c r="C334" i="43" s="1"/>
  <c r="F263" i="43"/>
  <c r="C306" i="43"/>
  <c r="C320" i="43" s="1"/>
  <c r="C300" i="43"/>
  <c r="F272" i="43"/>
  <c r="F273" i="43"/>
  <c r="G22" i="60"/>
  <c r="F57" i="60"/>
  <c r="I23" i="60"/>
  <c r="I58" i="60" s="1"/>
  <c r="G20" i="60"/>
  <c r="F55" i="60"/>
  <c r="AA27" i="60"/>
  <c r="AA62" i="60" s="1"/>
  <c r="G21" i="60"/>
  <c r="F56" i="60"/>
  <c r="AA28" i="60"/>
  <c r="AA63" i="60" s="1"/>
  <c r="AB24" i="60"/>
  <c r="AB59" i="60" s="1"/>
  <c r="D3" i="61"/>
  <c r="E39" i="60"/>
  <c r="B114" i="61"/>
  <c r="B83" i="61"/>
  <c r="B89" i="61"/>
  <c r="B120" i="61"/>
  <c r="B88" i="61"/>
  <c r="B119" i="61"/>
  <c r="B87" i="61"/>
  <c r="B118" i="61"/>
  <c r="B81" i="61"/>
  <c r="B112" i="61"/>
  <c r="B80" i="61"/>
  <c r="B111" i="61"/>
  <c r="AD90" i="61"/>
  <c r="B116" i="61"/>
  <c r="B85" i="61"/>
  <c r="B115" i="61"/>
  <c r="B84" i="61"/>
  <c r="B79" i="61"/>
  <c r="B110" i="61"/>
  <c r="B76" i="61"/>
  <c r="B107" i="61"/>
  <c r="B78" i="61"/>
  <c r="B109" i="61"/>
  <c r="B108" i="61"/>
  <c r="B77" i="61"/>
  <c r="B86" i="61"/>
  <c r="B117" i="61"/>
  <c r="H367" i="43"/>
  <c r="Y475" i="43"/>
  <c r="Y577" i="43" s="1"/>
  <c r="Y587" i="43" s="1"/>
  <c r="AA367" i="43"/>
  <c r="U475" i="43"/>
  <c r="U577" i="43" s="1"/>
  <c r="U587" i="43" s="1"/>
  <c r="T367" i="43"/>
  <c r="AC475" i="43"/>
  <c r="AC577" i="43" s="1"/>
  <c r="AC587" i="43" s="1"/>
  <c r="Z475" i="43"/>
  <c r="Z577" i="43" s="1"/>
  <c r="Z587" i="43" s="1"/>
  <c r="G475" i="43"/>
  <c r="G618" i="43" s="1"/>
  <c r="G631" i="43" s="1"/>
  <c r="O475" i="43"/>
  <c r="O577" i="43" s="1"/>
  <c r="O587" i="43" s="1"/>
  <c r="F475" i="43"/>
  <c r="F577" i="43" s="1"/>
  <c r="F587" i="43" s="1"/>
  <c r="AB367" i="43"/>
  <c r="E475" i="43"/>
  <c r="E577" i="43" s="1"/>
  <c r="E587" i="43" s="1"/>
  <c r="C475" i="43"/>
  <c r="C577" i="43" s="1"/>
  <c r="C587" i="43" s="1"/>
  <c r="P475" i="43"/>
  <c r="P618" i="43" s="1"/>
  <c r="P631" i="43" s="1"/>
  <c r="I475" i="43"/>
  <c r="I618" i="43" s="1"/>
  <c r="I631" i="43" s="1"/>
  <c r="M367" i="43"/>
  <c r="V475" i="43"/>
  <c r="Q475" i="43"/>
  <c r="L475" i="43"/>
  <c r="AC580" i="43"/>
  <c r="AC581" i="43" s="1"/>
  <c r="U580" i="43"/>
  <c r="U581" i="43" s="1"/>
  <c r="M580" i="43"/>
  <c r="M581" i="43" s="1"/>
  <c r="E580" i="43"/>
  <c r="E581" i="43" s="1"/>
  <c r="F580" i="43"/>
  <c r="F581" i="43" s="1"/>
  <c r="V580" i="43"/>
  <c r="V581" i="43" s="1"/>
  <c r="N580" i="43"/>
  <c r="N581" i="43" s="1"/>
  <c r="D580" i="43"/>
  <c r="AB580" i="43"/>
  <c r="AB581" i="43" s="1"/>
  <c r="Y580" i="43"/>
  <c r="Y581" i="43" s="1"/>
  <c r="K580" i="43"/>
  <c r="K581" i="43" s="1"/>
  <c r="X580" i="43"/>
  <c r="X581" i="43" s="1"/>
  <c r="O580" i="43"/>
  <c r="O581" i="43" s="1"/>
  <c r="AA580" i="43"/>
  <c r="AA581" i="43" s="1"/>
  <c r="H580" i="43"/>
  <c r="H581" i="43" s="1"/>
  <c r="Z580" i="43"/>
  <c r="Z581" i="43" s="1"/>
  <c r="T580" i="43"/>
  <c r="T581" i="43" s="1"/>
  <c r="G580" i="43"/>
  <c r="G581" i="43" s="1"/>
  <c r="W580" i="43"/>
  <c r="W581" i="43" s="1"/>
  <c r="S580" i="43"/>
  <c r="S581" i="43" s="1"/>
  <c r="R580" i="43"/>
  <c r="R581" i="43" s="1"/>
  <c r="L580" i="43"/>
  <c r="L581" i="43" s="1"/>
  <c r="P580" i="43"/>
  <c r="P581" i="43" s="1"/>
  <c r="J580" i="43"/>
  <c r="J581" i="43" s="1"/>
  <c r="I580" i="43"/>
  <c r="I581" i="43" s="1"/>
  <c r="Q580" i="43"/>
  <c r="Q581" i="43" s="1"/>
  <c r="E478" i="43"/>
  <c r="E479" i="43" s="1"/>
  <c r="E7" i="43" s="1"/>
  <c r="D478" i="43"/>
  <c r="D479" i="43" s="1"/>
  <c r="D7" i="43" s="1"/>
  <c r="AA478" i="43"/>
  <c r="AA479" i="43" s="1"/>
  <c r="Q478" i="43"/>
  <c r="Q479" i="43" s="1"/>
  <c r="Z478" i="43"/>
  <c r="Z479" i="43" s="1"/>
  <c r="M478" i="43"/>
  <c r="M479" i="43" s="1"/>
  <c r="X478" i="43"/>
  <c r="X479" i="43" s="1"/>
  <c r="T478" i="43"/>
  <c r="T479" i="43" s="1"/>
  <c r="Y478" i="43"/>
  <c r="Y479" i="43" s="1"/>
  <c r="K478" i="43"/>
  <c r="K479" i="43" s="1"/>
  <c r="W478" i="43"/>
  <c r="W479" i="43" s="1"/>
  <c r="V478" i="43"/>
  <c r="V479" i="43" s="1"/>
  <c r="R478" i="43"/>
  <c r="R479" i="43" s="1"/>
  <c r="G478" i="43"/>
  <c r="G479" i="43" s="1"/>
  <c r="L478" i="43"/>
  <c r="L479" i="43" s="1"/>
  <c r="O478" i="43"/>
  <c r="O479" i="43" s="1"/>
  <c r="J478" i="43"/>
  <c r="J479" i="43" s="1"/>
  <c r="I478" i="43"/>
  <c r="I479" i="43" s="1"/>
  <c r="P478" i="43"/>
  <c r="P479" i="43" s="1"/>
  <c r="U478" i="43"/>
  <c r="U479" i="43" s="1"/>
  <c r="N478" i="43"/>
  <c r="N479" i="43" s="1"/>
  <c r="AC478" i="43"/>
  <c r="AC479" i="43" s="1"/>
  <c r="S478" i="43"/>
  <c r="S479" i="43" s="1"/>
  <c r="H478" i="43"/>
  <c r="H479" i="43" s="1"/>
  <c r="AB478" i="43"/>
  <c r="AB479" i="43" s="1"/>
  <c r="F478" i="43"/>
  <c r="F479" i="43" s="1"/>
  <c r="D475" i="43"/>
  <c r="X475" i="43"/>
  <c r="J475" i="43"/>
  <c r="K475" i="43"/>
  <c r="N475" i="43"/>
  <c r="W475" i="43"/>
  <c r="R475" i="43"/>
  <c r="S475" i="43"/>
  <c r="E321" i="43"/>
  <c r="D107" i="61"/>
  <c r="G9" i="59"/>
  <c r="G20" i="59"/>
  <c r="G8" i="59"/>
  <c r="G18" i="59"/>
  <c r="G19" i="59"/>
  <c r="F252" i="59"/>
  <c r="F258" i="59"/>
  <c r="F259" i="59"/>
  <c r="F250" i="59"/>
  <c r="F251" i="59"/>
  <c r="F253" i="59"/>
  <c r="F254" i="59"/>
  <c r="F255" i="59"/>
  <c r="F256" i="59"/>
  <c r="F65" i="58"/>
  <c r="F52" i="58"/>
  <c r="Z595" i="43" l="1"/>
  <c r="Z605" i="43" s="1"/>
  <c r="Q595" i="43"/>
  <c r="Q605" i="43" s="1"/>
  <c r="R595" i="43"/>
  <c r="R605" i="43" s="1"/>
  <c r="K595" i="43"/>
  <c r="K605" i="43" s="1"/>
  <c r="BG43" i="59"/>
  <c r="BG54" i="59" s="1"/>
  <c r="AK69" i="59"/>
  <c r="AK82" i="59" s="1"/>
  <c r="AK95" i="59" s="1"/>
  <c r="AK107" i="59" s="1"/>
  <c r="AK118" i="59" s="1"/>
  <c r="AM69" i="59"/>
  <c r="AM82" i="59" s="1"/>
  <c r="AM95" i="59" s="1"/>
  <c r="AM107" i="59" s="1"/>
  <c r="AM118" i="59" s="1"/>
  <c r="AW69" i="59"/>
  <c r="AW82" i="59" s="1"/>
  <c r="AW95" i="59" s="1"/>
  <c r="AW107" i="59" s="1"/>
  <c r="AW118" i="59" s="1"/>
  <c r="BD43" i="59"/>
  <c r="BD54" i="59" s="1"/>
  <c r="BE43" i="59"/>
  <c r="BE54" i="59" s="1"/>
  <c r="BC69" i="59"/>
  <c r="BC82" i="59" s="1"/>
  <c r="BC95" i="59" s="1"/>
  <c r="BC107" i="59" s="1"/>
  <c r="BC118" i="59" s="1"/>
  <c r="E432" i="43"/>
  <c r="L595" i="43"/>
  <c r="L605" i="43" s="1"/>
  <c r="V595" i="43"/>
  <c r="V605" i="43" s="1"/>
  <c r="X595" i="43"/>
  <c r="X605" i="43" s="1"/>
  <c r="O432" i="43"/>
  <c r="BF69" i="59"/>
  <c r="BF82" i="59" s="1"/>
  <c r="BF95" i="59" s="1"/>
  <c r="BF107" i="59" s="1"/>
  <c r="BF118" i="59" s="1"/>
  <c r="AC595" i="43"/>
  <c r="AC605" i="43" s="1"/>
  <c r="G595" i="43"/>
  <c r="G605" i="43" s="1"/>
  <c r="S595" i="43"/>
  <c r="S605" i="43" s="1"/>
  <c r="J432" i="43"/>
  <c r="AX69" i="59"/>
  <c r="AX82" i="59" s="1"/>
  <c r="AX95" i="59" s="1"/>
  <c r="AX107" i="59" s="1"/>
  <c r="AX118" i="59" s="1"/>
  <c r="N595" i="43"/>
  <c r="N605" i="43" s="1"/>
  <c r="BI43" i="59"/>
  <c r="BI54" i="59" s="1"/>
  <c r="D432" i="43"/>
  <c r="I595" i="43"/>
  <c r="I605" i="43" s="1"/>
  <c r="T595" i="43"/>
  <c r="T605" i="43" s="1"/>
  <c r="U595" i="43"/>
  <c r="U605" i="43" s="1"/>
  <c r="AB595" i="43"/>
  <c r="AB605" i="43" s="1"/>
  <c r="F432" i="43"/>
  <c r="H595" i="43"/>
  <c r="H605" i="43" s="1"/>
  <c r="AA595" i="43"/>
  <c r="AA605" i="43" s="1"/>
  <c r="AB577" i="43"/>
  <c r="AB587" i="43" s="1"/>
  <c r="M577" i="43"/>
  <c r="M587" i="43" s="1"/>
  <c r="H7" i="43"/>
  <c r="BS29" i="59" s="1"/>
  <c r="O7" i="43"/>
  <c r="BZ29" i="59" s="1"/>
  <c r="T7" i="43"/>
  <c r="CE29" i="59" s="1"/>
  <c r="L7" i="43"/>
  <c r="BW29" i="59" s="1"/>
  <c r="G7" i="43"/>
  <c r="BR29" i="59" s="1"/>
  <c r="AC7" i="43"/>
  <c r="CN29" i="59" s="1"/>
  <c r="M7" i="43"/>
  <c r="BX29" i="59" s="1"/>
  <c r="N7" i="43"/>
  <c r="BY29" i="59" s="1"/>
  <c r="R7" i="43"/>
  <c r="CC29" i="59" s="1"/>
  <c r="Z7" i="43"/>
  <c r="CK29" i="59" s="1"/>
  <c r="X7" i="43"/>
  <c r="CI29" i="59" s="1"/>
  <c r="V7" i="43"/>
  <c r="CG29" i="59" s="1"/>
  <c r="Q7" i="43"/>
  <c r="CB29" i="59" s="1"/>
  <c r="U7" i="43"/>
  <c r="CF29" i="59" s="1"/>
  <c r="P7" i="43"/>
  <c r="CA29" i="59" s="1"/>
  <c r="W7" i="43"/>
  <c r="CH29" i="59" s="1"/>
  <c r="AA7" i="43"/>
  <c r="CL29" i="59" s="1"/>
  <c r="S7" i="43"/>
  <c r="CD29" i="59" s="1"/>
  <c r="F7" i="43"/>
  <c r="BQ29" i="59" s="1"/>
  <c r="I7" i="43"/>
  <c r="BT29" i="59" s="1"/>
  <c r="K7" i="43"/>
  <c r="BV29" i="59" s="1"/>
  <c r="AB7" i="43"/>
  <c r="CM29" i="59" s="1"/>
  <c r="J7" i="43"/>
  <c r="BU29" i="59" s="1"/>
  <c r="Y7" i="43"/>
  <c r="CJ29" i="59" s="1"/>
  <c r="U74" i="58"/>
  <c r="U32" i="58" s="1"/>
  <c r="CC8" i="59"/>
  <c r="CC22" i="59" s="1"/>
  <c r="Z121" i="61"/>
  <c r="BF24" i="59"/>
  <c r="BF38" i="59" s="1"/>
  <c r="AB66" i="58"/>
  <c r="D98" i="43"/>
  <c r="D298" i="43" s="1"/>
  <c r="D317" i="43" s="1"/>
  <c r="AK6" i="59"/>
  <c r="AK34" i="59" s="1"/>
  <c r="E107" i="61"/>
  <c r="D107" i="43"/>
  <c r="D307" i="43" s="1"/>
  <c r="D334" i="43" s="1"/>
  <c r="AK22" i="59"/>
  <c r="AK37" i="59" s="1"/>
  <c r="E120" i="61"/>
  <c r="BO29" i="59"/>
  <c r="BO37" i="59" s="1"/>
  <c r="AA618" i="43"/>
  <c r="AA631" i="43" s="1"/>
  <c r="AN69" i="59"/>
  <c r="AN82" i="59" s="1"/>
  <c r="AN95" i="59" s="1"/>
  <c r="AN107" i="59" s="1"/>
  <c r="AN118" i="59" s="1"/>
  <c r="BA43" i="59"/>
  <c r="BA54" i="59" s="1"/>
  <c r="AT43" i="59"/>
  <c r="AT54" i="59" s="1"/>
  <c r="AS69" i="59"/>
  <c r="AS82" i="59" s="1"/>
  <c r="AS95" i="59" s="1"/>
  <c r="AS107" i="59" s="1"/>
  <c r="AS118" i="59" s="1"/>
  <c r="H618" i="43"/>
  <c r="H631" i="43" s="1"/>
  <c r="T618" i="43"/>
  <c r="T631" i="43" s="1"/>
  <c r="BP29" i="59"/>
  <c r="C315" i="43"/>
  <c r="AO69" i="59"/>
  <c r="AO82" i="59" s="1"/>
  <c r="AO95" i="59" s="1"/>
  <c r="AO107" i="59" s="1"/>
  <c r="AO118" i="59" s="1"/>
  <c r="AU69" i="59"/>
  <c r="AU82" i="59" s="1"/>
  <c r="AU95" i="59" s="1"/>
  <c r="AU107" i="59" s="1"/>
  <c r="AU118" i="59" s="1"/>
  <c r="BA25" i="59"/>
  <c r="W67" i="58"/>
  <c r="U122" i="61"/>
  <c r="AB68" i="58"/>
  <c r="AD21" i="61"/>
  <c r="AD20" i="61"/>
  <c r="F266" i="43"/>
  <c r="D106" i="61"/>
  <c r="D132" i="61" s="1"/>
  <c r="D39" i="61"/>
  <c r="D75" i="61"/>
  <c r="AB27" i="60"/>
  <c r="AB62" i="60" s="1"/>
  <c r="AC24" i="60"/>
  <c r="AC59" i="60" s="1"/>
  <c r="H20" i="60"/>
  <c r="G55" i="60"/>
  <c r="AB28" i="60"/>
  <c r="AB63" i="60" s="1"/>
  <c r="J23" i="60"/>
  <c r="J58" i="60" s="1"/>
  <c r="H21" i="60"/>
  <c r="G56" i="60"/>
  <c r="H22" i="60"/>
  <c r="G57" i="60"/>
  <c r="U618" i="43"/>
  <c r="U631" i="43" s="1"/>
  <c r="C479" i="43"/>
  <c r="H589" i="43"/>
  <c r="H590" i="43" s="1"/>
  <c r="O589" i="43"/>
  <c r="O590" i="43" s="1"/>
  <c r="T589" i="43"/>
  <c r="T590" i="43" s="1"/>
  <c r="S589" i="43"/>
  <c r="S590" i="43" s="1"/>
  <c r="L589" i="43"/>
  <c r="L590" i="43" s="1"/>
  <c r="X589" i="43"/>
  <c r="X590" i="43" s="1"/>
  <c r="AC589" i="43"/>
  <c r="AC590" i="43" s="1"/>
  <c r="G589" i="43"/>
  <c r="G590" i="43" s="1"/>
  <c r="M589" i="43"/>
  <c r="M590" i="43" s="1"/>
  <c r="N589" i="43"/>
  <c r="N590" i="43" s="1"/>
  <c r="R589" i="43"/>
  <c r="R590" i="43" s="1"/>
  <c r="Z589" i="43"/>
  <c r="Z590" i="43" s="1"/>
  <c r="U589" i="43"/>
  <c r="U590" i="43" s="1"/>
  <c r="V589" i="43"/>
  <c r="V590" i="43" s="1"/>
  <c r="Q589" i="43"/>
  <c r="Q590" i="43" s="1"/>
  <c r="P589" i="43"/>
  <c r="P590" i="43" s="1"/>
  <c r="W589" i="43"/>
  <c r="W590" i="43" s="1"/>
  <c r="AA589" i="43"/>
  <c r="AA590" i="43" s="1"/>
  <c r="F589" i="43"/>
  <c r="F590" i="43" s="1"/>
  <c r="I589" i="43"/>
  <c r="I590" i="43" s="1"/>
  <c r="K589" i="43"/>
  <c r="K590" i="43" s="1"/>
  <c r="D589" i="43"/>
  <c r="D590" i="43" s="1"/>
  <c r="AB589" i="43"/>
  <c r="AB590" i="43" s="1"/>
  <c r="J589" i="43"/>
  <c r="J590" i="43" s="1"/>
  <c r="Y589" i="43"/>
  <c r="Y590" i="43" s="1"/>
  <c r="E589" i="43"/>
  <c r="E590" i="43" s="1"/>
  <c r="Y618" i="43"/>
  <c r="Y631" i="43" s="1"/>
  <c r="Z618" i="43"/>
  <c r="Z631" i="43" s="1"/>
  <c r="G577" i="43"/>
  <c r="G587" i="43" s="1"/>
  <c r="AC618" i="43"/>
  <c r="AC631" i="43" s="1"/>
  <c r="O618" i="43"/>
  <c r="O631" i="43" s="1"/>
  <c r="P577" i="43"/>
  <c r="P587" i="43" s="1"/>
  <c r="F618" i="43"/>
  <c r="F631" i="43" s="1"/>
  <c r="E618" i="43"/>
  <c r="E631" i="43" s="1"/>
  <c r="I577" i="43"/>
  <c r="I587" i="43" s="1"/>
  <c r="C618" i="43"/>
  <c r="C631" i="43" s="1"/>
  <c r="X577" i="43"/>
  <c r="X587" i="43" s="1"/>
  <c r="X618" i="43"/>
  <c r="X631" i="43" s="1"/>
  <c r="V577" i="43"/>
  <c r="V587" i="43" s="1"/>
  <c r="V618" i="43"/>
  <c r="V631" i="43" s="1"/>
  <c r="W577" i="43"/>
  <c r="W587" i="43" s="1"/>
  <c r="W618" i="43"/>
  <c r="W631" i="43" s="1"/>
  <c r="L577" i="43"/>
  <c r="L587" i="43" s="1"/>
  <c r="L618" i="43"/>
  <c r="L631" i="43" s="1"/>
  <c r="N577" i="43"/>
  <c r="N587" i="43" s="1"/>
  <c r="N618" i="43"/>
  <c r="N631" i="43" s="1"/>
  <c r="D577" i="43"/>
  <c r="D587" i="43" s="1"/>
  <c r="D618" i="43"/>
  <c r="D631" i="43" s="1"/>
  <c r="S577" i="43"/>
  <c r="S587" i="43" s="1"/>
  <c r="S618" i="43"/>
  <c r="S631" i="43" s="1"/>
  <c r="R577" i="43"/>
  <c r="R587" i="43" s="1"/>
  <c r="R618" i="43"/>
  <c r="R631" i="43" s="1"/>
  <c r="K577" i="43"/>
  <c r="K587" i="43" s="1"/>
  <c r="K618" i="43"/>
  <c r="K631" i="43" s="1"/>
  <c r="J577" i="43"/>
  <c r="J587" i="43" s="1"/>
  <c r="J618" i="43"/>
  <c r="J631" i="43" s="1"/>
  <c r="Q577" i="43"/>
  <c r="Q587" i="43" s="1"/>
  <c r="Q618" i="43"/>
  <c r="Q631" i="43" s="1"/>
  <c r="C478" i="43"/>
  <c r="C580" i="43"/>
  <c r="C581" i="43" s="1"/>
  <c r="D581" i="43"/>
  <c r="G65" i="58"/>
  <c r="G16" i="59"/>
  <c r="G11" i="59"/>
  <c r="G12" i="59"/>
  <c r="G14" i="59"/>
  <c r="G10" i="59"/>
  <c r="G52" i="58"/>
  <c r="K102" i="58"/>
  <c r="J102" i="58"/>
  <c r="I102" i="58"/>
  <c r="H102" i="58"/>
  <c r="G102" i="58"/>
  <c r="F102" i="58"/>
  <c r="E102" i="58"/>
  <c r="D102" i="58"/>
  <c r="B65" i="58"/>
  <c r="B23" i="58" s="1"/>
  <c r="B63" i="58"/>
  <c r="B21" i="58" s="1"/>
  <c r="B64" i="58"/>
  <c r="B22" i="58" s="1"/>
  <c r="B62" i="58"/>
  <c r="B20" i="58" s="1"/>
  <c r="B61" i="58"/>
  <c r="B19" i="58" s="1"/>
  <c r="B60" i="58"/>
  <c r="B18" i="58" s="1"/>
  <c r="B54" i="58"/>
  <c r="B12" i="58" s="1"/>
  <c r="B55" i="58"/>
  <c r="B13" i="58" s="1"/>
  <c r="B56" i="58"/>
  <c r="B14" i="58" s="1"/>
  <c r="B57" i="58"/>
  <c r="B15" i="58" s="1"/>
  <c r="B59" i="58"/>
  <c r="B17" i="58" s="1"/>
  <c r="B53" i="58"/>
  <c r="B11" i="58" s="1"/>
  <c r="B52" i="58"/>
  <c r="B10" i="58" s="1"/>
  <c r="D306" i="43" l="1"/>
  <c r="D320" i="43" s="1"/>
  <c r="BO31" i="59"/>
  <c r="BY31" i="59"/>
  <c r="BY37" i="59"/>
  <c r="BY39" i="59" s="1"/>
  <c r="CF31" i="59"/>
  <c r="CF37" i="59"/>
  <c r="CF39" i="59" s="1"/>
  <c r="CN31" i="59"/>
  <c r="CN37" i="59"/>
  <c r="CN39" i="59" s="1"/>
  <c r="CH31" i="59"/>
  <c r="CH37" i="59"/>
  <c r="CH40" i="59" s="1"/>
  <c r="BU31" i="59"/>
  <c r="BU37" i="59"/>
  <c r="BU39" i="59" s="1"/>
  <c r="BV31" i="59"/>
  <c r="BV37" i="59"/>
  <c r="BV39" i="59" s="1"/>
  <c r="CB31" i="59"/>
  <c r="CB37" i="59"/>
  <c r="CB39" i="59" s="1"/>
  <c r="BR31" i="59"/>
  <c r="BR37" i="59"/>
  <c r="BR40" i="59" s="1"/>
  <c r="BX31" i="59"/>
  <c r="BX37" i="59"/>
  <c r="BX39" i="59" s="1"/>
  <c r="BW31" i="59"/>
  <c r="BW37" i="59"/>
  <c r="BW39" i="59" s="1"/>
  <c r="CM31" i="59"/>
  <c r="CM37" i="59"/>
  <c r="CM40" i="59" s="1"/>
  <c r="BT31" i="59"/>
  <c r="BT37" i="59"/>
  <c r="BT39" i="59" s="1"/>
  <c r="BQ31" i="59"/>
  <c r="BQ37" i="59"/>
  <c r="BQ39" i="59" s="1"/>
  <c r="CI37" i="59"/>
  <c r="CI40" i="59" s="1"/>
  <c r="CI31" i="59"/>
  <c r="CE31" i="59"/>
  <c r="CE37" i="59"/>
  <c r="CE39" i="59" s="1"/>
  <c r="CJ37" i="59"/>
  <c r="CJ40" i="59" s="1"/>
  <c r="CJ31" i="59"/>
  <c r="CD31" i="59"/>
  <c r="CD37" i="59"/>
  <c r="CD39" i="59" s="1"/>
  <c r="CK31" i="59"/>
  <c r="CK37" i="59"/>
  <c r="CK39" i="59" s="1"/>
  <c r="BZ31" i="59"/>
  <c r="BZ37" i="59"/>
  <c r="BZ39" i="59" s="1"/>
  <c r="CA31" i="59"/>
  <c r="CA37" i="59"/>
  <c r="CA39" i="59" s="1"/>
  <c r="CG31" i="59"/>
  <c r="CG37" i="59"/>
  <c r="CG39" i="59" s="1"/>
  <c r="CL31" i="59"/>
  <c r="CL37" i="59"/>
  <c r="CL39" i="59" s="1"/>
  <c r="CC31" i="59"/>
  <c r="CC37" i="59"/>
  <c r="CC39" i="59" s="1"/>
  <c r="BS31" i="59"/>
  <c r="BS37" i="59"/>
  <c r="BS40" i="59" s="1"/>
  <c r="BN29" i="59"/>
  <c r="AC66" i="58"/>
  <c r="AA121" i="61"/>
  <c r="BG24" i="59"/>
  <c r="BG38" i="59" s="1"/>
  <c r="E98" i="43"/>
  <c r="E298" i="43" s="1"/>
  <c r="E317" i="43" s="1"/>
  <c r="AL6" i="59"/>
  <c r="AL34" i="59" s="1"/>
  <c r="F107" i="61"/>
  <c r="D299" i="43"/>
  <c r="D331" i="43" s="1"/>
  <c r="V74" i="58"/>
  <c r="V32" i="58" s="1"/>
  <c r="CD8" i="59"/>
  <c r="CD22" i="59" s="1"/>
  <c r="D308" i="43"/>
  <c r="AL22" i="59"/>
  <c r="AL37" i="59" s="1"/>
  <c r="F120" i="61"/>
  <c r="E480" i="43"/>
  <c r="D480" i="43"/>
  <c r="D424" i="43" s="1"/>
  <c r="BP31" i="59"/>
  <c r="BP37" i="59"/>
  <c r="BO39" i="59"/>
  <c r="BO40" i="59"/>
  <c r="AC68" i="58"/>
  <c r="BB25" i="59"/>
  <c r="X67" i="58"/>
  <c r="V122" i="61"/>
  <c r="AC28" i="60"/>
  <c r="AC63" i="60" s="1"/>
  <c r="I22" i="60"/>
  <c r="H57" i="60"/>
  <c r="I20" i="60"/>
  <c r="H55" i="60"/>
  <c r="I21" i="60"/>
  <c r="H56" i="60"/>
  <c r="AD24" i="60"/>
  <c r="AD59" i="60" s="1"/>
  <c r="K23" i="60"/>
  <c r="K58" i="60" s="1"/>
  <c r="AC27" i="60"/>
  <c r="AC62" i="60" s="1"/>
  <c r="C589" i="43"/>
  <c r="C590" i="43" s="1"/>
  <c r="N95" i="58"/>
  <c r="E64" i="58" s="1"/>
  <c r="K480" i="43"/>
  <c r="Z480" i="43"/>
  <c r="G480" i="43"/>
  <c r="T480" i="43"/>
  <c r="R480" i="43"/>
  <c r="H480" i="43"/>
  <c r="W480" i="43"/>
  <c r="X480" i="43"/>
  <c r="F480" i="43"/>
  <c r="M480" i="43"/>
  <c r="P480" i="43"/>
  <c r="AC480" i="43"/>
  <c r="Q480" i="43"/>
  <c r="U480" i="43"/>
  <c r="N480" i="43"/>
  <c r="AA480" i="43"/>
  <c r="Y480" i="43"/>
  <c r="J480" i="43"/>
  <c r="V480" i="43"/>
  <c r="L480" i="43"/>
  <c r="O480" i="43"/>
  <c r="AB480" i="43"/>
  <c r="I480" i="43"/>
  <c r="S480" i="43"/>
  <c r="H65" i="58"/>
  <c r="E107" i="43"/>
  <c r="H52" i="58"/>
  <c r="D596" i="43" l="1"/>
  <c r="D403" i="43"/>
  <c r="E299" i="43"/>
  <c r="E331" i="43" s="1"/>
  <c r="CI39" i="59"/>
  <c r="CI41" i="59" s="1"/>
  <c r="CI42" i="59" s="1"/>
  <c r="CK40" i="59"/>
  <c r="CK41" i="59" s="1"/>
  <c r="CK42" i="59" s="1"/>
  <c r="BZ40" i="59"/>
  <c r="BZ41" i="59" s="1"/>
  <c r="BZ42" i="59" s="1"/>
  <c r="CM39" i="59"/>
  <c r="CM41" i="59" s="1"/>
  <c r="CM42" i="59" s="1"/>
  <c r="BX40" i="59"/>
  <c r="BX41" i="59" s="1"/>
  <c r="BX42" i="59" s="1"/>
  <c r="CL40" i="59"/>
  <c r="CL41" i="59" s="1"/>
  <c r="CL42" i="59" s="1"/>
  <c r="CF40" i="59"/>
  <c r="CF41" i="59" s="1"/>
  <c r="CF42" i="59" s="1"/>
  <c r="CN40" i="59"/>
  <c r="CN41" i="59" s="1"/>
  <c r="CN42" i="59" s="1"/>
  <c r="CJ39" i="59"/>
  <c r="CJ41" i="59" s="1"/>
  <c r="CJ42" i="59" s="1"/>
  <c r="BT40" i="59"/>
  <c r="BT41" i="59" s="1"/>
  <c r="BT42" i="59" s="1"/>
  <c r="CD40" i="59"/>
  <c r="CD41" i="59" s="1"/>
  <c r="CD42" i="59" s="1"/>
  <c r="CC40" i="59"/>
  <c r="CC41" i="59" s="1"/>
  <c r="CC42" i="59" s="1"/>
  <c r="BV40" i="59"/>
  <c r="BV41" i="59" s="1"/>
  <c r="BV42" i="59" s="1"/>
  <c r="CE40" i="59"/>
  <c r="CE41" i="59" s="1"/>
  <c r="CE42" i="59" s="1"/>
  <c r="CH39" i="59"/>
  <c r="CH41" i="59" s="1"/>
  <c r="CH42" i="59" s="1"/>
  <c r="BY40" i="59"/>
  <c r="BY41" i="59" s="1"/>
  <c r="BY42" i="59" s="1"/>
  <c r="CB40" i="59"/>
  <c r="CB41" i="59" s="1"/>
  <c r="CB42" i="59" s="1"/>
  <c r="BS39" i="59"/>
  <c r="BS41" i="59" s="1"/>
  <c r="BS42" i="59" s="1"/>
  <c r="BQ40" i="59"/>
  <c r="BQ41" i="59" s="1"/>
  <c r="BQ42" i="59" s="1"/>
  <c r="BR39" i="59"/>
  <c r="BR41" i="59" s="1"/>
  <c r="BR42" i="59" s="1"/>
  <c r="BW40" i="59"/>
  <c r="BW41" i="59" s="1"/>
  <c r="BW42" i="59" s="1"/>
  <c r="BU40" i="59"/>
  <c r="BU41" i="59" s="1"/>
  <c r="BU42" i="59" s="1"/>
  <c r="CG40" i="59"/>
  <c r="CG41" i="59" s="1"/>
  <c r="CG42" i="59" s="1"/>
  <c r="CA40" i="59"/>
  <c r="CA41" i="59" s="1"/>
  <c r="CA42" i="59" s="1"/>
  <c r="BN37" i="59"/>
  <c r="BN40" i="59" s="1"/>
  <c r="BN31" i="59"/>
  <c r="W74" i="58"/>
  <c r="W32" i="58" s="1"/>
  <c r="CE8" i="59"/>
  <c r="CE22" i="59" s="1"/>
  <c r="C105" i="43"/>
  <c r="D119" i="61"/>
  <c r="AJ20" i="59"/>
  <c r="F98" i="43"/>
  <c r="F299" i="43" s="1"/>
  <c r="F331" i="43" s="1"/>
  <c r="AM6" i="59"/>
  <c r="AM34" i="59" s="1"/>
  <c r="G107" i="61"/>
  <c r="BH24" i="59"/>
  <c r="BH38" i="59" s="1"/>
  <c r="AD66" i="58"/>
  <c r="AB121" i="61"/>
  <c r="AM22" i="59"/>
  <c r="AM37" i="59" s="1"/>
  <c r="G120" i="61"/>
  <c r="U424" i="43"/>
  <c r="U426" i="43"/>
  <c r="U425" i="43"/>
  <c r="AA424" i="43"/>
  <c r="AA426" i="43"/>
  <c r="AA425" i="43"/>
  <c r="AB424" i="43"/>
  <c r="AB426" i="43"/>
  <c r="AB425" i="43"/>
  <c r="O426" i="43"/>
  <c r="O424" i="43"/>
  <c r="O425" i="43"/>
  <c r="Q425" i="43"/>
  <c r="Q424" i="43"/>
  <c r="Q426" i="43"/>
  <c r="R425" i="43"/>
  <c r="R424" i="43"/>
  <c r="R426" i="43"/>
  <c r="T424" i="43"/>
  <c r="T426" i="43"/>
  <c r="T425" i="43"/>
  <c r="AC424" i="43"/>
  <c r="AC426" i="43"/>
  <c r="AC425" i="43"/>
  <c r="V425" i="43"/>
  <c r="V424" i="43"/>
  <c r="V426" i="43"/>
  <c r="P424" i="43"/>
  <c r="P426" i="43"/>
  <c r="P425" i="43"/>
  <c r="G424" i="43"/>
  <c r="G425" i="43"/>
  <c r="G426" i="43"/>
  <c r="L424" i="43"/>
  <c r="L425" i="43"/>
  <c r="L426" i="43"/>
  <c r="J424" i="43"/>
  <c r="J426" i="43"/>
  <c r="J425" i="43"/>
  <c r="Z424" i="43"/>
  <c r="Z425" i="43"/>
  <c r="Z426" i="43"/>
  <c r="S424" i="43"/>
  <c r="S426" i="43"/>
  <c r="S425" i="43"/>
  <c r="X425" i="43"/>
  <c r="X426" i="43"/>
  <c r="X424" i="43"/>
  <c r="H424" i="43"/>
  <c r="H425" i="43"/>
  <c r="H426" i="43"/>
  <c r="M424" i="43"/>
  <c r="M426" i="43"/>
  <c r="M425" i="43"/>
  <c r="Y425" i="43"/>
  <c r="Y426" i="43"/>
  <c r="Y424" i="43"/>
  <c r="F425" i="43"/>
  <c r="F424" i="43"/>
  <c r="F426" i="43"/>
  <c r="K424" i="43"/>
  <c r="K425" i="43"/>
  <c r="K426" i="43"/>
  <c r="D425" i="43"/>
  <c r="D426" i="43"/>
  <c r="D433" i="43"/>
  <c r="I426" i="43"/>
  <c r="I424" i="43"/>
  <c r="I425" i="43"/>
  <c r="N426" i="43"/>
  <c r="N424" i="43"/>
  <c r="N425" i="43"/>
  <c r="W425" i="43"/>
  <c r="W424" i="43"/>
  <c r="W426" i="43"/>
  <c r="E424" i="43"/>
  <c r="E426" i="43"/>
  <c r="E425" i="43"/>
  <c r="BP39" i="59"/>
  <c r="BP40" i="59"/>
  <c r="BO41" i="59"/>
  <c r="BO42" i="59" s="1"/>
  <c r="D125" i="61"/>
  <c r="D124" i="61"/>
  <c r="BC25" i="59"/>
  <c r="W122" i="61"/>
  <c r="Y67" i="58"/>
  <c r="AD68" i="58"/>
  <c r="E306" i="43"/>
  <c r="E320" i="43" s="1"/>
  <c r="E307" i="43"/>
  <c r="E334" i="43" s="1"/>
  <c r="E308" i="43"/>
  <c r="J21" i="60"/>
  <c r="I56" i="60"/>
  <c r="AD27" i="60"/>
  <c r="AD62" i="60" s="1"/>
  <c r="J20" i="60"/>
  <c r="I55" i="60"/>
  <c r="L23" i="60"/>
  <c r="L58" i="60" s="1"/>
  <c r="J22" i="60"/>
  <c r="I57" i="60"/>
  <c r="AE24" i="60"/>
  <c r="AE59" i="60" s="1"/>
  <c r="AD28" i="60"/>
  <c r="AD63" i="60" s="1"/>
  <c r="C480" i="43"/>
  <c r="E61" i="58"/>
  <c r="E58" i="58"/>
  <c r="E57" i="58"/>
  <c r="E54" i="58"/>
  <c r="E53" i="58"/>
  <c r="E59" i="58"/>
  <c r="E56" i="58"/>
  <c r="E63" i="58"/>
  <c r="E55" i="58"/>
  <c r="E60" i="58"/>
  <c r="I65" i="58"/>
  <c r="F107" i="43"/>
  <c r="I52" i="58"/>
  <c r="F64" i="58"/>
  <c r="F62" i="58"/>
  <c r="M596" i="43" l="1"/>
  <c r="M403" i="43"/>
  <c r="E597" i="43"/>
  <c r="E434" i="43"/>
  <c r="E404" i="43"/>
  <c r="G30" i="58" s="1"/>
  <c r="N598" i="43"/>
  <c r="N435" i="43"/>
  <c r="N405" i="43"/>
  <c r="P31" i="58" s="1"/>
  <c r="K597" i="43"/>
  <c r="K434" i="43"/>
  <c r="K404" i="43"/>
  <c r="M30" i="58" s="1"/>
  <c r="M597" i="43"/>
  <c r="M434" i="43"/>
  <c r="M404" i="43"/>
  <c r="O30" i="58" s="1"/>
  <c r="X597" i="43"/>
  <c r="X434" i="43"/>
  <c r="X404" i="43"/>
  <c r="Z30" i="58" s="1"/>
  <c r="J598" i="43"/>
  <c r="J435" i="43"/>
  <c r="J405" i="43"/>
  <c r="L31" i="58" s="1"/>
  <c r="P597" i="43"/>
  <c r="P434" i="43"/>
  <c r="P404" i="43"/>
  <c r="R30" i="58" s="1"/>
  <c r="AC596" i="43"/>
  <c r="AC403" i="43"/>
  <c r="Q596" i="43"/>
  <c r="Q403" i="43"/>
  <c r="AA597" i="43"/>
  <c r="AA434" i="43"/>
  <c r="AA404" i="43"/>
  <c r="AC30" i="58" s="1"/>
  <c r="E598" i="43"/>
  <c r="E435" i="43"/>
  <c r="E405" i="43"/>
  <c r="G31" i="58" s="1"/>
  <c r="I597" i="43"/>
  <c r="I434" i="43"/>
  <c r="I404" i="43"/>
  <c r="K30" i="58" s="1"/>
  <c r="K596" i="43"/>
  <c r="K403" i="43"/>
  <c r="M598" i="43"/>
  <c r="M435" i="43"/>
  <c r="M405" i="43"/>
  <c r="O31" i="58" s="1"/>
  <c r="S597" i="43"/>
  <c r="S434" i="43"/>
  <c r="S404" i="43"/>
  <c r="U30" i="58" s="1"/>
  <c r="J596" i="43"/>
  <c r="J403" i="43"/>
  <c r="P598" i="43"/>
  <c r="P435" i="43"/>
  <c r="P405" i="43"/>
  <c r="R31" i="58" s="1"/>
  <c r="T597" i="43"/>
  <c r="T434" i="43"/>
  <c r="T404" i="43"/>
  <c r="V30" i="58" s="1"/>
  <c r="Q597" i="43"/>
  <c r="Q434" i="43"/>
  <c r="Q404" i="43"/>
  <c r="S30" i="58" s="1"/>
  <c r="AA598" i="43"/>
  <c r="AA435" i="43"/>
  <c r="AA405" i="43"/>
  <c r="AC31" i="58" s="1"/>
  <c r="T598" i="43"/>
  <c r="T435" i="43"/>
  <c r="T405" i="43"/>
  <c r="V31" i="58" s="1"/>
  <c r="W598" i="43"/>
  <c r="W435" i="43"/>
  <c r="W405" i="43"/>
  <c r="Y31" i="58" s="1"/>
  <c r="I598" i="43"/>
  <c r="I435" i="43"/>
  <c r="I405" i="43"/>
  <c r="K31" i="58" s="1"/>
  <c r="F596" i="43"/>
  <c r="F403" i="43"/>
  <c r="H598" i="43"/>
  <c r="H435" i="43"/>
  <c r="H405" i="43"/>
  <c r="J31" i="58" s="1"/>
  <c r="S596" i="43"/>
  <c r="S403" i="43"/>
  <c r="L597" i="43"/>
  <c r="L434" i="43"/>
  <c r="L404" i="43"/>
  <c r="N30" i="58" s="1"/>
  <c r="V598" i="43"/>
  <c r="V435" i="43"/>
  <c r="V405" i="43"/>
  <c r="X31" i="58" s="1"/>
  <c r="T596" i="43"/>
  <c r="T403" i="43"/>
  <c r="O596" i="43"/>
  <c r="O403" i="43"/>
  <c r="U597" i="43"/>
  <c r="U434" i="43"/>
  <c r="U404" i="43"/>
  <c r="W30" i="58" s="1"/>
  <c r="S598" i="43"/>
  <c r="S435" i="43"/>
  <c r="S405" i="43"/>
  <c r="U31" i="58" s="1"/>
  <c r="P596" i="43"/>
  <c r="P403" i="43"/>
  <c r="AA596" i="43"/>
  <c r="AA403" i="43"/>
  <c r="L596" i="43"/>
  <c r="L403" i="43"/>
  <c r="O598" i="43"/>
  <c r="O435" i="43"/>
  <c r="O405" i="43"/>
  <c r="Q31" i="58" s="1"/>
  <c r="U598" i="43"/>
  <c r="U435" i="43"/>
  <c r="U405" i="43"/>
  <c r="W31" i="58" s="1"/>
  <c r="E596" i="43"/>
  <c r="E403" i="43"/>
  <c r="L598" i="43"/>
  <c r="L435" i="43"/>
  <c r="L405" i="43"/>
  <c r="N31" i="58" s="1"/>
  <c r="O597" i="43"/>
  <c r="O434" i="43"/>
  <c r="O404" i="43"/>
  <c r="Q30" i="58" s="1"/>
  <c r="Z598" i="43"/>
  <c r="Z435" i="43"/>
  <c r="Z405" i="43"/>
  <c r="AB31" i="58" s="1"/>
  <c r="D598" i="43"/>
  <c r="D435" i="43"/>
  <c r="D405" i="43"/>
  <c r="F31" i="58" s="1"/>
  <c r="Y596" i="43"/>
  <c r="Y403" i="43"/>
  <c r="G598" i="43"/>
  <c r="G435" i="43"/>
  <c r="G405" i="43"/>
  <c r="I31" i="58" s="1"/>
  <c r="V597" i="43"/>
  <c r="V434" i="43"/>
  <c r="V404" i="43"/>
  <c r="X30" i="58" s="1"/>
  <c r="R596" i="43"/>
  <c r="R403" i="43"/>
  <c r="AB597" i="43"/>
  <c r="AB434" i="43"/>
  <c r="AB404" i="43"/>
  <c r="AD30" i="58" s="1"/>
  <c r="U596" i="43"/>
  <c r="U403" i="43"/>
  <c r="F598" i="43"/>
  <c r="F435" i="43"/>
  <c r="F405" i="43"/>
  <c r="H31" i="58" s="1"/>
  <c r="F597" i="43"/>
  <c r="F434" i="43"/>
  <c r="F404" i="43"/>
  <c r="H30" i="58" s="1"/>
  <c r="R598" i="43"/>
  <c r="R435" i="43"/>
  <c r="R405" i="43"/>
  <c r="T31" i="58" s="1"/>
  <c r="Z597" i="43"/>
  <c r="Z434" i="43"/>
  <c r="Z404" i="43"/>
  <c r="AB30" i="58" s="1"/>
  <c r="N597" i="43"/>
  <c r="N434" i="43"/>
  <c r="N404" i="43"/>
  <c r="P30" i="58" s="1"/>
  <c r="D597" i="43"/>
  <c r="D434" i="43"/>
  <c r="D404" i="43"/>
  <c r="F30" i="58" s="1"/>
  <c r="Y598" i="43"/>
  <c r="Y435" i="43"/>
  <c r="Y405" i="43"/>
  <c r="AA31" i="58" s="1"/>
  <c r="X596" i="43"/>
  <c r="X403" i="43"/>
  <c r="Z596" i="43"/>
  <c r="Z403" i="43"/>
  <c r="G597" i="43"/>
  <c r="G434" i="43"/>
  <c r="G404" i="43"/>
  <c r="I30" i="58" s="1"/>
  <c r="AC597" i="43"/>
  <c r="AC434" i="43"/>
  <c r="AC404" i="43"/>
  <c r="AE30" i="58" s="1"/>
  <c r="R597" i="43"/>
  <c r="R434" i="43"/>
  <c r="R404" i="43"/>
  <c r="T30" i="58" s="1"/>
  <c r="AB598" i="43"/>
  <c r="AB435" i="43"/>
  <c r="AB405" i="43"/>
  <c r="AD31" i="58" s="1"/>
  <c r="F28" i="58"/>
  <c r="F29" i="58"/>
  <c r="I596" i="43"/>
  <c r="I403" i="43"/>
  <c r="W596" i="43"/>
  <c r="W403" i="43"/>
  <c r="H597" i="43"/>
  <c r="H434" i="43"/>
  <c r="H404" i="43"/>
  <c r="J30" i="58" s="1"/>
  <c r="V596" i="43"/>
  <c r="V403" i="43"/>
  <c r="W597" i="43"/>
  <c r="W434" i="43"/>
  <c r="W404" i="43"/>
  <c r="Y30" i="58" s="1"/>
  <c r="H596" i="43"/>
  <c r="H403" i="43"/>
  <c r="N596" i="43"/>
  <c r="N403" i="43"/>
  <c r="K598" i="43"/>
  <c r="K435" i="43"/>
  <c r="K405" i="43"/>
  <c r="M31" i="58" s="1"/>
  <c r="Y597" i="43"/>
  <c r="Y434" i="43"/>
  <c r="Y404" i="43"/>
  <c r="AA30" i="58" s="1"/>
  <c r="X598" i="43"/>
  <c r="X435" i="43"/>
  <c r="X405" i="43"/>
  <c r="Z31" i="58" s="1"/>
  <c r="J597" i="43"/>
  <c r="J434" i="43"/>
  <c r="J404" i="43"/>
  <c r="L30" i="58" s="1"/>
  <c r="G596" i="43"/>
  <c r="G403" i="43"/>
  <c r="AC598" i="43"/>
  <c r="AC435" i="43"/>
  <c r="AC405" i="43"/>
  <c r="AE31" i="58" s="1"/>
  <c r="Q598" i="43"/>
  <c r="Q435" i="43"/>
  <c r="Q405" i="43"/>
  <c r="S31" i="58" s="1"/>
  <c r="AB596" i="43"/>
  <c r="AB403" i="43"/>
  <c r="BV7" i="59"/>
  <c r="CI7" i="59"/>
  <c r="G433" i="43"/>
  <c r="CN7" i="59"/>
  <c r="CB7" i="59"/>
  <c r="K433" i="43"/>
  <c r="BY7" i="59"/>
  <c r="BU7" i="59"/>
  <c r="AC433" i="43"/>
  <c r="Q433" i="43"/>
  <c r="CA7" i="59"/>
  <c r="CD7" i="59"/>
  <c r="P433" i="43"/>
  <c r="CE7" i="59"/>
  <c r="AA433" i="43"/>
  <c r="BW7" i="59"/>
  <c r="X125" i="61"/>
  <c r="BT7" i="59"/>
  <c r="F433" i="43"/>
  <c r="BS7" i="59"/>
  <c r="S433" i="43"/>
  <c r="T433" i="43"/>
  <c r="O433" i="43"/>
  <c r="CK7" i="59"/>
  <c r="L433" i="43"/>
  <c r="V433" i="43"/>
  <c r="CC7" i="59"/>
  <c r="BZ7" i="59"/>
  <c r="CF7" i="59"/>
  <c r="Y433" i="43"/>
  <c r="H433" i="43"/>
  <c r="BR7" i="59"/>
  <c r="R433" i="43"/>
  <c r="U433" i="43"/>
  <c r="BX7" i="59"/>
  <c r="J433" i="43"/>
  <c r="CL7" i="59"/>
  <c r="CJ7" i="59"/>
  <c r="X433" i="43"/>
  <c r="Z433" i="43"/>
  <c r="CM7" i="59"/>
  <c r="F298" i="43"/>
  <c r="F317" i="43" s="1"/>
  <c r="BN39" i="59"/>
  <c r="BN41" i="59" s="1"/>
  <c r="BN42" i="59" s="1"/>
  <c r="E427" i="43"/>
  <c r="E433" i="43"/>
  <c r="I427" i="43"/>
  <c r="I433" i="43"/>
  <c r="F427" i="43"/>
  <c r="M427" i="43"/>
  <c r="M433" i="43"/>
  <c r="T125" i="61"/>
  <c r="O427" i="43"/>
  <c r="V427" i="43"/>
  <c r="W427" i="43"/>
  <c r="W433" i="43"/>
  <c r="N427" i="43"/>
  <c r="N433" i="43"/>
  <c r="L125" i="61"/>
  <c r="AD125" i="61"/>
  <c r="AB427" i="43"/>
  <c r="AB433" i="43"/>
  <c r="O125" i="61"/>
  <c r="F55" i="58"/>
  <c r="D110" i="61"/>
  <c r="AJ10" i="59"/>
  <c r="F58" i="58"/>
  <c r="AJ13" i="59"/>
  <c r="D113" i="61"/>
  <c r="C104" i="43"/>
  <c r="D118" i="61"/>
  <c r="AJ19" i="59"/>
  <c r="F61" i="58"/>
  <c r="AJ16" i="59"/>
  <c r="D116" i="61"/>
  <c r="F60" i="58"/>
  <c r="E115" i="61" s="1"/>
  <c r="D115" i="61"/>
  <c r="AJ15" i="59"/>
  <c r="F56" i="58"/>
  <c r="G56" i="58" s="1"/>
  <c r="D111" i="61"/>
  <c r="AJ11" i="59"/>
  <c r="F57" i="58"/>
  <c r="AJ12" i="59"/>
  <c r="D112" i="61"/>
  <c r="F59" i="58"/>
  <c r="AK14" i="59" s="1"/>
  <c r="AJ14" i="59"/>
  <c r="D114" i="61"/>
  <c r="G98" i="43"/>
  <c r="G298" i="43" s="1"/>
  <c r="G317" i="43" s="1"/>
  <c r="AN6" i="59"/>
  <c r="AN34" i="59" s="1"/>
  <c r="H107" i="61"/>
  <c r="C103" i="43"/>
  <c r="AJ18" i="59"/>
  <c r="D117" i="61"/>
  <c r="BI24" i="59"/>
  <c r="BI38" i="59" s="1"/>
  <c r="AE66" i="58"/>
  <c r="AC121" i="61"/>
  <c r="F53" i="58"/>
  <c r="AJ8" i="59"/>
  <c r="D108" i="61"/>
  <c r="F54" i="58"/>
  <c r="AK9" i="59" s="1"/>
  <c r="AJ9" i="59"/>
  <c r="D109" i="61"/>
  <c r="X74" i="58"/>
  <c r="X32" i="58" s="1"/>
  <c r="CF8" i="59"/>
  <c r="CF22" i="59" s="1"/>
  <c r="AK20" i="59"/>
  <c r="E119" i="61"/>
  <c r="G60" i="58"/>
  <c r="AK15" i="59"/>
  <c r="AN22" i="59"/>
  <c r="AN37" i="59" s="1"/>
  <c r="H120" i="61"/>
  <c r="G59" i="58"/>
  <c r="D101" i="43"/>
  <c r="AK10" i="59"/>
  <c r="E110" i="61"/>
  <c r="G61" i="58"/>
  <c r="AK16" i="59"/>
  <c r="E116" i="61"/>
  <c r="D103" i="43"/>
  <c r="AK18" i="59"/>
  <c r="E117" i="61"/>
  <c r="X427" i="43"/>
  <c r="G427" i="43"/>
  <c r="J427" i="43"/>
  <c r="AC427" i="43"/>
  <c r="Q427" i="43"/>
  <c r="K427" i="43"/>
  <c r="P427" i="43"/>
  <c r="AA427" i="43"/>
  <c r="S427" i="43"/>
  <c r="L427" i="43"/>
  <c r="T427" i="43"/>
  <c r="D427" i="43"/>
  <c r="Z427" i="43"/>
  <c r="R427" i="43"/>
  <c r="Y427" i="43"/>
  <c r="H427" i="43"/>
  <c r="U427" i="43"/>
  <c r="BP41" i="59"/>
  <c r="BP42" i="59" s="1"/>
  <c r="BN7" i="59"/>
  <c r="BN6" i="59"/>
  <c r="AE68" i="58"/>
  <c r="BD25" i="59"/>
  <c r="Z67" i="58"/>
  <c r="X122" i="61"/>
  <c r="F306" i="43"/>
  <c r="F320" i="43" s="1"/>
  <c r="F308" i="43"/>
  <c r="F307" i="43"/>
  <c r="F334" i="43" s="1"/>
  <c r="K20" i="60"/>
  <c r="J55" i="60"/>
  <c r="AE27" i="60"/>
  <c r="AE62" i="60" s="1"/>
  <c r="M23" i="60"/>
  <c r="M58" i="60" s="1"/>
  <c r="AE28" i="60"/>
  <c r="AE63" i="60" s="1"/>
  <c r="K22" i="60"/>
  <c r="J57" i="60"/>
  <c r="K21" i="60"/>
  <c r="J56" i="60"/>
  <c r="G55" i="58"/>
  <c r="H55" i="58" s="1"/>
  <c r="F63" i="58"/>
  <c r="G53" i="58"/>
  <c r="G62" i="58"/>
  <c r="J65" i="58"/>
  <c r="G107" i="43"/>
  <c r="G64" i="58"/>
  <c r="D105" i="43"/>
  <c r="J52" i="58"/>
  <c r="H162" i="43"/>
  <c r="AB600" i="43" l="1"/>
  <c r="AB609" i="43" s="1"/>
  <c r="W600" i="43"/>
  <c r="AD28" i="58"/>
  <c r="AD29" i="58"/>
  <c r="I29" i="58"/>
  <c r="I28" i="58"/>
  <c r="J29" i="58"/>
  <c r="J28" i="58"/>
  <c r="G29" i="58"/>
  <c r="G28" i="58"/>
  <c r="N29" i="58"/>
  <c r="N28" i="58"/>
  <c r="Y28" i="58"/>
  <c r="Y29" i="58"/>
  <c r="H29" i="58"/>
  <c r="H28" i="58"/>
  <c r="AC29" i="58"/>
  <c r="AC28" i="58"/>
  <c r="M29" i="58"/>
  <c r="M28" i="58"/>
  <c r="K29" i="58"/>
  <c r="K28" i="58"/>
  <c r="AB28" i="58"/>
  <c r="AB29" i="58"/>
  <c r="R29" i="58"/>
  <c r="R28" i="58"/>
  <c r="Q28" i="58"/>
  <c r="Q29" i="58"/>
  <c r="T29" i="58"/>
  <c r="T28" i="58"/>
  <c r="X29" i="58"/>
  <c r="X28" i="58"/>
  <c r="W28" i="58"/>
  <c r="W29" i="58"/>
  <c r="S28" i="58"/>
  <c r="S29" i="58"/>
  <c r="AA28" i="58"/>
  <c r="AA29" i="58"/>
  <c r="L29" i="58"/>
  <c r="L28" i="58"/>
  <c r="P29" i="58"/>
  <c r="P28" i="58"/>
  <c r="Z28" i="58"/>
  <c r="Z29" i="58"/>
  <c r="V28" i="58"/>
  <c r="V29" i="58"/>
  <c r="U29" i="58"/>
  <c r="U28" i="58"/>
  <c r="O29" i="58"/>
  <c r="O28" i="58"/>
  <c r="AE29" i="58"/>
  <c r="AE28" i="58"/>
  <c r="AJ36" i="59"/>
  <c r="E111" i="61"/>
  <c r="G54" i="58"/>
  <c r="E114" i="61"/>
  <c r="D100" i="43"/>
  <c r="W609" i="43"/>
  <c r="W606" i="43"/>
  <c r="K125" i="61"/>
  <c r="AB608" i="43"/>
  <c r="Z600" i="43"/>
  <c r="Z609" i="43" s="1"/>
  <c r="R600" i="43"/>
  <c r="R609" i="43" s="1"/>
  <c r="H600" i="43"/>
  <c r="V600" i="43"/>
  <c r="V606" i="43" s="1"/>
  <c r="K600" i="43"/>
  <c r="K609" i="43" s="1"/>
  <c r="AB606" i="43"/>
  <c r="M600" i="43"/>
  <c r="M608" i="43" s="1"/>
  <c r="I125" i="61"/>
  <c r="X600" i="43"/>
  <c r="X609" i="43" s="1"/>
  <c r="Y600" i="43"/>
  <c r="Y609" i="43" s="1"/>
  <c r="L600" i="43"/>
  <c r="L609" i="43" s="1"/>
  <c r="S600" i="43"/>
  <c r="S609" i="43" s="1"/>
  <c r="W608" i="43"/>
  <c r="P600" i="43"/>
  <c r="P609" i="43" s="1"/>
  <c r="Q600" i="43"/>
  <c r="Q609" i="43" s="1"/>
  <c r="N600" i="43"/>
  <c r="N608" i="43" s="1"/>
  <c r="I600" i="43"/>
  <c r="U600" i="43"/>
  <c r="U609" i="43" s="1"/>
  <c r="O600" i="43"/>
  <c r="O608" i="43" s="1"/>
  <c r="AC600" i="43"/>
  <c r="AC609" i="43" s="1"/>
  <c r="E600" i="43"/>
  <c r="BP7" i="59"/>
  <c r="D600" i="43"/>
  <c r="D606" i="43" s="1"/>
  <c r="J600" i="43"/>
  <c r="J609" i="43" s="1"/>
  <c r="AB607" i="43"/>
  <c r="W607" i="43"/>
  <c r="T600" i="43"/>
  <c r="T609" i="43" s="1"/>
  <c r="F600" i="43"/>
  <c r="F607" i="43" s="1"/>
  <c r="AA600" i="43"/>
  <c r="AA609" i="43" s="1"/>
  <c r="G600" i="43"/>
  <c r="G609" i="43" s="1"/>
  <c r="N125" i="61"/>
  <c r="J125" i="61"/>
  <c r="U125" i="61"/>
  <c r="AB125" i="61"/>
  <c r="V125" i="61"/>
  <c r="S125" i="61"/>
  <c r="H125" i="61"/>
  <c r="Q125" i="61"/>
  <c r="BS6" i="59"/>
  <c r="BS21" i="59" s="1"/>
  <c r="BS23" i="59" s="1"/>
  <c r="CH7" i="59"/>
  <c r="M125" i="61"/>
  <c r="F125" i="61"/>
  <c r="G299" i="43"/>
  <c r="G331" i="43" s="1"/>
  <c r="C106" i="43"/>
  <c r="E257" i="43" s="1"/>
  <c r="E254" i="43" s="1"/>
  <c r="C289" i="43" s="1"/>
  <c r="C319" i="43" s="1"/>
  <c r="AC125" i="61"/>
  <c r="P125" i="61"/>
  <c r="AA125" i="61"/>
  <c r="BO7" i="59"/>
  <c r="E125" i="61"/>
  <c r="Y125" i="61"/>
  <c r="R125" i="61"/>
  <c r="Z125" i="61"/>
  <c r="I124" i="61"/>
  <c r="E124" i="61"/>
  <c r="BO6" i="59"/>
  <c r="W125" i="61"/>
  <c r="CG7" i="59"/>
  <c r="L124" i="61"/>
  <c r="BV6" i="59"/>
  <c r="BV21" i="59" s="1"/>
  <c r="BV23" i="59" s="1"/>
  <c r="H124" i="61"/>
  <c r="BR6" i="59"/>
  <c r="BR21" i="59" s="1"/>
  <c r="BR23" i="59" s="1"/>
  <c r="W124" i="61"/>
  <c r="CG6" i="59"/>
  <c r="V124" i="61"/>
  <c r="CF6" i="59"/>
  <c r="CF21" i="59" s="1"/>
  <c r="CF23" i="59" s="1"/>
  <c r="Z124" i="61"/>
  <c r="CJ6" i="59"/>
  <c r="CJ21" i="59" s="1"/>
  <c r="T124" i="61"/>
  <c r="CD6" i="59"/>
  <c r="CD21" i="59" s="1"/>
  <c r="CD23" i="59" s="1"/>
  <c r="G125" i="61"/>
  <c r="BQ7" i="59"/>
  <c r="S124" i="61"/>
  <c r="CC6" i="59"/>
  <c r="CC21" i="59" s="1"/>
  <c r="CC23" i="59" s="1"/>
  <c r="Q124" i="61"/>
  <c r="CA6" i="59"/>
  <c r="CA21" i="59" s="1"/>
  <c r="CA23" i="59" s="1"/>
  <c r="R124" i="61"/>
  <c r="CB6" i="59"/>
  <c r="CB21" i="59" s="1"/>
  <c r="CB23" i="59" s="1"/>
  <c r="AA124" i="61"/>
  <c r="CK6" i="59"/>
  <c r="CK21" i="59" s="1"/>
  <c r="M124" i="61"/>
  <c r="BW6" i="59"/>
  <c r="BW21" i="59" s="1"/>
  <c r="BW23" i="59" s="1"/>
  <c r="P124" i="61"/>
  <c r="BZ6" i="59"/>
  <c r="BZ21" i="59" s="1"/>
  <c r="BZ23" i="59" s="1"/>
  <c r="AB124" i="61"/>
  <c r="CL6" i="59"/>
  <c r="CL21" i="59" s="1"/>
  <c r="K124" i="61"/>
  <c r="BU6" i="59"/>
  <c r="BU21" i="59" s="1"/>
  <c r="BU23" i="59" s="1"/>
  <c r="AD124" i="61"/>
  <c r="CN6" i="59"/>
  <c r="CN21" i="59" s="1"/>
  <c r="Y124" i="61"/>
  <c r="CI6" i="59"/>
  <c r="CI21" i="59" s="1"/>
  <c r="U124" i="61"/>
  <c r="CE6" i="59"/>
  <c r="CE21" i="59" s="1"/>
  <c r="CE23" i="59" s="1"/>
  <c r="AK11" i="59"/>
  <c r="Y74" i="58"/>
  <c r="Y32" i="58" s="1"/>
  <c r="CG8" i="59"/>
  <c r="CG22" i="59" s="1"/>
  <c r="G58" i="58"/>
  <c r="E113" i="61"/>
  <c r="AK13" i="59"/>
  <c r="AJ35" i="59"/>
  <c r="G57" i="58"/>
  <c r="AK12" i="59"/>
  <c r="E112" i="61"/>
  <c r="AD121" i="61"/>
  <c r="BJ24" i="59"/>
  <c r="BJ38" i="59" s="1"/>
  <c r="H98" i="43"/>
  <c r="H298" i="43" s="1"/>
  <c r="H317" i="43" s="1"/>
  <c r="AO6" i="59"/>
  <c r="AO34" i="59" s="1"/>
  <c r="I107" i="61"/>
  <c r="E109" i="61"/>
  <c r="D99" i="43"/>
  <c r="D102" i="43" s="1"/>
  <c r="AK8" i="59"/>
  <c r="E108" i="61"/>
  <c r="D104" i="43"/>
  <c r="D106" i="43" s="1"/>
  <c r="AK19" i="59"/>
  <c r="AK36" i="59" s="1"/>
  <c r="E118" i="61"/>
  <c r="E105" i="43"/>
  <c r="AL20" i="59"/>
  <c r="F119" i="61"/>
  <c r="E100" i="43"/>
  <c r="AL9" i="59"/>
  <c r="F109" i="61"/>
  <c r="H59" i="58"/>
  <c r="AL14" i="59"/>
  <c r="F114" i="61"/>
  <c r="H60" i="58"/>
  <c r="AL15" i="59"/>
  <c r="F115" i="61"/>
  <c r="H53" i="58"/>
  <c r="I53" i="58" s="1"/>
  <c r="AL8" i="59"/>
  <c r="F108" i="61"/>
  <c r="E101" i="43"/>
  <c r="AL10" i="59"/>
  <c r="F110" i="61"/>
  <c r="H56" i="58"/>
  <c r="AL11" i="59"/>
  <c r="F111" i="61"/>
  <c r="F101" i="43"/>
  <c r="AM10" i="59"/>
  <c r="G110" i="61"/>
  <c r="AO22" i="59"/>
  <c r="AO37" i="59" s="1"/>
  <c r="I120" i="61"/>
  <c r="E103" i="43"/>
  <c r="AL18" i="59"/>
  <c r="F117" i="61"/>
  <c r="H61" i="58"/>
  <c r="AL16" i="59"/>
  <c r="F116" i="61"/>
  <c r="BN21" i="59"/>
  <c r="BN23" i="59" s="1"/>
  <c r="BE25" i="59"/>
  <c r="AA67" i="58"/>
  <c r="Y122" i="61"/>
  <c r="G307" i="43"/>
  <c r="G334" i="43" s="1"/>
  <c r="G306" i="43"/>
  <c r="G320" i="43" s="1"/>
  <c r="G308" i="43"/>
  <c r="N23" i="60"/>
  <c r="N58" i="60" s="1"/>
  <c r="L21" i="60"/>
  <c r="K56" i="60"/>
  <c r="L22" i="60"/>
  <c r="K57" i="60"/>
  <c r="L20" i="60"/>
  <c r="K55" i="60"/>
  <c r="H54" i="58"/>
  <c r="G63" i="58"/>
  <c r="H62" i="58"/>
  <c r="E99" i="43"/>
  <c r="I55" i="58"/>
  <c r="H64" i="58"/>
  <c r="K65" i="58"/>
  <c r="H107" i="43"/>
  <c r="K52" i="58"/>
  <c r="AK35" i="59" l="1"/>
  <c r="R608" i="43"/>
  <c r="S608" i="43"/>
  <c r="S607" i="43"/>
  <c r="U608" i="43"/>
  <c r="Q607" i="43"/>
  <c r="Q608" i="43"/>
  <c r="L608" i="43"/>
  <c r="G606" i="43"/>
  <c r="G608" i="43"/>
  <c r="H609" i="43"/>
  <c r="H608" i="43"/>
  <c r="F606" i="43"/>
  <c r="D607" i="43"/>
  <c r="E255" i="43"/>
  <c r="C290" i="43" s="1"/>
  <c r="C333" i="43" s="1"/>
  <c r="H607" i="43"/>
  <c r="D608" i="43"/>
  <c r="E256" i="43"/>
  <c r="P607" i="43"/>
  <c r="P608" i="43"/>
  <c r="AC606" i="43"/>
  <c r="T607" i="43"/>
  <c r="U607" i="43"/>
  <c r="X607" i="43"/>
  <c r="W610" i="43"/>
  <c r="Y606" i="43"/>
  <c r="AB610" i="43"/>
  <c r="X606" i="43"/>
  <c r="R607" i="43"/>
  <c r="G607" i="43"/>
  <c r="X608" i="43"/>
  <c r="I609" i="43"/>
  <c r="I606" i="43"/>
  <c r="N609" i="43"/>
  <c r="N606" i="43"/>
  <c r="P606" i="43"/>
  <c r="P610" i="43" s="1"/>
  <c r="K606" i="43"/>
  <c r="V609" i="43"/>
  <c r="V608" i="43"/>
  <c r="N607" i="43"/>
  <c r="K608" i="43"/>
  <c r="AA606" i="43"/>
  <c r="Z607" i="43"/>
  <c r="E609" i="43"/>
  <c r="E606" i="43"/>
  <c r="V607" i="43"/>
  <c r="J608" i="43"/>
  <c r="E608" i="43"/>
  <c r="Z606" i="43"/>
  <c r="F609" i="43"/>
  <c r="F608" i="43"/>
  <c r="Y607" i="43"/>
  <c r="U606" i="43"/>
  <c r="E607" i="43"/>
  <c r="S606" i="43"/>
  <c r="I607" i="43"/>
  <c r="AA607" i="43"/>
  <c r="H606" i="43"/>
  <c r="AC608" i="43"/>
  <c r="O609" i="43"/>
  <c r="O607" i="43"/>
  <c r="AA608" i="43"/>
  <c r="M609" i="43"/>
  <c r="M606" i="43"/>
  <c r="T608" i="43"/>
  <c r="J606" i="43"/>
  <c r="O606" i="43"/>
  <c r="Y608" i="43"/>
  <c r="I608" i="43"/>
  <c r="K607" i="43"/>
  <c r="T606" i="43"/>
  <c r="D609" i="43"/>
  <c r="M607" i="43"/>
  <c r="Z608" i="43"/>
  <c r="AC607" i="43"/>
  <c r="Q606" i="43"/>
  <c r="L606" i="43"/>
  <c r="J607" i="43"/>
  <c r="L607" i="43"/>
  <c r="R606" i="43"/>
  <c r="BQ6" i="59"/>
  <c r="BQ21" i="59" s="1"/>
  <c r="BQ23" i="59" s="1"/>
  <c r="G124" i="61"/>
  <c r="BO21" i="59"/>
  <c r="BO23" i="59" s="1"/>
  <c r="CG21" i="59"/>
  <c r="CG23" i="59" s="1"/>
  <c r="BP6" i="59"/>
  <c r="BP21" i="59" s="1"/>
  <c r="BP23" i="59" s="1"/>
  <c r="F124" i="61"/>
  <c r="X124" i="61"/>
  <c r="CH6" i="59"/>
  <c r="CH21" i="59" s="1"/>
  <c r="O124" i="61"/>
  <c r="BY6" i="59"/>
  <c r="BY21" i="59" s="1"/>
  <c r="BY23" i="59" s="1"/>
  <c r="AC124" i="61"/>
  <c r="CM6" i="59"/>
  <c r="CM21" i="59" s="1"/>
  <c r="J124" i="61"/>
  <c r="BT6" i="59"/>
  <c r="BT21" i="59" s="1"/>
  <c r="BT23" i="59" s="1"/>
  <c r="N124" i="61"/>
  <c r="BX6" i="59"/>
  <c r="BX21" i="59" s="1"/>
  <c r="BX23" i="59" s="1"/>
  <c r="H299" i="43"/>
  <c r="H331" i="43" s="1"/>
  <c r="H57" i="58"/>
  <c r="AL12" i="59"/>
  <c r="F112" i="61"/>
  <c r="Z74" i="58"/>
  <c r="Z32" i="58" s="1"/>
  <c r="CH8" i="59"/>
  <c r="CH22" i="59" s="1"/>
  <c r="H58" i="58"/>
  <c r="F113" i="61"/>
  <c r="AL13" i="59"/>
  <c r="I98" i="43"/>
  <c r="I299" i="43" s="1"/>
  <c r="I331" i="43" s="1"/>
  <c r="AP6" i="59"/>
  <c r="AP34" i="59" s="1"/>
  <c r="J107" i="61"/>
  <c r="E102" i="43"/>
  <c r="E104" i="43"/>
  <c r="E106" i="43" s="1"/>
  <c r="AL19" i="59"/>
  <c r="AL36" i="59" s="1"/>
  <c r="F118" i="61"/>
  <c r="I59" i="58"/>
  <c r="AM14" i="59"/>
  <c r="G114" i="61"/>
  <c r="I60" i="58"/>
  <c r="AM15" i="59"/>
  <c r="G115" i="61"/>
  <c r="I61" i="58"/>
  <c r="AM16" i="59"/>
  <c r="G116" i="61"/>
  <c r="F99" i="43"/>
  <c r="AM8" i="59"/>
  <c r="G108" i="61"/>
  <c r="G99" i="43"/>
  <c r="AN8" i="59"/>
  <c r="H108" i="61"/>
  <c r="G101" i="43"/>
  <c r="AN10" i="59"/>
  <c r="H110" i="61"/>
  <c r="F103" i="43"/>
  <c r="AM18" i="59"/>
  <c r="G117" i="61"/>
  <c r="AP22" i="59"/>
  <c r="AP37" i="59" s="1"/>
  <c r="J120" i="61"/>
  <c r="F100" i="43"/>
  <c r="AM9" i="59"/>
  <c r="G109" i="61"/>
  <c r="F105" i="43"/>
  <c r="AM20" i="59"/>
  <c r="G119" i="61"/>
  <c r="I56" i="58"/>
  <c r="AM11" i="59"/>
  <c r="G111" i="61"/>
  <c r="BF25" i="59"/>
  <c r="AB67" i="58"/>
  <c r="Z122" i="61"/>
  <c r="H306" i="43"/>
  <c r="H320" i="43" s="1"/>
  <c r="H308" i="43"/>
  <c r="H307" i="43"/>
  <c r="H334" i="43" s="1"/>
  <c r="G309" i="43"/>
  <c r="F254" i="43"/>
  <c r="F256" i="43"/>
  <c r="C291" i="43"/>
  <c r="C347" i="43" s="1"/>
  <c r="F274" i="43"/>
  <c r="M20" i="60"/>
  <c r="L55" i="60"/>
  <c r="M22" i="60"/>
  <c r="L57" i="60"/>
  <c r="M21" i="60"/>
  <c r="L56" i="60"/>
  <c r="O23" i="60"/>
  <c r="O58" i="60" s="1"/>
  <c r="H63" i="58"/>
  <c r="I54" i="58"/>
  <c r="I62" i="58"/>
  <c r="J62" i="58" s="1"/>
  <c r="J55" i="58"/>
  <c r="I64" i="58"/>
  <c r="J53" i="58"/>
  <c r="L65" i="58"/>
  <c r="I107" i="43"/>
  <c r="L52" i="58"/>
  <c r="AL35" i="59" l="1"/>
  <c r="F255" i="43"/>
  <c r="V610" i="43"/>
  <c r="U610" i="43"/>
  <c r="Q610" i="43"/>
  <c r="S610" i="43"/>
  <c r="G610" i="43"/>
  <c r="D610" i="43"/>
  <c r="T610" i="43"/>
  <c r="L610" i="43"/>
  <c r="X610" i="43"/>
  <c r="F610" i="43"/>
  <c r="H610" i="43"/>
  <c r="K610" i="43"/>
  <c r="AA610" i="43"/>
  <c r="AC610" i="43"/>
  <c r="Y610" i="43"/>
  <c r="R610" i="43"/>
  <c r="N610" i="43"/>
  <c r="E610" i="43"/>
  <c r="J610" i="43"/>
  <c r="O610" i="43"/>
  <c r="Z610" i="43"/>
  <c r="M610" i="43"/>
  <c r="I610" i="43"/>
  <c r="I298" i="43"/>
  <c r="I317" i="43" s="1"/>
  <c r="CH23" i="59"/>
  <c r="I58" i="58"/>
  <c r="AM13" i="59"/>
  <c r="G113" i="61"/>
  <c r="AA74" i="58"/>
  <c r="AA32" i="58" s="1"/>
  <c r="CI8" i="59"/>
  <c r="CI22" i="59" s="1"/>
  <c r="CI23" i="59" s="1"/>
  <c r="J98" i="43"/>
  <c r="J298" i="43" s="1"/>
  <c r="J317" i="43" s="1"/>
  <c r="AQ6" i="59"/>
  <c r="AQ34" i="59" s="1"/>
  <c r="K107" i="61"/>
  <c r="AM12" i="59"/>
  <c r="G112" i="61"/>
  <c r="I57" i="58"/>
  <c r="F102" i="43"/>
  <c r="H103" i="43"/>
  <c r="AO18" i="59"/>
  <c r="I117" i="61"/>
  <c r="F104" i="43"/>
  <c r="F106" i="43" s="1"/>
  <c r="F289" i="43" s="1"/>
  <c r="F319" i="43" s="1"/>
  <c r="AM19" i="59"/>
  <c r="AM36" i="59" s="1"/>
  <c r="G118" i="61"/>
  <c r="J60" i="58"/>
  <c r="AN15" i="59"/>
  <c r="H115" i="61"/>
  <c r="J56" i="58"/>
  <c r="AN11" i="59"/>
  <c r="H111" i="61"/>
  <c r="H99" i="43"/>
  <c r="AO8" i="59"/>
  <c r="I108" i="61"/>
  <c r="J59" i="58"/>
  <c r="AN14" i="59"/>
  <c r="H114" i="61"/>
  <c r="G105" i="43"/>
  <c r="AN20" i="59"/>
  <c r="H119" i="61"/>
  <c r="AQ22" i="59"/>
  <c r="AQ37" i="59" s="1"/>
  <c r="K120" i="61"/>
  <c r="H101" i="43"/>
  <c r="AO10" i="59"/>
  <c r="I110" i="61"/>
  <c r="J61" i="58"/>
  <c r="AN16" i="59"/>
  <c r="H116" i="61"/>
  <c r="G100" i="43"/>
  <c r="G102" i="43" s="1"/>
  <c r="AN9" i="59"/>
  <c r="H109" i="61"/>
  <c r="G103" i="43"/>
  <c r="AN18" i="59"/>
  <c r="H117" i="61"/>
  <c r="BG25" i="59"/>
  <c r="AA122" i="61"/>
  <c r="AC67" i="58"/>
  <c r="I307" i="43"/>
  <c r="I334" i="43" s="1"/>
  <c r="I306" i="43"/>
  <c r="I320" i="43" s="1"/>
  <c r="I308" i="43"/>
  <c r="F257" i="43"/>
  <c r="F309" i="43"/>
  <c r="H300" i="43"/>
  <c r="D300" i="43"/>
  <c r="E291" i="43"/>
  <c r="D291" i="43"/>
  <c r="E289" i="43"/>
  <c r="E319" i="43" s="1"/>
  <c r="D289" i="43"/>
  <c r="D319" i="43" s="1"/>
  <c r="C292" i="43"/>
  <c r="E290" i="43"/>
  <c r="E333" i="43" s="1"/>
  <c r="D290" i="43"/>
  <c r="D333" i="43" s="1"/>
  <c r="P23" i="60"/>
  <c r="P58" i="60" s="1"/>
  <c r="N20" i="60"/>
  <c r="M55" i="60"/>
  <c r="N21" i="60"/>
  <c r="M56" i="60"/>
  <c r="N22" i="60"/>
  <c r="M57" i="60"/>
  <c r="K55" i="58"/>
  <c r="L55" i="58" s="1"/>
  <c r="J54" i="58"/>
  <c r="I63" i="58"/>
  <c r="K53" i="58"/>
  <c r="J64" i="58"/>
  <c r="M65" i="58"/>
  <c r="J107" i="43"/>
  <c r="M52" i="58"/>
  <c r="K62" i="58"/>
  <c r="AM35" i="59" l="1"/>
  <c r="F291" i="43"/>
  <c r="J299" i="43"/>
  <c r="J331" i="43" s="1"/>
  <c r="J57" i="58"/>
  <c r="AN12" i="59"/>
  <c r="H112" i="61"/>
  <c r="AB74" i="58"/>
  <c r="AB32" i="58" s="1"/>
  <c r="CJ8" i="59"/>
  <c r="CJ22" i="59" s="1"/>
  <c r="CJ23" i="59" s="1"/>
  <c r="K98" i="43"/>
  <c r="K298" i="43" s="1"/>
  <c r="K317" i="43" s="1"/>
  <c r="AR6" i="59"/>
  <c r="AR34" i="59" s="1"/>
  <c r="L107" i="61"/>
  <c r="J58" i="58"/>
  <c r="H113" i="61"/>
  <c r="AN13" i="59"/>
  <c r="F290" i="43"/>
  <c r="F333" i="43" s="1"/>
  <c r="K60" i="58"/>
  <c r="AO15" i="59"/>
  <c r="I115" i="61"/>
  <c r="K56" i="58"/>
  <c r="AO11" i="59"/>
  <c r="I111" i="61"/>
  <c r="AR22" i="59"/>
  <c r="AR37" i="59" s="1"/>
  <c r="L120" i="61"/>
  <c r="K59" i="58"/>
  <c r="AO14" i="59"/>
  <c r="I114" i="61"/>
  <c r="AN19" i="59"/>
  <c r="AN36" i="59" s="1"/>
  <c r="H118" i="61"/>
  <c r="K61" i="58"/>
  <c r="AO16" i="59"/>
  <c r="I116" i="61"/>
  <c r="I101" i="43"/>
  <c r="AP10" i="59"/>
  <c r="J110" i="61"/>
  <c r="H105" i="43"/>
  <c r="AO20" i="59"/>
  <c r="I119" i="61"/>
  <c r="I103" i="43"/>
  <c r="AP18" i="59"/>
  <c r="J117" i="61"/>
  <c r="H100" i="43"/>
  <c r="H102" i="43" s="1"/>
  <c r="AO9" i="59"/>
  <c r="I109" i="61"/>
  <c r="J101" i="43"/>
  <c r="AQ10" i="59"/>
  <c r="K110" i="61"/>
  <c r="I99" i="43"/>
  <c r="AP8" i="59"/>
  <c r="J108" i="61"/>
  <c r="BH25" i="59"/>
  <c r="AD67" i="58"/>
  <c r="AB122" i="61"/>
  <c r="J308" i="43"/>
  <c r="J307" i="43"/>
  <c r="J334" i="43" s="1"/>
  <c r="J306" i="43"/>
  <c r="J320" i="43" s="1"/>
  <c r="E309" i="43"/>
  <c r="D309" i="43"/>
  <c r="H309" i="43"/>
  <c r="I309" i="43"/>
  <c r="C309" i="43"/>
  <c r="F300" i="43"/>
  <c r="I300" i="43"/>
  <c r="E300" i="43"/>
  <c r="G300" i="43"/>
  <c r="D292" i="43"/>
  <c r="E292" i="43"/>
  <c r="Q23" i="60"/>
  <c r="Q58" i="60" s="1"/>
  <c r="O22" i="60"/>
  <c r="N57" i="60"/>
  <c r="O21" i="60"/>
  <c r="N56" i="60"/>
  <c r="O20" i="60"/>
  <c r="N55" i="60"/>
  <c r="K54" i="58"/>
  <c r="G104" i="43"/>
  <c r="G106" i="43" s="1"/>
  <c r="J63" i="58"/>
  <c r="L53" i="58"/>
  <c r="K64" i="58"/>
  <c r="N65" i="58"/>
  <c r="K107" i="43"/>
  <c r="N52" i="58"/>
  <c r="L62" i="58"/>
  <c r="M55" i="58"/>
  <c r="AN35" i="59" l="1"/>
  <c r="J300" i="43"/>
  <c r="K299" i="43"/>
  <c r="K331" i="43" s="1"/>
  <c r="AC74" i="58"/>
  <c r="AC32" i="58" s="1"/>
  <c r="CK8" i="59"/>
  <c r="CK22" i="59" s="1"/>
  <c r="CK23" i="59" s="1"/>
  <c r="L98" i="43"/>
  <c r="L299" i="43" s="1"/>
  <c r="L331" i="43" s="1"/>
  <c r="AS6" i="59"/>
  <c r="AS34" i="59" s="1"/>
  <c r="M107" i="61"/>
  <c r="K58" i="58"/>
  <c r="I113" i="61"/>
  <c r="AO13" i="59"/>
  <c r="I112" i="61"/>
  <c r="AO12" i="59"/>
  <c r="K57" i="58"/>
  <c r="F292" i="43"/>
  <c r="L56" i="58"/>
  <c r="AP11" i="59"/>
  <c r="J111" i="61"/>
  <c r="AO19" i="59"/>
  <c r="AO36" i="59" s="1"/>
  <c r="I118" i="61"/>
  <c r="K101" i="43"/>
  <c r="AR10" i="59"/>
  <c r="L110" i="61"/>
  <c r="I100" i="43"/>
  <c r="I102" i="43" s="1"/>
  <c r="AP9" i="59"/>
  <c r="J109" i="61"/>
  <c r="J99" i="43"/>
  <c r="AQ8" i="59"/>
  <c r="K108" i="61"/>
  <c r="L61" i="58"/>
  <c r="AP16" i="59"/>
  <c r="J116" i="61"/>
  <c r="J103" i="43"/>
  <c r="AQ18" i="59"/>
  <c r="K117" i="61"/>
  <c r="AS22" i="59"/>
  <c r="AS37" i="59" s="1"/>
  <c r="M120" i="61"/>
  <c r="L59" i="58"/>
  <c r="AP14" i="59"/>
  <c r="J114" i="61"/>
  <c r="L60" i="58"/>
  <c r="AP15" i="59"/>
  <c r="J115" i="61"/>
  <c r="I105" i="43"/>
  <c r="AP20" i="59"/>
  <c r="J119" i="61"/>
  <c r="BI25" i="59"/>
  <c r="AC122" i="61"/>
  <c r="AE67" i="58"/>
  <c r="J309" i="43"/>
  <c r="K306" i="43"/>
  <c r="K320" i="43" s="1"/>
  <c r="K308" i="43"/>
  <c r="K307" i="43"/>
  <c r="K334" i="43" s="1"/>
  <c r="G291" i="43"/>
  <c r="G289" i="43"/>
  <c r="G319" i="43" s="1"/>
  <c r="G290" i="43"/>
  <c r="G333" i="43" s="1"/>
  <c r="P20" i="60"/>
  <c r="O55" i="60"/>
  <c r="R23" i="60"/>
  <c r="R58" i="60" s="1"/>
  <c r="P21" i="60"/>
  <c r="O56" i="60"/>
  <c r="P22" i="60"/>
  <c r="O57" i="60"/>
  <c r="L64" i="58"/>
  <c r="M64" i="58" s="1"/>
  <c r="L54" i="58"/>
  <c r="H104" i="43"/>
  <c r="H106" i="43" s="1"/>
  <c r="K63" i="58"/>
  <c r="M53" i="58"/>
  <c r="O65" i="58"/>
  <c r="L107" i="43"/>
  <c r="O52" i="58"/>
  <c r="M62" i="58"/>
  <c r="N55" i="58"/>
  <c r="AO35" i="59" l="1"/>
  <c r="K300" i="43"/>
  <c r="L298" i="43"/>
  <c r="L317" i="43" s="1"/>
  <c r="L58" i="58"/>
  <c r="AP13" i="59"/>
  <c r="J113" i="61"/>
  <c r="L57" i="58"/>
  <c r="AP12" i="59"/>
  <c r="J112" i="61"/>
  <c r="M98" i="43"/>
  <c r="M299" i="43" s="1"/>
  <c r="M331" i="43" s="1"/>
  <c r="AT6" i="59"/>
  <c r="AT34" i="59" s="1"/>
  <c r="N107" i="61"/>
  <c r="AD74" i="58"/>
  <c r="AD32" i="58" s="1"/>
  <c r="CL8" i="59"/>
  <c r="CL22" i="59" s="1"/>
  <c r="CL23" i="59" s="1"/>
  <c r="M60" i="58"/>
  <c r="AQ15" i="59"/>
  <c r="K115" i="61"/>
  <c r="K99" i="43"/>
  <c r="AR8" i="59"/>
  <c r="L108" i="61"/>
  <c r="AP19" i="59"/>
  <c r="AP36" i="59" s="1"/>
  <c r="J118" i="61"/>
  <c r="M59" i="58"/>
  <c r="AQ14" i="59"/>
  <c r="K114" i="61"/>
  <c r="M56" i="58"/>
  <c r="AQ11" i="59"/>
  <c r="K111" i="61"/>
  <c r="M61" i="58"/>
  <c r="AQ16" i="59"/>
  <c r="K116" i="61"/>
  <c r="L101" i="43"/>
  <c r="AS10" i="59"/>
  <c r="M110" i="61"/>
  <c r="K103" i="43"/>
  <c r="AR18" i="59"/>
  <c r="L117" i="61"/>
  <c r="J100" i="43"/>
  <c r="J102" i="43" s="1"/>
  <c r="AQ9" i="59"/>
  <c r="K109" i="61"/>
  <c r="AT22" i="59"/>
  <c r="AT37" i="59" s="1"/>
  <c r="N120" i="61"/>
  <c r="K105" i="43"/>
  <c r="AR20" i="59"/>
  <c r="L119" i="61"/>
  <c r="J105" i="43"/>
  <c r="AQ20" i="59"/>
  <c r="K119" i="61"/>
  <c r="AD122" i="61"/>
  <c r="BJ25" i="59"/>
  <c r="L307" i="43"/>
  <c r="L334" i="43" s="1"/>
  <c r="L308" i="43"/>
  <c r="L306" i="43"/>
  <c r="L320" i="43" s="1"/>
  <c r="K309" i="43"/>
  <c r="G292" i="43"/>
  <c r="L300" i="43"/>
  <c r="H289" i="43"/>
  <c r="H319" i="43" s="1"/>
  <c r="H291" i="43"/>
  <c r="H290" i="43"/>
  <c r="H333" i="43" s="1"/>
  <c r="Q20" i="60"/>
  <c r="P55" i="60"/>
  <c r="Q22" i="60"/>
  <c r="P57" i="60"/>
  <c r="Q21" i="60"/>
  <c r="P56" i="60"/>
  <c r="S23" i="60"/>
  <c r="S58" i="60" s="1"/>
  <c r="M54" i="58"/>
  <c r="N54" i="58" s="1"/>
  <c r="I104" i="43"/>
  <c r="I106" i="43" s="1"/>
  <c r="L63" i="58"/>
  <c r="N53" i="58"/>
  <c r="P65" i="58"/>
  <c r="M107" i="43"/>
  <c r="P52" i="58"/>
  <c r="N64" i="58"/>
  <c r="N62" i="58"/>
  <c r="O55" i="58"/>
  <c r="AP35" i="59" l="1"/>
  <c r="M298" i="43"/>
  <c r="M317" i="43" s="1"/>
  <c r="N98" i="43"/>
  <c r="N299" i="43" s="1"/>
  <c r="N331" i="43" s="1"/>
  <c r="AU6" i="59"/>
  <c r="AU34" i="59" s="1"/>
  <c r="O107" i="61"/>
  <c r="K112" i="61"/>
  <c r="AQ12" i="59"/>
  <c r="M57" i="58"/>
  <c r="AE74" i="58"/>
  <c r="AE32" i="58" s="1"/>
  <c r="CM8" i="59"/>
  <c r="CM22" i="59" s="1"/>
  <c r="CM23" i="59" s="1"/>
  <c r="M58" i="58"/>
  <c r="K113" i="61"/>
  <c r="AQ13" i="59"/>
  <c r="M101" i="43"/>
  <c r="AT10" i="59"/>
  <c r="N110" i="61"/>
  <c r="N56" i="58"/>
  <c r="AR11" i="59"/>
  <c r="L111" i="61"/>
  <c r="N61" i="58"/>
  <c r="AR16" i="59"/>
  <c r="L116" i="61"/>
  <c r="L99" i="43"/>
  <c r="AS8" i="59"/>
  <c r="M108" i="61"/>
  <c r="AQ19" i="59"/>
  <c r="AQ36" i="59" s="1"/>
  <c r="K118" i="61"/>
  <c r="L103" i="43"/>
  <c r="AS18" i="59"/>
  <c r="M117" i="61"/>
  <c r="K100" i="43"/>
  <c r="K102" i="43" s="1"/>
  <c r="AR9" i="59"/>
  <c r="L109" i="61"/>
  <c r="L100" i="43"/>
  <c r="AS9" i="59"/>
  <c r="M109" i="61"/>
  <c r="AU22" i="59"/>
  <c r="AU37" i="59" s="1"/>
  <c r="O120" i="61"/>
  <c r="L105" i="43"/>
  <c r="AS20" i="59"/>
  <c r="M119" i="61"/>
  <c r="N59" i="58"/>
  <c r="AR14" i="59"/>
  <c r="L114" i="61"/>
  <c r="N60" i="58"/>
  <c r="AR15" i="59"/>
  <c r="L115" i="61"/>
  <c r="L309" i="43"/>
  <c r="M308" i="43"/>
  <c r="M306" i="43"/>
  <c r="M320" i="43" s="1"/>
  <c r="M307" i="43"/>
  <c r="M334" i="43" s="1"/>
  <c r="H292" i="43"/>
  <c r="I290" i="43"/>
  <c r="I333" i="43" s="1"/>
  <c r="I291" i="43"/>
  <c r="I289" i="43"/>
  <c r="I319" i="43" s="1"/>
  <c r="T23" i="60"/>
  <c r="T58" i="60" s="1"/>
  <c r="R20" i="60"/>
  <c r="Q55" i="60"/>
  <c r="R21" i="60"/>
  <c r="Q56" i="60"/>
  <c r="R22" i="60"/>
  <c r="Q57" i="60"/>
  <c r="J104" i="43"/>
  <c r="J106" i="43" s="1"/>
  <c r="M63" i="58"/>
  <c r="O53" i="58"/>
  <c r="Q65" i="58"/>
  <c r="N107" i="43"/>
  <c r="Q52" i="58"/>
  <c r="P55" i="58"/>
  <c r="O62" i="58"/>
  <c r="O64" i="58"/>
  <c r="O54" i="58"/>
  <c r="I4" i="60"/>
  <c r="C100" i="43"/>
  <c r="O199" i="43"/>
  <c r="O198" i="43"/>
  <c r="O197" i="43"/>
  <c r="O196" i="43"/>
  <c r="O195" i="43"/>
  <c r="O194" i="43"/>
  <c r="E194" i="43"/>
  <c r="E197" i="43"/>
  <c r="E198" i="43"/>
  <c r="E199" i="43"/>
  <c r="E196" i="43"/>
  <c r="E195" i="43"/>
  <c r="U172" i="43"/>
  <c r="Y172" i="43"/>
  <c r="J171" i="43"/>
  <c r="L171" i="43"/>
  <c r="E171" i="43"/>
  <c r="E172" i="43"/>
  <c r="K150" i="43"/>
  <c r="K148" i="43"/>
  <c r="K152" i="43"/>
  <c r="K149" i="43"/>
  <c r="U171" i="43"/>
  <c r="T172" i="43"/>
  <c r="T171" i="43"/>
  <c r="R172" i="43"/>
  <c r="R171" i="43"/>
  <c r="W171" i="43"/>
  <c r="X171" i="43"/>
  <c r="Y171" i="43"/>
  <c r="Z171" i="43"/>
  <c r="AA171" i="43"/>
  <c r="AB171" i="43"/>
  <c r="W172" i="43"/>
  <c r="X172" i="43"/>
  <c r="Z172" i="43"/>
  <c r="AA172" i="43"/>
  <c r="AB172" i="43"/>
  <c r="V172" i="43"/>
  <c r="V171" i="43"/>
  <c r="S172" i="43"/>
  <c r="S171" i="43"/>
  <c r="Q172" i="43"/>
  <c r="Q171" i="43"/>
  <c r="P172" i="43"/>
  <c r="P171" i="43"/>
  <c r="F171" i="43"/>
  <c r="G171" i="43"/>
  <c r="H171" i="43"/>
  <c r="I171" i="43"/>
  <c r="K171" i="43"/>
  <c r="M171" i="43"/>
  <c r="N171" i="43"/>
  <c r="O171" i="43"/>
  <c r="F172" i="43"/>
  <c r="G172" i="43"/>
  <c r="H172" i="43"/>
  <c r="I172" i="43"/>
  <c r="J172" i="43"/>
  <c r="K172" i="43"/>
  <c r="L172" i="43"/>
  <c r="M172" i="43"/>
  <c r="N172" i="43"/>
  <c r="O172" i="43"/>
  <c r="C171" i="43"/>
  <c r="C172" i="43"/>
  <c r="B172" i="43"/>
  <c r="B171" i="43"/>
  <c r="C162" i="43"/>
  <c r="D162" i="43"/>
  <c r="E162" i="43"/>
  <c r="F162" i="43"/>
  <c r="G162" i="43"/>
  <c r="I162" i="43"/>
  <c r="J162" i="43"/>
  <c r="K162" i="43"/>
  <c r="L162" i="43"/>
  <c r="M162" i="43"/>
  <c r="N162" i="43"/>
  <c r="O162" i="43"/>
  <c r="P162" i="43"/>
  <c r="Q162" i="43"/>
  <c r="R162" i="43"/>
  <c r="S162" i="43"/>
  <c r="T162" i="43"/>
  <c r="U162" i="43"/>
  <c r="V162" i="43"/>
  <c r="W162" i="43"/>
  <c r="X162" i="43"/>
  <c r="Y162" i="43"/>
  <c r="Z162" i="43"/>
  <c r="AA162" i="43"/>
  <c r="AB162" i="43"/>
  <c r="AC162" i="43"/>
  <c r="AD162" i="43"/>
  <c r="AE162" i="43"/>
  <c r="AF162" i="43"/>
  <c r="AG162" i="43"/>
  <c r="C163" i="43"/>
  <c r="D163" i="43"/>
  <c r="E163" i="43"/>
  <c r="F163" i="43"/>
  <c r="G163" i="43"/>
  <c r="H163" i="43"/>
  <c r="I163" i="43"/>
  <c r="J163" i="43"/>
  <c r="K163" i="43"/>
  <c r="L163" i="43"/>
  <c r="M163" i="43"/>
  <c r="N163" i="43"/>
  <c r="O163" i="43"/>
  <c r="P163" i="43"/>
  <c r="Q163" i="43"/>
  <c r="R163" i="43"/>
  <c r="S163" i="43"/>
  <c r="T163" i="43"/>
  <c r="U163" i="43"/>
  <c r="V163" i="43"/>
  <c r="W163" i="43"/>
  <c r="X163" i="43"/>
  <c r="Y163" i="43"/>
  <c r="Z163" i="43"/>
  <c r="AA163" i="43"/>
  <c r="AB163" i="43"/>
  <c r="AC163" i="43"/>
  <c r="AD163" i="43"/>
  <c r="AE163" i="43"/>
  <c r="AF163" i="43"/>
  <c r="AG163" i="43"/>
  <c r="B163" i="43"/>
  <c r="B162" i="43"/>
  <c r="I146" i="43"/>
  <c r="I148" i="43"/>
  <c r="I149" i="43"/>
  <c r="I150" i="43"/>
  <c r="I151" i="43"/>
  <c r="I152" i="43"/>
  <c r="I147" i="43"/>
  <c r="AQ35" i="59" l="1"/>
  <c r="L102" i="43"/>
  <c r="N298" i="43"/>
  <c r="N317" i="43" s="1"/>
  <c r="M300" i="43"/>
  <c r="CN8" i="59"/>
  <c r="CN22" i="59" s="1"/>
  <c r="CN23" i="59" s="1"/>
  <c r="AR12" i="59"/>
  <c r="L112" i="61"/>
  <c r="N57" i="58"/>
  <c r="O98" i="43"/>
  <c r="O299" i="43" s="1"/>
  <c r="O331" i="43" s="1"/>
  <c r="AV6" i="59"/>
  <c r="AV34" i="59" s="1"/>
  <c r="P107" i="61"/>
  <c r="N58" i="58"/>
  <c r="L113" i="61"/>
  <c r="AR13" i="59"/>
  <c r="O56" i="58"/>
  <c r="AS11" i="59"/>
  <c r="M111" i="61"/>
  <c r="M99" i="43"/>
  <c r="AT8" i="59"/>
  <c r="N108" i="61"/>
  <c r="M105" i="43"/>
  <c r="AT20" i="59"/>
  <c r="N119" i="61"/>
  <c r="O60" i="58"/>
  <c r="AS15" i="59"/>
  <c r="M115" i="61"/>
  <c r="M100" i="43"/>
  <c r="AT9" i="59"/>
  <c r="N109" i="61"/>
  <c r="M103" i="43"/>
  <c r="AT18" i="59"/>
  <c r="N117" i="61"/>
  <c r="O59" i="58"/>
  <c r="AS14" i="59"/>
  <c r="M114" i="61"/>
  <c r="AV22" i="59"/>
  <c r="AV37" i="59" s="1"/>
  <c r="P120" i="61"/>
  <c r="AR19" i="59"/>
  <c r="AR36" i="59" s="1"/>
  <c r="L118" i="61"/>
  <c r="N101" i="43"/>
  <c r="AU10" i="59"/>
  <c r="O110" i="61"/>
  <c r="O61" i="58"/>
  <c r="AS16" i="59"/>
  <c r="M116" i="61"/>
  <c r="N300" i="43"/>
  <c r="N306" i="43"/>
  <c r="N320" i="43" s="1"/>
  <c r="N307" i="43"/>
  <c r="N334" i="43" s="1"/>
  <c r="N308" i="43"/>
  <c r="M309" i="43"/>
  <c r="J291" i="43"/>
  <c r="J290" i="43"/>
  <c r="J333" i="43" s="1"/>
  <c r="J289" i="43"/>
  <c r="J319" i="43" s="1"/>
  <c r="I292" i="43"/>
  <c r="S22" i="60"/>
  <c r="R57" i="60"/>
  <c r="U23" i="60"/>
  <c r="U58" i="60" s="1"/>
  <c r="S21" i="60"/>
  <c r="R56" i="60"/>
  <c r="S20" i="60"/>
  <c r="R55" i="60"/>
  <c r="H3" i="61"/>
  <c r="I39" i="60"/>
  <c r="P53" i="58"/>
  <c r="Q53" i="58" s="1"/>
  <c r="K104" i="43"/>
  <c r="K106" i="43" s="1"/>
  <c r="N63" i="58"/>
  <c r="R65" i="58"/>
  <c r="O107" i="43"/>
  <c r="I173" i="43"/>
  <c r="C99" i="43"/>
  <c r="C101" i="43"/>
  <c r="R52" i="58"/>
  <c r="Q55" i="58"/>
  <c r="P64" i="58"/>
  <c r="P54" i="58"/>
  <c r="P62" i="58"/>
  <c r="K146" i="43"/>
  <c r="E173" i="43"/>
  <c r="AD4" i="60"/>
  <c r="V4" i="60"/>
  <c r="AB173" i="43"/>
  <c r="N4" i="60"/>
  <c r="AC4" i="60"/>
  <c r="U4" i="60"/>
  <c r="M4" i="60"/>
  <c r="F4" i="60"/>
  <c r="AB4" i="60"/>
  <c r="T4" i="60"/>
  <c r="L4" i="60"/>
  <c r="AA4" i="60"/>
  <c r="S4" i="60"/>
  <c r="K4" i="60"/>
  <c r="Z4" i="60"/>
  <c r="R4" i="60"/>
  <c r="Y4" i="60"/>
  <c r="Q4" i="60"/>
  <c r="X4" i="60"/>
  <c r="P4" i="60"/>
  <c r="H4" i="60"/>
  <c r="AE4" i="60"/>
  <c r="W4" i="60"/>
  <c r="O4" i="60"/>
  <c r="G4" i="60"/>
  <c r="V173" i="43"/>
  <c r="J173" i="43"/>
  <c r="O173" i="43"/>
  <c r="G173" i="43"/>
  <c r="AE164" i="43"/>
  <c r="X173" i="43"/>
  <c r="U173" i="43"/>
  <c r="H173" i="43"/>
  <c r="R173" i="43"/>
  <c r="W164" i="43"/>
  <c r="O164" i="43"/>
  <c r="G164" i="43"/>
  <c r="D172" i="43" s="1"/>
  <c r="T173" i="43"/>
  <c r="M173" i="43"/>
  <c r="P173" i="43"/>
  <c r="Y173" i="43"/>
  <c r="K173" i="43"/>
  <c r="Q173" i="43"/>
  <c r="S173" i="43"/>
  <c r="W173" i="43"/>
  <c r="AD164" i="43"/>
  <c r="B164" i="43"/>
  <c r="F164" i="43"/>
  <c r="N173" i="43"/>
  <c r="Z164" i="43"/>
  <c r="R164" i="43"/>
  <c r="J164" i="43"/>
  <c r="AA173" i="43"/>
  <c r="V164" i="43"/>
  <c r="F173" i="43"/>
  <c r="B173" i="43"/>
  <c r="Z173" i="43"/>
  <c r="N164" i="43"/>
  <c r="AG164" i="43"/>
  <c r="Y164" i="43"/>
  <c r="Q164" i="43"/>
  <c r="I164" i="43"/>
  <c r="AF164" i="43"/>
  <c r="X164" i="43"/>
  <c r="P164" i="43"/>
  <c r="H164" i="43"/>
  <c r="AC164" i="43"/>
  <c r="U164" i="43"/>
  <c r="M164" i="43"/>
  <c r="E164" i="43"/>
  <c r="AB164" i="43"/>
  <c r="T164" i="43"/>
  <c r="L164" i="43"/>
  <c r="D164" i="43"/>
  <c r="C173" i="43"/>
  <c r="AA164" i="43"/>
  <c r="S164" i="43"/>
  <c r="K164" i="43"/>
  <c r="C164" i="43"/>
  <c r="L173" i="43"/>
  <c r="AR35" i="59" l="1"/>
  <c r="O298" i="43"/>
  <c r="O317" i="43" s="1"/>
  <c r="O57" i="58"/>
  <c r="AS12" i="59"/>
  <c r="M112" i="61"/>
  <c r="P98" i="43"/>
  <c r="P298" i="43" s="1"/>
  <c r="P317" i="43" s="1"/>
  <c r="AW6" i="59"/>
  <c r="AW34" i="59" s="1"/>
  <c r="Q107" i="61"/>
  <c r="O58" i="58"/>
  <c r="M113" i="61"/>
  <c r="AS13" i="59"/>
  <c r="M102" i="43"/>
  <c r="N103" i="43"/>
  <c r="AU18" i="59"/>
  <c r="O117" i="61"/>
  <c r="AW22" i="59"/>
  <c r="AW37" i="59" s="1"/>
  <c r="Q120" i="61"/>
  <c r="AS19" i="59"/>
  <c r="AS36" i="59" s="1"/>
  <c r="M118" i="61"/>
  <c r="P59" i="58"/>
  <c r="AT14" i="59"/>
  <c r="N114" i="61"/>
  <c r="N100" i="43"/>
  <c r="AU9" i="59"/>
  <c r="O109" i="61"/>
  <c r="N105" i="43"/>
  <c r="AU20" i="59"/>
  <c r="O119" i="61"/>
  <c r="O101" i="43"/>
  <c r="AV10" i="59"/>
  <c r="P110" i="61"/>
  <c r="P60" i="58"/>
  <c r="AT15" i="59"/>
  <c r="N115" i="61"/>
  <c r="P56" i="58"/>
  <c r="AT11" i="59"/>
  <c r="N111" i="61"/>
  <c r="O99" i="43"/>
  <c r="AV8" i="59"/>
  <c r="P108" i="61"/>
  <c r="N99" i="43"/>
  <c r="AU8" i="59"/>
  <c r="O108" i="61"/>
  <c r="P61" i="58"/>
  <c r="AT16" i="59"/>
  <c r="N116" i="61"/>
  <c r="O306" i="43"/>
  <c r="O320" i="43" s="1"/>
  <c r="O308" i="43"/>
  <c r="O307" i="43"/>
  <c r="O334" i="43" s="1"/>
  <c r="N309" i="43"/>
  <c r="J292" i="43"/>
  <c r="K291" i="43"/>
  <c r="K289" i="43"/>
  <c r="K319" i="43" s="1"/>
  <c r="K290" i="43"/>
  <c r="K333" i="43" s="1"/>
  <c r="H75" i="61"/>
  <c r="T20" i="60"/>
  <c r="S55" i="60"/>
  <c r="V23" i="60"/>
  <c r="V58" i="60" s="1"/>
  <c r="T21" i="60"/>
  <c r="S56" i="60"/>
  <c r="T22" i="60"/>
  <c r="S57" i="60"/>
  <c r="L3" i="61"/>
  <c r="M39" i="60"/>
  <c r="AD3" i="61"/>
  <c r="AE39" i="60"/>
  <c r="G3" i="61"/>
  <c r="H39" i="60"/>
  <c r="R3" i="61"/>
  <c r="S39" i="60"/>
  <c r="AB3" i="61"/>
  <c r="AC39" i="60"/>
  <c r="J3" i="61"/>
  <c r="K39" i="60"/>
  <c r="O3" i="61"/>
  <c r="P39" i="60"/>
  <c r="Z3" i="61"/>
  <c r="AA39" i="60"/>
  <c r="M3" i="61"/>
  <c r="N39" i="60"/>
  <c r="W3" i="61"/>
  <c r="X39" i="60"/>
  <c r="K3" i="61"/>
  <c r="L39" i="60"/>
  <c r="H106" i="61"/>
  <c r="H132" i="61" s="1"/>
  <c r="Y3" i="61"/>
  <c r="Z39" i="60"/>
  <c r="T3" i="61"/>
  <c r="U39" i="60"/>
  <c r="P3" i="61"/>
  <c r="Q39" i="60"/>
  <c r="S3" i="61"/>
  <c r="T39" i="60"/>
  <c r="U3" i="61"/>
  <c r="V39" i="60"/>
  <c r="H39" i="61"/>
  <c r="V3" i="61"/>
  <c r="W39" i="60"/>
  <c r="F3" i="61"/>
  <c r="G39" i="60"/>
  <c r="X3" i="61"/>
  <c r="Y39" i="60"/>
  <c r="AA3" i="61"/>
  <c r="AB39" i="60"/>
  <c r="AC3" i="61"/>
  <c r="AD39" i="60"/>
  <c r="N3" i="61"/>
  <c r="O39" i="60"/>
  <c r="Q3" i="61"/>
  <c r="R39" i="60"/>
  <c r="E3" i="61"/>
  <c r="F39" i="60"/>
  <c r="L104" i="43"/>
  <c r="L106" i="43" s="1"/>
  <c r="O63" i="58"/>
  <c r="S65" i="58"/>
  <c r="P107" i="43"/>
  <c r="C97" i="43"/>
  <c r="C316" i="43" s="1"/>
  <c r="J347" i="43"/>
  <c r="D347" i="43"/>
  <c r="H347" i="43"/>
  <c r="F347" i="43"/>
  <c r="D348" i="43"/>
  <c r="L348" i="43"/>
  <c r="H348" i="43"/>
  <c r="N348" i="43"/>
  <c r="J348" i="43"/>
  <c r="K348" i="43"/>
  <c r="M348" i="43"/>
  <c r="F348" i="43"/>
  <c r="G348" i="43"/>
  <c r="I348" i="43"/>
  <c r="I347" i="43"/>
  <c r="G347" i="43"/>
  <c r="C102" i="43"/>
  <c r="J4" i="60"/>
  <c r="D173" i="43"/>
  <c r="K147" i="43"/>
  <c r="S52" i="58"/>
  <c r="Q54" i="58"/>
  <c r="Q62" i="58"/>
  <c r="Q64" i="58"/>
  <c r="R53" i="58"/>
  <c r="R55" i="58"/>
  <c r="AS35" i="59" l="1"/>
  <c r="O300" i="43"/>
  <c r="P299" i="43"/>
  <c r="P331" i="43" s="1"/>
  <c r="P58" i="58"/>
  <c r="N113" i="61"/>
  <c r="AT13" i="59"/>
  <c r="Q98" i="43"/>
  <c r="Q299" i="43" s="1"/>
  <c r="Q331" i="43" s="1"/>
  <c r="AX6" i="59"/>
  <c r="AX34" i="59" s="1"/>
  <c r="R107" i="61"/>
  <c r="P57" i="58"/>
  <c r="AT12" i="59"/>
  <c r="N112" i="61"/>
  <c r="N102" i="43"/>
  <c r="Q60" i="58"/>
  <c r="AU15" i="59"/>
  <c r="O115" i="61"/>
  <c r="AT19" i="59"/>
  <c r="AT36" i="59" s="1"/>
  <c r="N118" i="61"/>
  <c r="Q61" i="58"/>
  <c r="AU16" i="59"/>
  <c r="O116" i="61"/>
  <c r="P101" i="43"/>
  <c r="AW10" i="59"/>
  <c r="Q110" i="61"/>
  <c r="Q56" i="58"/>
  <c r="AU11" i="59"/>
  <c r="O111" i="61"/>
  <c r="Q59" i="58"/>
  <c r="AU14" i="59"/>
  <c r="O114" i="61"/>
  <c r="O100" i="43"/>
  <c r="O102" i="43" s="1"/>
  <c r="AV9" i="59"/>
  <c r="P109" i="61"/>
  <c r="P99" i="43"/>
  <c r="AW8" i="59"/>
  <c r="Q108" i="61"/>
  <c r="O105" i="43"/>
  <c r="AV20" i="59"/>
  <c r="P119" i="61"/>
  <c r="AX22" i="59"/>
  <c r="AX37" i="59" s="1"/>
  <c r="R120" i="61"/>
  <c r="O103" i="43"/>
  <c r="AV18" i="59"/>
  <c r="P117" i="61"/>
  <c r="O309" i="43"/>
  <c r="P306" i="43"/>
  <c r="P320" i="43" s="1"/>
  <c r="P307" i="43"/>
  <c r="P334" i="43" s="1"/>
  <c r="P308" i="43"/>
  <c r="L291" i="43"/>
  <c r="L290" i="43"/>
  <c r="L333" i="43" s="1"/>
  <c r="L289" i="43"/>
  <c r="L319" i="43" s="1"/>
  <c r="K292" i="43"/>
  <c r="E247" i="43"/>
  <c r="E244" i="43" s="1"/>
  <c r="C280" i="43" s="1"/>
  <c r="C318" i="43" s="1"/>
  <c r="AB39" i="61"/>
  <c r="L75" i="61"/>
  <c r="T106" i="61"/>
  <c r="T132" i="61" s="1"/>
  <c r="T39" i="61"/>
  <c r="AC39" i="61"/>
  <c r="W39" i="61"/>
  <c r="P75" i="61"/>
  <c r="P39" i="61"/>
  <c r="J75" i="61"/>
  <c r="J39" i="61"/>
  <c r="J106" i="61"/>
  <c r="J132" i="61" s="1"/>
  <c r="G39" i="61"/>
  <c r="V106" i="61"/>
  <c r="V132" i="61" s="1"/>
  <c r="AD106" i="61"/>
  <c r="AD132" i="61" s="1"/>
  <c r="P106" i="61"/>
  <c r="P132" i="61" s="1"/>
  <c r="L39" i="61"/>
  <c r="W75" i="61"/>
  <c r="M39" i="61"/>
  <c r="T75" i="61"/>
  <c r="V75" i="61"/>
  <c r="M75" i="61"/>
  <c r="K347" i="43"/>
  <c r="G106" i="61"/>
  <c r="G132" i="61" s="1"/>
  <c r="K106" i="61"/>
  <c r="K132" i="61" s="1"/>
  <c r="K75" i="61"/>
  <c r="O75" i="61"/>
  <c r="K39" i="61"/>
  <c r="O106" i="61"/>
  <c r="O132" i="61" s="1"/>
  <c r="O39" i="61"/>
  <c r="G75" i="61"/>
  <c r="U22" i="60"/>
  <c r="T57" i="60"/>
  <c r="N75" i="61"/>
  <c r="N106" i="61"/>
  <c r="N132" i="61" s="1"/>
  <c r="W23" i="60"/>
  <c r="W58" i="60" s="1"/>
  <c r="N39" i="61"/>
  <c r="U21" i="60"/>
  <c r="T56" i="60"/>
  <c r="F106" i="61"/>
  <c r="F132" i="61" s="1"/>
  <c r="U20" i="60"/>
  <c r="T55" i="60"/>
  <c r="Y75" i="61"/>
  <c r="U39" i="61"/>
  <c r="Y106" i="61"/>
  <c r="Y132" i="61" s="1"/>
  <c r="S106" i="61"/>
  <c r="S132" i="61" s="1"/>
  <c r="U106" i="61"/>
  <c r="U132" i="61" s="1"/>
  <c r="Z106" i="61"/>
  <c r="Z132" i="61" s="1"/>
  <c r="X75" i="61"/>
  <c r="S39" i="61"/>
  <c r="R106" i="61"/>
  <c r="R132" i="61" s="1"/>
  <c r="S75" i="61"/>
  <c r="R75" i="61"/>
  <c r="Y39" i="61"/>
  <c r="E75" i="61"/>
  <c r="V39" i="61"/>
  <c r="Z75" i="61"/>
  <c r="F75" i="61"/>
  <c r="R39" i="61"/>
  <c r="X106" i="61"/>
  <c r="X132" i="61" s="1"/>
  <c r="AD75" i="61"/>
  <c r="E39" i="61"/>
  <c r="AA106" i="61"/>
  <c r="AA132" i="61" s="1"/>
  <c r="X39" i="61"/>
  <c r="I3" i="61"/>
  <c r="J39" i="60"/>
  <c r="Z39" i="61"/>
  <c r="Q106" i="61"/>
  <c r="Q132" i="61" s="1"/>
  <c r="AA75" i="61"/>
  <c r="F39" i="61"/>
  <c r="AD39" i="61"/>
  <c r="Q75" i="61"/>
  <c r="E106" i="61"/>
  <c r="E132" i="61" s="1"/>
  <c r="AA39" i="61"/>
  <c r="AB106" i="61"/>
  <c r="AB132" i="61" s="1"/>
  <c r="AC106" i="61"/>
  <c r="AC132" i="61" s="1"/>
  <c r="Q39" i="61"/>
  <c r="U75" i="61"/>
  <c r="W106" i="61"/>
  <c r="W132" i="61" s="1"/>
  <c r="M106" i="61"/>
  <c r="M132" i="61" s="1"/>
  <c r="AB75" i="61"/>
  <c r="L106" i="61"/>
  <c r="L132" i="61" s="1"/>
  <c r="AC75" i="61"/>
  <c r="M104" i="43"/>
  <c r="M106" i="43" s="1"/>
  <c r="P63" i="58"/>
  <c r="O348" i="43"/>
  <c r="T65" i="58"/>
  <c r="Q107" i="43"/>
  <c r="E348" i="43"/>
  <c r="E347" i="43"/>
  <c r="C110" i="43"/>
  <c r="T52" i="58"/>
  <c r="R54" i="58"/>
  <c r="R64" i="58"/>
  <c r="S53" i="58"/>
  <c r="R62" i="58"/>
  <c r="S55" i="58"/>
  <c r="AT35" i="59" l="1"/>
  <c r="P300" i="43"/>
  <c r="Q298" i="43"/>
  <c r="Q317" i="43" s="1"/>
  <c r="Q57" i="58"/>
  <c r="AU12" i="59"/>
  <c r="O112" i="61"/>
  <c r="R98" i="43"/>
  <c r="R299" i="43" s="1"/>
  <c r="R331" i="43" s="1"/>
  <c r="AY6" i="59"/>
  <c r="AY34" i="59" s="1"/>
  <c r="S107" i="61"/>
  <c r="Q58" i="58"/>
  <c r="AU13" i="59"/>
  <c r="O113" i="61"/>
  <c r="Q99" i="43"/>
  <c r="AX8" i="59"/>
  <c r="R108" i="61"/>
  <c r="AY22" i="59"/>
  <c r="AY37" i="59" s="1"/>
  <c r="S120" i="61"/>
  <c r="R61" i="58"/>
  <c r="AV16" i="59"/>
  <c r="P116" i="61"/>
  <c r="P103" i="43"/>
  <c r="AW18" i="59"/>
  <c r="Q117" i="61"/>
  <c r="AU19" i="59"/>
  <c r="AU36" i="59" s="1"/>
  <c r="O118" i="61"/>
  <c r="P105" i="43"/>
  <c r="AW20" i="59"/>
  <c r="Q119" i="61"/>
  <c r="P100" i="43"/>
  <c r="P102" i="43" s="1"/>
  <c r="AW9" i="59"/>
  <c r="Q109" i="61"/>
  <c r="R60" i="58"/>
  <c r="AV15" i="59"/>
  <c r="P115" i="61"/>
  <c r="R56" i="58"/>
  <c r="AV11" i="59"/>
  <c r="P111" i="61"/>
  <c r="Q101" i="43"/>
  <c r="AX10" i="59"/>
  <c r="R110" i="61"/>
  <c r="R59" i="58"/>
  <c r="AV14" i="59"/>
  <c r="P114" i="61"/>
  <c r="C323" i="43"/>
  <c r="C36" i="43" s="1"/>
  <c r="P309" i="43"/>
  <c r="Q307" i="43"/>
  <c r="Q334" i="43" s="1"/>
  <c r="Q306" i="43"/>
  <c r="Q320" i="43" s="1"/>
  <c r="Q308" i="43"/>
  <c r="L292" i="43"/>
  <c r="M291" i="43"/>
  <c r="M289" i="43"/>
  <c r="M319" i="43" s="1"/>
  <c r="M290" i="43"/>
  <c r="M333" i="43" s="1"/>
  <c r="E246" i="43"/>
  <c r="C282" i="43" s="1"/>
  <c r="C346" i="43" s="1"/>
  <c r="E245" i="43"/>
  <c r="D280" i="43"/>
  <c r="D318" i="43" s="1"/>
  <c r="V20" i="60"/>
  <c r="U55" i="60"/>
  <c r="X23" i="60"/>
  <c r="X58" i="60" s="1"/>
  <c r="V22" i="60"/>
  <c r="U57" i="60"/>
  <c r="V21" i="60"/>
  <c r="U56" i="60"/>
  <c r="I75" i="61"/>
  <c r="I106" i="61"/>
  <c r="I132" i="61" s="1"/>
  <c r="I39" i="61"/>
  <c r="L347" i="43"/>
  <c r="N104" i="43"/>
  <c r="N106" i="43" s="1"/>
  <c r="Q63" i="58"/>
  <c r="U65" i="58"/>
  <c r="R107" i="43"/>
  <c r="P348" i="43"/>
  <c r="U52" i="58"/>
  <c r="S62" i="58"/>
  <c r="S64" i="58"/>
  <c r="T53" i="58"/>
  <c r="T55" i="58"/>
  <c r="S54" i="58"/>
  <c r="AU35" i="59" l="1"/>
  <c r="R298" i="43"/>
  <c r="R317" i="43" s="1"/>
  <c r="Q300" i="43"/>
  <c r="R58" i="58"/>
  <c r="AV13" i="59"/>
  <c r="P113" i="61"/>
  <c r="S98" i="43"/>
  <c r="S298" i="43" s="1"/>
  <c r="S317" i="43" s="1"/>
  <c r="AZ6" i="59"/>
  <c r="AZ34" i="59" s="1"/>
  <c r="T107" i="61"/>
  <c r="P112" i="61"/>
  <c r="R57" i="58"/>
  <c r="AV12" i="59"/>
  <c r="R99" i="43"/>
  <c r="AY8" i="59"/>
  <c r="S108" i="61"/>
  <c r="S61" i="58"/>
  <c r="AW16" i="59"/>
  <c r="Q116" i="61"/>
  <c r="AV19" i="59"/>
  <c r="AV36" i="59" s="1"/>
  <c r="P118" i="61"/>
  <c r="Q105" i="43"/>
  <c r="AX20" i="59"/>
  <c r="R119" i="61"/>
  <c r="S56" i="58"/>
  <c r="AW11" i="59"/>
  <c r="Q111" i="61"/>
  <c r="S59" i="58"/>
  <c r="AW14" i="59"/>
  <c r="Q114" i="61"/>
  <c r="Q103" i="43"/>
  <c r="AX18" i="59"/>
  <c r="R117" i="61"/>
  <c r="Q100" i="43"/>
  <c r="Q102" i="43" s="1"/>
  <c r="Q282" i="43" s="1"/>
  <c r="AX9" i="59"/>
  <c r="R109" i="61"/>
  <c r="AZ22" i="59"/>
  <c r="AZ37" i="59" s="1"/>
  <c r="T120" i="61"/>
  <c r="R101" i="43"/>
  <c r="AY10" i="59"/>
  <c r="S110" i="61"/>
  <c r="S60" i="58"/>
  <c r="AW15" i="59"/>
  <c r="Q115" i="61"/>
  <c r="C35" i="43"/>
  <c r="C39" i="43"/>
  <c r="C33" i="43"/>
  <c r="C38" i="43"/>
  <c r="C37" i="43"/>
  <c r="C34" i="43"/>
  <c r="C4" i="43"/>
  <c r="Q309" i="43"/>
  <c r="R308" i="43"/>
  <c r="R307" i="43"/>
  <c r="R334" i="43" s="1"/>
  <c r="R306" i="43"/>
  <c r="R320" i="43" s="1"/>
  <c r="R300" i="43"/>
  <c r="N290" i="43"/>
  <c r="N333" i="43" s="1"/>
  <c r="N289" i="43"/>
  <c r="N319" i="43" s="1"/>
  <c r="N291" i="43"/>
  <c r="M292" i="43"/>
  <c r="H280" i="43"/>
  <c r="H318" i="43" s="1"/>
  <c r="P280" i="43"/>
  <c r="P318" i="43" s="1"/>
  <c r="I280" i="43"/>
  <c r="I318" i="43" s="1"/>
  <c r="J280" i="43"/>
  <c r="J318" i="43" s="1"/>
  <c r="K280" i="43"/>
  <c r="K318" i="43" s="1"/>
  <c r="L280" i="43"/>
  <c r="L318" i="43" s="1"/>
  <c r="E280" i="43"/>
  <c r="E318" i="43" s="1"/>
  <c r="M280" i="43"/>
  <c r="M318" i="43" s="1"/>
  <c r="F280" i="43"/>
  <c r="F318" i="43" s="1"/>
  <c r="N280" i="43"/>
  <c r="N318" i="43" s="1"/>
  <c r="G280" i="43"/>
  <c r="G318" i="43" s="1"/>
  <c r="O280" i="43"/>
  <c r="O318" i="43" s="1"/>
  <c r="D282" i="43"/>
  <c r="M282" i="43"/>
  <c r="F282" i="43"/>
  <c r="N282" i="43"/>
  <c r="E282" i="43"/>
  <c r="G282" i="43"/>
  <c r="O282" i="43"/>
  <c r="H282" i="43"/>
  <c r="P282" i="43"/>
  <c r="I282" i="43"/>
  <c r="J282" i="43"/>
  <c r="K282" i="43"/>
  <c r="L282" i="43"/>
  <c r="F245" i="43"/>
  <c r="C281" i="43"/>
  <c r="C332" i="43" s="1"/>
  <c r="C337" i="43" s="1"/>
  <c r="C47" i="43" s="1"/>
  <c r="F244" i="43"/>
  <c r="C351" i="43"/>
  <c r="W21" i="60"/>
  <c r="V56" i="60"/>
  <c r="Y23" i="60"/>
  <c r="Y58" i="60" s="1"/>
  <c r="W22" i="60"/>
  <c r="V57" i="60"/>
  <c r="W20" i="60"/>
  <c r="V55" i="60"/>
  <c r="O104" i="43"/>
  <c r="O106" i="43" s="1"/>
  <c r="R63" i="58"/>
  <c r="M347" i="43"/>
  <c r="V65" i="58"/>
  <c r="S107" i="43"/>
  <c r="Q348" i="43"/>
  <c r="V52" i="58"/>
  <c r="U55" i="58"/>
  <c r="U53" i="58"/>
  <c r="T62" i="58"/>
  <c r="T54" i="58"/>
  <c r="T64" i="58"/>
  <c r="AV35" i="59" l="1"/>
  <c r="S299" i="43"/>
  <c r="S331" i="43" s="1"/>
  <c r="AW12" i="59"/>
  <c r="Q112" i="61"/>
  <c r="S57" i="58"/>
  <c r="T98" i="43"/>
  <c r="T299" i="43" s="1"/>
  <c r="T331" i="43" s="1"/>
  <c r="BA6" i="59"/>
  <c r="BA34" i="59" s="1"/>
  <c r="U107" i="61"/>
  <c r="S58" i="58"/>
  <c r="Q113" i="61"/>
  <c r="AW13" i="59"/>
  <c r="Q280" i="43"/>
  <c r="Q318" i="43" s="1"/>
  <c r="R100" i="43"/>
  <c r="R102" i="43" s="1"/>
  <c r="R282" i="43" s="1"/>
  <c r="AY9" i="59"/>
  <c r="S109" i="61"/>
  <c r="T61" i="58"/>
  <c r="AX16" i="59"/>
  <c r="R116" i="61"/>
  <c r="R103" i="43"/>
  <c r="AY18" i="59"/>
  <c r="S117" i="61"/>
  <c r="AW19" i="59"/>
  <c r="AW36" i="59" s="1"/>
  <c r="Q118" i="61"/>
  <c r="S99" i="43"/>
  <c r="AZ8" i="59"/>
  <c r="T108" i="61"/>
  <c r="T59" i="58"/>
  <c r="AX14" i="59"/>
  <c r="R114" i="61"/>
  <c r="T60" i="58"/>
  <c r="AX15" i="59"/>
  <c r="R115" i="61"/>
  <c r="S101" i="43"/>
  <c r="AZ10" i="59"/>
  <c r="T110" i="61"/>
  <c r="V55" i="58"/>
  <c r="T56" i="58"/>
  <c r="AX11" i="59"/>
  <c r="R111" i="61"/>
  <c r="R105" i="43"/>
  <c r="AY20" i="59"/>
  <c r="S119" i="61"/>
  <c r="BA22" i="59"/>
  <c r="BA37" i="59" s="1"/>
  <c r="U120" i="61"/>
  <c r="AJ74" i="59"/>
  <c r="AJ75" i="59"/>
  <c r="AJ70" i="59"/>
  <c r="AJ71" i="59"/>
  <c r="AJ72" i="59"/>
  <c r="AJ73" i="59"/>
  <c r="C41" i="43"/>
  <c r="C61" i="43"/>
  <c r="C62" i="43"/>
  <c r="C63" i="43"/>
  <c r="C67" i="43"/>
  <c r="C68" i="43"/>
  <c r="C66" i="43"/>
  <c r="C65" i="43"/>
  <c r="C64" i="43"/>
  <c r="C51" i="43"/>
  <c r="C49" i="43"/>
  <c r="C52" i="43"/>
  <c r="C53" i="43"/>
  <c r="C54" i="43"/>
  <c r="C48" i="43"/>
  <c r="C50" i="43"/>
  <c r="C352" i="43"/>
  <c r="C6" i="43"/>
  <c r="R309" i="43"/>
  <c r="S307" i="43"/>
  <c r="S334" i="43" s="1"/>
  <c r="S306" i="43"/>
  <c r="S320" i="43" s="1"/>
  <c r="S308" i="43"/>
  <c r="C283" i="43"/>
  <c r="D281" i="43"/>
  <c r="D332" i="43" s="1"/>
  <c r="O291" i="43"/>
  <c r="O290" i="43"/>
  <c r="O333" i="43" s="1"/>
  <c r="O289" i="43"/>
  <c r="O319" i="43" s="1"/>
  <c r="N292" i="43"/>
  <c r="J281" i="43"/>
  <c r="J332" i="43" s="1"/>
  <c r="K281" i="43"/>
  <c r="K332" i="43" s="1"/>
  <c r="L281" i="43"/>
  <c r="L332" i="43" s="1"/>
  <c r="E281" i="43"/>
  <c r="E332" i="43" s="1"/>
  <c r="M281" i="43"/>
  <c r="M332" i="43" s="1"/>
  <c r="F281" i="43"/>
  <c r="F332" i="43" s="1"/>
  <c r="N281" i="43"/>
  <c r="N332" i="43" s="1"/>
  <c r="G281" i="43"/>
  <c r="G332" i="43" s="1"/>
  <c r="O281" i="43"/>
  <c r="O332" i="43" s="1"/>
  <c r="H281" i="43"/>
  <c r="H332" i="43" s="1"/>
  <c r="P281" i="43"/>
  <c r="P332" i="43" s="1"/>
  <c r="I281" i="43"/>
  <c r="I332" i="43" s="1"/>
  <c r="Q281" i="43"/>
  <c r="Q332" i="43" s="1"/>
  <c r="X20" i="60"/>
  <c r="W55" i="60"/>
  <c r="Z23" i="60"/>
  <c r="Z58" i="60" s="1"/>
  <c r="X22" i="60"/>
  <c r="W57" i="60"/>
  <c r="X21" i="60"/>
  <c r="W56" i="60"/>
  <c r="N347" i="43"/>
  <c r="U54" i="58"/>
  <c r="P104" i="43"/>
  <c r="P106" i="43" s="1"/>
  <c r="S63" i="58"/>
  <c r="W52" i="58"/>
  <c r="U62" i="58"/>
  <c r="U64" i="58"/>
  <c r="W65" i="58"/>
  <c r="T107" i="43"/>
  <c r="R348" i="43"/>
  <c r="V53" i="58"/>
  <c r="W55" i="58"/>
  <c r="AW35" i="59" l="1"/>
  <c r="S300" i="43"/>
  <c r="T298" i="43"/>
  <c r="T317" i="43" s="1"/>
  <c r="R281" i="43"/>
  <c r="R332" i="43" s="1"/>
  <c r="R280" i="43"/>
  <c r="R318" i="43" s="1"/>
  <c r="U98" i="43"/>
  <c r="U298" i="43" s="1"/>
  <c r="U317" i="43" s="1"/>
  <c r="BB6" i="59"/>
  <c r="BB34" i="59" s="1"/>
  <c r="V107" i="61"/>
  <c r="T58" i="58"/>
  <c r="R113" i="61"/>
  <c r="AX13" i="59"/>
  <c r="AX12" i="59"/>
  <c r="R112" i="61"/>
  <c r="T57" i="58"/>
  <c r="U59" i="58"/>
  <c r="AY14" i="59"/>
  <c r="S114" i="61"/>
  <c r="U101" i="43"/>
  <c r="BB10" i="59"/>
  <c r="V110" i="61"/>
  <c r="AX19" i="59"/>
  <c r="AX36" i="59" s="1"/>
  <c r="R118" i="61"/>
  <c r="U56" i="58"/>
  <c r="AY11" i="59"/>
  <c r="S111" i="61"/>
  <c r="T99" i="43"/>
  <c r="BA8" i="59"/>
  <c r="U108" i="61"/>
  <c r="T101" i="43"/>
  <c r="BA10" i="59"/>
  <c r="U110" i="61"/>
  <c r="U61" i="58"/>
  <c r="AY16" i="59"/>
  <c r="S116" i="61"/>
  <c r="S100" i="43"/>
  <c r="S102" i="43" s="1"/>
  <c r="S281" i="43" s="1"/>
  <c r="S332" i="43" s="1"/>
  <c r="AZ9" i="59"/>
  <c r="T109" i="61"/>
  <c r="U60" i="58"/>
  <c r="AY15" i="59"/>
  <c r="S115" i="61"/>
  <c r="S103" i="43"/>
  <c r="AZ18" i="59"/>
  <c r="T117" i="61"/>
  <c r="BB22" i="59"/>
  <c r="BB37" i="59" s="1"/>
  <c r="V120" i="61"/>
  <c r="S105" i="43"/>
  <c r="AZ20" i="59"/>
  <c r="T119" i="61"/>
  <c r="AJ101" i="59"/>
  <c r="AJ96" i="59"/>
  <c r="AJ97" i="59"/>
  <c r="AJ98" i="59"/>
  <c r="AJ99" i="59"/>
  <c r="AJ100" i="59"/>
  <c r="C24" i="43"/>
  <c r="AJ76" i="59"/>
  <c r="C25" i="43"/>
  <c r="AJ85" i="59"/>
  <c r="AJ86" i="59"/>
  <c r="AJ87" i="59"/>
  <c r="AJ88" i="59"/>
  <c r="AJ83" i="59"/>
  <c r="AJ84" i="59"/>
  <c r="C69" i="43"/>
  <c r="G346" i="43"/>
  <c r="J346" i="43"/>
  <c r="N346" i="43"/>
  <c r="D346" i="43"/>
  <c r="O346" i="43"/>
  <c r="F346" i="43"/>
  <c r="Q346" i="43"/>
  <c r="P346" i="43"/>
  <c r="L346" i="43"/>
  <c r="M346" i="43"/>
  <c r="I346" i="43"/>
  <c r="H346" i="43"/>
  <c r="K346" i="43"/>
  <c r="C55" i="43"/>
  <c r="C26" i="43"/>
  <c r="E346" i="43"/>
  <c r="T308" i="43"/>
  <c r="T307" i="43"/>
  <c r="T334" i="43" s="1"/>
  <c r="T306" i="43"/>
  <c r="T320" i="43" s="1"/>
  <c r="S309" i="43"/>
  <c r="U299" i="43"/>
  <c r="U331" i="43" s="1"/>
  <c r="P289" i="43"/>
  <c r="P319" i="43" s="1"/>
  <c r="P291" i="43"/>
  <c r="P290" i="43"/>
  <c r="P333" i="43" s="1"/>
  <c r="O292" i="43"/>
  <c r="Y21" i="60"/>
  <c r="X56" i="60"/>
  <c r="Y22" i="60"/>
  <c r="X57" i="60"/>
  <c r="AA23" i="60"/>
  <c r="AA58" i="60" s="1"/>
  <c r="Y20" i="60"/>
  <c r="X55" i="60"/>
  <c r="O347" i="43"/>
  <c r="Q104" i="43"/>
  <c r="Q106" i="43" s="1"/>
  <c r="T63" i="58"/>
  <c r="V54" i="58"/>
  <c r="W53" i="58"/>
  <c r="X52" i="58"/>
  <c r="V62" i="58"/>
  <c r="V64" i="58"/>
  <c r="X65" i="58"/>
  <c r="U107" i="43"/>
  <c r="S348" i="43"/>
  <c r="X55" i="58"/>
  <c r="AX35" i="59" l="1"/>
  <c r="T300" i="43"/>
  <c r="R346" i="43"/>
  <c r="V98" i="43"/>
  <c r="V299" i="43" s="1"/>
  <c r="V331" i="43" s="1"/>
  <c r="BC6" i="59"/>
  <c r="BC34" i="59" s="1"/>
  <c r="W107" i="61"/>
  <c r="U58" i="58"/>
  <c r="S113" i="61"/>
  <c r="AY13" i="59"/>
  <c r="U57" i="58"/>
  <c r="AY12" i="59"/>
  <c r="S112" i="61"/>
  <c r="AJ120" i="59"/>
  <c r="E11" i="58" s="1"/>
  <c r="E12" i="58" s="1"/>
  <c r="E13" i="58" s="1"/>
  <c r="E14" i="58" s="1"/>
  <c r="E15" i="58" s="1"/>
  <c r="E16" i="58" s="1"/>
  <c r="E17" i="58" s="1"/>
  <c r="E18" i="58" s="1"/>
  <c r="E19" i="58" s="1"/>
  <c r="AJ119" i="59"/>
  <c r="E10" i="58" s="1"/>
  <c r="AJ44" i="59" s="1"/>
  <c r="AJ55" i="59" s="1"/>
  <c r="V101" i="43"/>
  <c r="BC10" i="59"/>
  <c r="W110" i="61"/>
  <c r="V60" i="58"/>
  <c r="AZ15" i="59"/>
  <c r="T115" i="61"/>
  <c r="AY19" i="59"/>
  <c r="AY36" i="59" s="1"/>
  <c r="S118" i="61"/>
  <c r="BC22" i="59"/>
  <c r="BC37" i="59" s="1"/>
  <c r="W120" i="61"/>
  <c r="U99" i="43"/>
  <c r="BB8" i="59"/>
  <c r="V108" i="61"/>
  <c r="T100" i="43"/>
  <c r="T102" i="43" s="1"/>
  <c r="T280" i="43" s="1"/>
  <c r="T318" i="43" s="1"/>
  <c r="BA9" i="59"/>
  <c r="U109" i="61"/>
  <c r="S282" i="43"/>
  <c r="T105" i="43"/>
  <c r="BA20" i="59"/>
  <c r="U119" i="61"/>
  <c r="T103" i="43"/>
  <c r="BA18" i="59"/>
  <c r="U117" i="61"/>
  <c r="V61" i="58"/>
  <c r="AZ16" i="59"/>
  <c r="T116" i="61"/>
  <c r="S280" i="43"/>
  <c r="S318" i="43" s="1"/>
  <c r="S346" i="43" s="1"/>
  <c r="V56" i="58"/>
  <c r="AZ11" i="59"/>
  <c r="T111" i="61"/>
  <c r="V59" i="58"/>
  <c r="AZ14" i="59"/>
  <c r="T114" i="61"/>
  <c r="AJ121" i="59"/>
  <c r="E20" i="58" s="1"/>
  <c r="E21" i="58" s="1"/>
  <c r="E22" i="58" s="1"/>
  <c r="AJ123" i="59"/>
  <c r="AJ122" i="59"/>
  <c r="AJ102" i="59"/>
  <c r="AJ89" i="59"/>
  <c r="C27" i="43"/>
  <c r="U308" i="43"/>
  <c r="U306" i="43"/>
  <c r="U320" i="43" s="1"/>
  <c r="U307" i="43"/>
  <c r="U334" i="43" s="1"/>
  <c r="T309" i="43"/>
  <c r="U300" i="43"/>
  <c r="Q290" i="43"/>
  <c r="Q333" i="43" s="1"/>
  <c r="Q291" i="43"/>
  <c r="Q289" i="43"/>
  <c r="Q319" i="43" s="1"/>
  <c r="P292" i="43"/>
  <c r="AB23" i="60"/>
  <c r="AB58" i="60" s="1"/>
  <c r="Z22" i="60"/>
  <c r="Y57" i="60"/>
  <c r="Z20" i="60"/>
  <c r="Y55" i="60"/>
  <c r="Z21" i="60"/>
  <c r="Y56" i="60"/>
  <c r="W54" i="58"/>
  <c r="P347" i="43"/>
  <c r="W62" i="58"/>
  <c r="X53" i="58"/>
  <c r="Y53" i="58" s="1"/>
  <c r="R104" i="43"/>
  <c r="R106" i="43" s="1"/>
  <c r="U63" i="58"/>
  <c r="Y52" i="58"/>
  <c r="W64" i="58"/>
  <c r="T348" i="43"/>
  <c r="Y65" i="58"/>
  <c r="V107" i="43"/>
  <c r="Y55" i="58"/>
  <c r="AY35" i="59" l="1"/>
  <c r="T282" i="43"/>
  <c r="T281" i="43"/>
  <c r="T332" i="43" s="1"/>
  <c r="V298" i="43"/>
  <c r="V317" i="43" s="1"/>
  <c r="AZ12" i="59"/>
  <c r="T112" i="61"/>
  <c r="V57" i="58"/>
  <c r="V58" i="58"/>
  <c r="AZ13" i="59"/>
  <c r="T113" i="61"/>
  <c r="W98" i="43"/>
  <c r="W298" i="43" s="1"/>
  <c r="W317" i="43" s="1"/>
  <c r="BD6" i="59"/>
  <c r="BD34" i="59" s="1"/>
  <c r="X107" i="61"/>
  <c r="W99" i="43"/>
  <c r="BD8" i="59"/>
  <c r="X108" i="61"/>
  <c r="W60" i="58"/>
  <c r="BA15" i="59"/>
  <c r="U115" i="61"/>
  <c r="BD22" i="59"/>
  <c r="BD37" i="59" s="1"/>
  <c r="X120" i="61"/>
  <c r="W61" i="58"/>
  <c r="BA16" i="59"/>
  <c r="U116" i="61"/>
  <c r="U103" i="43"/>
  <c r="BB18" i="59"/>
  <c r="V117" i="61"/>
  <c r="W59" i="58"/>
  <c r="BA14" i="59"/>
  <c r="U114" i="61"/>
  <c r="U100" i="43"/>
  <c r="U102" i="43" s="1"/>
  <c r="U282" i="43" s="1"/>
  <c r="BB9" i="59"/>
  <c r="V109" i="61"/>
  <c r="U105" i="43"/>
  <c r="BB20" i="59"/>
  <c r="V119" i="61"/>
  <c r="X62" i="58"/>
  <c r="Y62" i="58" s="1"/>
  <c r="AZ19" i="59"/>
  <c r="AZ36" i="59" s="1"/>
  <c r="T118" i="61"/>
  <c r="W56" i="58"/>
  <c r="BA11" i="59"/>
  <c r="U111" i="61"/>
  <c r="W101" i="43"/>
  <c r="BD10" i="59"/>
  <c r="X110" i="61"/>
  <c r="X54" i="58"/>
  <c r="V99" i="43"/>
  <c r="BC8" i="59"/>
  <c r="W108" i="61"/>
  <c r="E24" i="58"/>
  <c r="AJ48" i="59" s="1"/>
  <c r="AJ59" i="59" s="1"/>
  <c r="E23" i="58"/>
  <c r="AK123" i="59"/>
  <c r="AJ46" i="59"/>
  <c r="AJ57" i="59" s="1"/>
  <c r="U309" i="43"/>
  <c r="V300" i="43"/>
  <c r="V307" i="43"/>
  <c r="V334" i="43" s="1"/>
  <c r="V308" i="43"/>
  <c r="V306" i="43"/>
  <c r="R289" i="43"/>
  <c r="R319" i="43" s="1"/>
  <c r="R291" i="43"/>
  <c r="R290" i="43"/>
  <c r="R333" i="43" s="1"/>
  <c r="Q292" i="43"/>
  <c r="T346" i="43"/>
  <c r="AA21" i="60"/>
  <c r="Z56" i="60"/>
  <c r="AA22" i="60"/>
  <c r="Z57" i="60"/>
  <c r="AA20" i="60"/>
  <c r="Z55" i="60"/>
  <c r="AC23" i="60"/>
  <c r="AC58" i="60" s="1"/>
  <c r="Q347" i="43"/>
  <c r="Z52" i="58"/>
  <c r="AA52" i="58" s="1"/>
  <c r="S104" i="43"/>
  <c r="S106" i="43" s="1"/>
  <c r="V63" i="58"/>
  <c r="X64" i="58"/>
  <c r="U348" i="43"/>
  <c r="Z65" i="58"/>
  <c r="W107" i="43"/>
  <c r="Z53" i="58"/>
  <c r="Y54" i="58"/>
  <c r="Z55" i="58"/>
  <c r="AZ35" i="59" l="1"/>
  <c r="U280" i="43"/>
  <c r="U318" i="43" s="1"/>
  <c r="U281" i="43"/>
  <c r="U332" i="43" s="1"/>
  <c r="W299" i="43"/>
  <c r="W331" i="43" s="1"/>
  <c r="Y98" i="43"/>
  <c r="Y298" i="43" s="1"/>
  <c r="Y317" i="43" s="1"/>
  <c r="BF6" i="59"/>
  <c r="BF34" i="59" s="1"/>
  <c r="Z107" i="61"/>
  <c r="W58" i="58"/>
  <c r="U113" i="61"/>
  <c r="BA13" i="59"/>
  <c r="W57" i="58"/>
  <c r="BA12" i="59"/>
  <c r="U112" i="61"/>
  <c r="X98" i="43"/>
  <c r="X299" i="43" s="1"/>
  <c r="X331" i="43" s="1"/>
  <c r="BE6" i="59"/>
  <c r="BE34" i="59" s="1"/>
  <c r="Y107" i="61"/>
  <c r="BA19" i="59"/>
  <c r="BA36" i="59" s="1"/>
  <c r="U118" i="61"/>
  <c r="X60" i="58"/>
  <c r="BB15" i="59"/>
  <c r="V115" i="61"/>
  <c r="V105" i="43"/>
  <c r="BC20" i="59"/>
  <c r="W119" i="61"/>
  <c r="W100" i="43"/>
  <c r="W102" i="43" s="1"/>
  <c r="W282" i="43" s="1"/>
  <c r="BD9" i="59"/>
  <c r="X109" i="61"/>
  <c r="X99" i="43"/>
  <c r="BE8" i="59"/>
  <c r="Y108" i="61"/>
  <c r="X56" i="58"/>
  <c r="BB11" i="59"/>
  <c r="V111" i="61"/>
  <c r="X59" i="58"/>
  <c r="BB14" i="59"/>
  <c r="V114" i="61"/>
  <c r="V100" i="43"/>
  <c r="V102" i="43" s="1"/>
  <c r="BC9" i="59"/>
  <c r="W109" i="61"/>
  <c r="X101" i="43"/>
  <c r="BE10" i="59"/>
  <c r="Y110" i="61"/>
  <c r="W103" i="43"/>
  <c r="BD18" i="59"/>
  <c r="X117" i="61"/>
  <c r="X61" i="58"/>
  <c r="BB16" i="59"/>
  <c r="V116" i="61"/>
  <c r="BE22" i="59"/>
  <c r="BE37" i="59" s="1"/>
  <c r="Y120" i="61"/>
  <c r="V103" i="43"/>
  <c r="BC18" i="59"/>
  <c r="W117" i="61"/>
  <c r="F24" i="58"/>
  <c r="AK48" i="59" s="1"/>
  <c r="AC23" i="58"/>
  <c r="AD23" i="58"/>
  <c r="AJ47" i="59"/>
  <c r="AJ58" i="59" s="1"/>
  <c r="AJ45" i="59"/>
  <c r="AJ56" i="59" s="1"/>
  <c r="V309" i="43"/>
  <c r="V320" i="43"/>
  <c r="V348" i="43" s="1"/>
  <c r="W306" i="43"/>
  <c r="W320" i="43" s="1"/>
  <c r="W308" i="43"/>
  <c r="W307" i="43"/>
  <c r="W334" i="43" s="1"/>
  <c r="W300" i="43"/>
  <c r="S291" i="43"/>
  <c r="S289" i="43"/>
  <c r="S319" i="43" s="1"/>
  <c r="S290" i="43"/>
  <c r="S333" i="43" s="1"/>
  <c r="R292" i="43"/>
  <c r="AB22" i="60"/>
  <c r="AA57" i="60"/>
  <c r="AD23" i="60"/>
  <c r="AD58" i="60" s="1"/>
  <c r="AB20" i="60"/>
  <c r="AA55" i="60"/>
  <c r="AB21" i="60"/>
  <c r="AA56" i="60"/>
  <c r="R347" i="43"/>
  <c r="T104" i="43"/>
  <c r="T106" i="43" s="1"/>
  <c r="W63" i="58"/>
  <c r="Y64" i="58"/>
  <c r="AA65" i="58"/>
  <c r="X107" i="43"/>
  <c r="AB52" i="58"/>
  <c r="Z62" i="58"/>
  <c r="Z54" i="58"/>
  <c r="AA55" i="58"/>
  <c r="AA53" i="58"/>
  <c r="BA35" i="59" l="1"/>
  <c r="Y299" i="43"/>
  <c r="Y331" i="43" s="1"/>
  <c r="U346" i="43"/>
  <c r="X298" i="43"/>
  <c r="X317" i="43" s="1"/>
  <c r="W281" i="43"/>
  <c r="W332" i="43" s="1"/>
  <c r="W280" i="43"/>
  <c r="W318" i="43" s="1"/>
  <c r="X57" i="58"/>
  <c r="BB12" i="59"/>
  <c r="V112" i="61"/>
  <c r="X58" i="58"/>
  <c r="V113" i="61"/>
  <c r="BB13" i="59"/>
  <c r="Z98" i="43"/>
  <c r="Z298" i="43" s="1"/>
  <c r="Z317" i="43" s="1"/>
  <c r="BG6" i="59"/>
  <c r="BG34" i="59" s="1"/>
  <c r="AA107" i="61"/>
  <c r="V280" i="43"/>
  <c r="V318" i="43" s="1"/>
  <c r="V281" i="43"/>
  <c r="V332" i="43" s="1"/>
  <c r="V282" i="43"/>
  <c r="Y61" i="58"/>
  <c r="BC16" i="59"/>
  <c r="W116" i="61"/>
  <c r="X100" i="43"/>
  <c r="X102" i="43" s="1"/>
  <c r="X281" i="43" s="1"/>
  <c r="X332" i="43" s="1"/>
  <c r="BE9" i="59"/>
  <c r="Y109" i="61"/>
  <c r="X103" i="43"/>
  <c r="BE18" i="59"/>
  <c r="Y117" i="61"/>
  <c r="Y60" i="58"/>
  <c r="BC15" i="59"/>
  <c r="W115" i="61"/>
  <c r="Y59" i="58"/>
  <c r="BC14" i="59"/>
  <c r="W114" i="61"/>
  <c r="Y99" i="43"/>
  <c r="BF8" i="59"/>
  <c r="Z108" i="61"/>
  <c r="BB19" i="59"/>
  <c r="BB36" i="59" s="1"/>
  <c r="V118" i="61"/>
  <c r="Y56" i="58"/>
  <c r="BC11" i="59"/>
  <c r="W111" i="61"/>
  <c r="BF22" i="59"/>
  <c r="BF37" i="59" s="1"/>
  <c r="Z120" i="61"/>
  <c r="W105" i="43"/>
  <c r="BD20" i="59"/>
  <c r="X119" i="61"/>
  <c r="Y101" i="43"/>
  <c r="BF10" i="59"/>
  <c r="Z110" i="61"/>
  <c r="X306" i="43"/>
  <c r="X320" i="43" s="1"/>
  <c r="X308" i="43"/>
  <c r="X307" i="43"/>
  <c r="X334" i="43" s="1"/>
  <c r="W309" i="43"/>
  <c r="Y300" i="43"/>
  <c r="T291" i="43"/>
  <c r="T290" i="43"/>
  <c r="T333" i="43" s="1"/>
  <c r="T289" i="43"/>
  <c r="T319" i="43" s="1"/>
  <c r="S292" i="43"/>
  <c r="AC21" i="60"/>
  <c r="AB56" i="60"/>
  <c r="AE23" i="60"/>
  <c r="AE58" i="60" s="1"/>
  <c r="AC20" i="60"/>
  <c r="AB55" i="60"/>
  <c r="AC22" i="60"/>
  <c r="AB57" i="60"/>
  <c r="S347" i="43"/>
  <c r="U104" i="43"/>
  <c r="U106" i="43" s="1"/>
  <c r="X63" i="58"/>
  <c r="Z64" i="58"/>
  <c r="AB65" i="58"/>
  <c r="Y107" i="43"/>
  <c r="W348" i="43"/>
  <c r="AC52" i="58"/>
  <c r="AB53" i="58"/>
  <c r="AA54" i="58"/>
  <c r="AA62" i="58"/>
  <c r="AB55" i="58"/>
  <c r="W346" i="43" l="1"/>
  <c r="BB35" i="59"/>
  <c r="X300" i="43"/>
  <c r="V346" i="43"/>
  <c r="Z299" i="43"/>
  <c r="Z331" i="43" s="1"/>
  <c r="Y58" i="58"/>
  <c r="W113" i="61"/>
  <c r="BC13" i="59"/>
  <c r="AA98" i="43"/>
  <c r="AA299" i="43" s="1"/>
  <c r="AA331" i="43" s="1"/>
  <c r="BH6" i="59"/>
  <c r="BH34" i="59" s="1"/>
  <c r="AB107" i="61"/>
  <c r="Y57" i="58"/>
  <c r="BC12" i="59"/>
  <c r="W112" i="61"/>
  <c r="X282" i="43"/>
  <c r="X280" i="43"/>
  <c r="X318" i="43" s="1"/>
  <c r="X346" i="43" s="1"/>
  <c r="Z56" i="58"/>
  <c r="BD11" i="59"/>
  <c r="X111" i="61"/>
  <c r="Z60" i="58"/>
  <c r="BD15" i="59"/>
  <c r="X115" i="61"/>
  <c r="Z101" i="43"/>
  <c r="BG10" i="59"/>
  <c r="AA110" i="61"/>
  <c r="Z59" i="58"/>
  <c r="BD14" i="59"/>
  <c r="X114" i="61"/>
  <c r="Z61" i="58"/>
  <c r="BD16" i="59"/>
  <c r="X116" i="61"/>
  <c r="BG22" i="59"/>
  <c r="BG37" i="59" s="1"/>
  <c r="AA120" i="61"/>
  <c r="X105" i="43"/>
  <c r="BE20" i="59"/>
  <c r="Y119" i="61"/>
  <c r="Y103" i="43"/>
  <c r="BF18" i="59"/>
  <c r="Z117" i="61"/>
  <c r="Y100" i="43"/>
  <c r="Y102" i="43" s="1"/>
  <c r="Y280" i="43" s="1"/>
  <c r="Y318" i="43" s="1"/>
  <c r="BF9" i="59"/>
  <c r="Z109" i="61"/>
  <c r="BC19" i="59"/>
  <c r="BC36" i="59" s="1"/>
  <c r="W118" i="61"/>
  <c r="Z99" i="43"/>
  <c r="BG8" i="59"/>
  <c r="AA108" i="61"/>
  <c r="Y306" i="43"/>
  <c r="Y320" i="43" s="1"/>
  <c r="Y307" i="43"/>
  <c r="Y334" i="43" s="1"/>
  <c r="Y308" i="43"/>
  <c r="X309" i="43"/>
  <c r="T292" i="43"/>
  <c r="U291" i="43"/>
  <c r="U289" i="43"/>
  <c r="U319" i="43" s="1"/>
  <c r="U290" i="43"/>
  <c r="U333" i="43" s="1"/>
  <c r="AD22" i="60"/>
  <c r="AC57" i="60"/>
  <c r="AD20" i="60"/>
  <c r="AC55" i="60"/>
  <c r="AD21" i="60"/>
  <c r="AC56" i="60"/>
  <c r="T347" i="43"/>
  <c r="AA64" i="58"/>
  <c r="V104" i="43"/>
  <c r="V106" i="43" s="1"/>
  <c r="Y63" i="58"/>
  <c r="X348" i="43"/>
  <c r="AC65" i="58"/>
  <c r="Z107" i="43"/>
  <c r="AD52" i="58"/>
  <c r="AB62" i="58"/>
  <c r="AC55" i="58"/>
  <c r="AB54" i="58"/>
  <c r="AC53" i="58"/>
  <c r="BC35" i="59" l="1"/>
  <c r="Z300" i="43"/>
  <c r="AA298" i="43"/>
  <c r="AA317" i="43" s="1"/>
  <c r="Z57" i="58"/>
  <c r="BD12" i="59"/>
  <c r="X112" i="61"/>
  <c r="AB98" i="43"/>
  <c r="AB299" i="43" s="1"/>
  <c r="AB331" i="43" s="1"/>
  <c r="BI6" i="59"/>
  <c r="BI34" i="59" s="1"/>
  <c r="AC107" i="61"/>
  <c r="Z58" i="58"/>
  <c r="X113" i="61"/>
  <c r="BD13" i="59"/>
  <c r="Y281" i="43"/>
  <c r="Y332" i="43" s="1"/>
  <c r="Y346" i="43" s="1"/>
  <c r="Y282" i="43"/>
  <c r="Z103" i="43"/>
  <c r="BG18" i="59"/>
  <c r="AA117" i="61"/>
  <c r="AA61" i="58"/>
  <c r="BE16" i="59"/>
  <c r="Y116" i="61"/>
  <c r="Z100" i="43"/>
  <c r="Z102" i="43" s="1"/>
  <c r="Z280" i="43" s="1"/>
  <c r="Z318" i="43" s="1"/>
  <c r="BG9" i="59"/>
  <c r="AA109" i="61"/>
  <c r="Y105" i="43"/>
  <c r="BF20" i="59"/>
  <c r="Z119" i="61"/>
  <c r="BH22" i="59"/>
  <c r="BH37" i="59" s="1"/>
  <c r="AB120" i="61"/>
  <c r="AA99" i="43"/>
  <c r="BH8" i="59"/>
  <c r="AB108" i="61"/>
  <c r="BD19" i="59"/>
  <c r="BD36" i="59" s="1"/>
  <c r="X118" i="61"/>
  <c r="AA60" i="58"/>
  <c r="BE15" i="59"/>
  <c r="Y115" i="61"/>
  <c r="AA101" i="43"/>
  <c r="BH10" i="59"/>
  <c r="AB110" i="61"/>
  <c r="AA59" i="58"/>
  <c r="BE14" i="59"/>
  <c r="Y114" i="61"/>
  <c r="AA56" i="58"/>
  <c r="BE11" i="59"/>
  <c r="Y111" i="61"/>
  <c r="Y309" i="43"/>
  <c r="Z306" i="43"/>
  <c r="Z320" i="43" s="1"/>
  <c r="Z308" i="43"/>
  <c r="Z307" i="43"/>
  <c r="Z334" i="43" s="1"/>
  <c r="U292" i="43"/>
  <c r="V289" i="43"/>
  <c r="V319" i="43" s="1"/>
  <c r="V290" i="43"/>
  <c r="V333" i="43" s="1"/>
  <c r="V291" i="43"/>
  <c r="AE21" i="60"/>
  <c r="AE56" i="60" s="1"/>
  <c r="AD56" i="60"/>
  <c r="AE20" i="60"/>
  <c r="AE55" i="60" s="1"/>
  <c r="AD55" i="60"/>
  <c r="AE22" i="60"/>
  <c r="AE57" i="60" s="1"/>
  <c r="AD57" i="60"/>
  <c r="AB64" i="58"/>
  <c r="U347" i="43"/>
  <c r="W104" i="43"/>
  <c r="W106" i="43" s="1"/>
  <c r="Z63" i="58"/>
  <c r="Y348" i="43"/>
  <c r="AD65" i="58"/>
  <c r="AA107" i="43"/>
  <c r="AE52" i="58"/>
  <c r="AC54" i="58"/>
  <c r="AD55" i="58"/>
  <c r="AC64" i="58"/>
  <c r="AD53" i="58"/>
  <c r="AC62" i="58"/>
  <c r="AA300" i="43" l="1"/>
  <c r="BD35" i="59"/>
  <c r="Z282" i="43"/>
  <c r="AB298" i="43"/>
  <c r="AB317" i="43" s="1"/>
  <c r="Z281" i="43"/>
  <c r="Z332" i="43" s="1"/>
  <c r="Z346" i="43" s="1"/>
  <c r="AA58" i="58"/>
  <c r="Y113" i="61"/>
  <c r="BE13" i="59"/>
  <c r="AC98" i="43"/>
  <c r="AC298" i="43" s="1"/>
  <c r="AC317" i="43" s="1"/>
  <c r="BJ6" i="59"/>
  <c r="BJ34" i="59" s="1"/>
  <c r="AD107" i="61"/>
  <c r="AA57" i="58"/>
  <c r="BE12" i="59"/>
  <c r="Y112" i="61"/>
  <c r="AA103" i="43"/>
  <c r="BH18" i="59"/>
  <c r="AB117" i="61"/>
  <c r="AB60" i="58"/>
  <c r="BF15" i="59"/>
  <c r="Z115" i="61"/>
  <c r="AB99" i="43"/>
  <c r="BI8" i="59"/>
  <c r="AC108" i="61"/>
  <c r="BE19" i="59"/>
  <c r="BE36" i="59" s="1"/>
  <c r="Y118" i="61"/>
  <c r="AB101" i="43"/>
  <c r="BI10" i="59"/>
  <c r="AC110" i="61"/>
  <c r="AB56" i="58"/>
  <c r="BF11" i="59"/>
  <c r="Z111" i="61"/>
  <c r="AA105" i="43"/>
  <c r="BH20" i="59"/>
  <c r="AB119" i="61"/>
  <c r="Z105" i="43"/>
  <c r="BG20" i="59"/>
  <c r="AA119" i="61"/>
  <c r="AB61" i="58"/>
  <c r="BF16" i="59"/>
  <c r="Z116" i="61"/>
  <c r="AA100" i="43"/>
  <c r="AA102" i="43" s="1"/>
  <c r="AA281" i="43" s="1"/>
  <c r="AA332" i="43" s="1"/>
  <c r="BH9" i="59"/>
  <c r="AB109" i="61"/>
  <c r="BI22" i="59"/>
  <c r="BI37" i="59" s="1"/>
  <c r="AC120" i="61"/>
  <c r="AB59" i="58"/>
  <c r="BF14" i="59"/>
  <c r="Z114" i="61"/>
  <c r="AA307" i="43"/>
  <c r="AA334" i="43" s="1"/>
  <c r="AA308" i="43"/>
  <c r="AA306" i="43"/>
  <c r="AA320" i="43" s="1"/>
  <c r="Z309" i="43"/>
  <c r="AB300" i="43"/>
  <c r="V292" i="43"/>
  <c r="W289" i="43"/>
  <c r="W319" i="43" s="1"/>
  <c r="W291" i="43"/>
  <c r="W290" i="43"/>
  <c r="W333" i="43" s="1"/>
  <c r="X104" i="43"/>
  <c r="X106" i="43" s="1"/>
  <c r="AA63" i="58"/>
  <c r="V347" i="43"/>
  <c r="AE65" i="58"/>
  <c r="AB107" i="43"/>
  <c r="Z348" i="43"/>
  <c r="AD62" i="58"/>
  <c r="AD64" i="58"/>
  <c r="AE53" i="58"/>
  <c r="AE55" i="58"/>
  <c r="AD54" i="58"/>
  <c r="BE35" i="59" l="1"/>
  <c r="C632" i="43"/>
  <c r="Q632" i="43" s="1"/>
  <c r="Q11" i="43" s="1"/>
  <c r="AC299" i="43"/>
  <c r="AC331" i="43" s="1"/>
  <c r="AA282" i="43"/>
  <c r="AA280" i="43"/>
  <c r="AA318" i="43" s="1"/>
  <c r="AA346" i="43" s="1"/>
  <c r="Z112" i="61"/>
  <c r="BF12" i="59"/>
  <c r="AB57" i="58"/>
  <c r="AB58" i="58"/>
  <c r="Z113" i="61"/>
  <c r="BF13" i="59"/>
  <c r="AB105" i="43"/>
  <c r="BI20" i="59"/>
  <c r="AC119" i="61"/>
  <c r="AC56" i="58"/>
  <c r="BG11" i="59"/>
  <c r="AA111" i="61"/>
  <c r="AB103" i="43"/>
  <c r="BI18" i="59"/>
  <c r="AC117" i="61"/>
  <c r="AC59" i="58"/>
  <c r="BG14" i="59"/>
  <c r="AA114" i="61"/>
  <c r="AC60" i="58"/>
  <c r="BG15" i="59"/>
  <c r="AA115" i="61"/>
  <c r="BF19" i="59"/>
  <c r="BF36" i="59" s="1"/>
  <c r="Z118" i="61"/>
  <c r="AC107" i="43"/>
  <c r="AC308" i="43" s="1"/>
  <c r="BJ22" i="59"/>
  <c r="BJ37" i="59" s="1"/>
  <c r="AD120" i="61"/>
  <c r="AC99" i="43"/>
  <c r="BJ8" i="59"/>
  <c r="AD108" i="61"/>
  <c r="AB100" i="43"/>
  <c r="AB102" i="43" s="1"/>
  <c r="AB282" i="43" s="1"/>
  <c r="BI9" i="59"/>
  <c r="AC109" i="61"/>
  <c r="AC61" i="58"/>
  <c r="BG16" i="59"/>
  <c r="AA116" i="61"/>
  <c r="AC101" i="43"/>
  <c r="BJ10" i="59"/>
  <c r="AD110" i="61"/>
  <c r="AB306" i="43"/>
  <c r="AB320" i="43" s="1"/>
  <c r="AB307" i="43"/>
  <c r="AB334" i="43" s="1"/>
  <c r="AB308" i="43"/>
  <c r="AA309" i="43"/>
  <c r="W292" i="43"/>
  <c r="X289" i="43"/>
  <c r="X319" i="43" s="1"/>
  <c r="X290" i="43"/>
  <c r="X333" i="43" s="1"/>
  <c r="X291" i="43"/>
  <c r="W347" i="43"/>
  <c r="Y104" i="43"/>
  <c r="Y106" i="43" s="1"/>
  <c r="AB63" i="58"/>
  <c r="AA348" i="43"/>
  <c r="AE64" i="58"/>
  <c r="AE54" i="58"/>
  <c r="AE62" i="58"/>
  <c r="C619" i="43"/>
  <c r="C8" i="43" s="1"/>
  <c r="C633" i="43"/>
  <c r="C620" i="43"/>
  <c r="C9" i="43" s="1"/>
  <c r="AC300" i="43" l="1"/>
  <c r="BF35" i="59"/>
  <c r="R632" i="43"/>
  <c r="R11" i="43" s="1"/>
  <c r="C621" i="43"/>
  <c r="C10" i="43" s="1"/>
  <c r="E632" i="43"/>
  <c r="E11" i="43" s="1"/>
  <c r="X632" i="43"/>
  <c r="X11" i="43" s="1"/>
  <c r="P632" i="43"/>
  <c r="P11" i="43" s="1"/>
  <c r="C11" i="43"/>
  <c r="C12" i="43"/>
  <c r="P633" i="43"/>
  <c r="P12" i="43" s="1"/>
  <c r="E633" i="43"/>
  <c r="E12" i="43" s="1"/>
  <c r="R633" i="43"/>
  <c r="R12" i="43" s="1"/>
  <c r="X633" i="43"/>
  <c r="X12" i="43" s="1"/>
  <c r="Q633" i="43"/>
  <c r="Q12" i="43" s="1"/>
  <c r="AB280" i="43"/>
  <c r="AB318" i="43" s="1"/>
  <c r="AC58" i="58"/>
  <c r="BG13" i="59"/>
  <c r="AA113" i="61"/>
  <c r="AA112" i="61"/>
  <c r="BG12" i="59"/>
  <c r="AC57" i="58"/>
  <c r="AB281" i="43"/>
  <c r="AB332" i="43" s="1"/>
  <c r="AD56" i="58"/>
  <c r="BH11" i="59"/>
  <c r="AB111" i="61"/>
  <c r="AD59" i="58"/>
  <c r="BH14" i="59"/>
  <c r="AB114" i="61"/>
  <c r="AC105" i="43"/>
  <c r="BJ20" i="59"/>
  <c r="AD119" i="61"/>
  <c r="AC306" i="43"/>
  <c r="AC320" i="43" s="1"/>
  <c r="AC103" i="43"/>
  <c r="BJ18" i="59"/>
  <c r="AD117" i="61"/>
  <c r="AC100" i="43"/>
  <c r="AC102" i="43" s="1"/>
  <c r="AC281" i="43" s="1"/>
  <c r="AC332" i="43" s="1"/>
  <c r="BJ9" i="59"/>
  <c r="AD109" i="61"/>
  <c r="AC307" i="43"/>
  <c r="AC334" i="43" s="1"/>
  <c r="AD61" i="58"/>
  <c r="BH16" i="59"/>
  <c r="AB116" i="61"/>
  <c r="BG19" i="59"/>
  <c r="BG36" i="59" s="1"/>
  <c r="AA118" i="61"/>
  <c r="AD60" i="58"/>
  <c r="BH15" i="59"/>
  <c r="AB115" i="61"/>
  <c r="AB309" i="43"/>
  <c r="Y290" i="43"/>
  <c r="Y333" i="43" s="1"/>
  <c r="Y291" i="43"/>
  <c r="Y289" i="43"/>
  <c r="Y319" i="43" s="1"/>
  <c r="X292" i="43"/>
  <c r="X347" i="43"/>
  <c r="Z104" i="43"/>
  <c r="Z106" i="43" s="1"/>
  <c r="AC63" i="58"/>
  <c r="AB348" i="43"/>
  <c r="BG35" i="59" l="1"/>
  <c r="AB346" i="43"/>
  <c r="AC348" i="43"/>
  <c r="AB112" i="61"/>
  <c r="BH12" i="59"/>
  <c r="AD57" i="58"/>
  <c r="AC309" i="43"/>
  <c r="AD58" i="58"/>
  <c r="AB113" i="61"/>
  <c r="BH13" i="59"/>
  <c r="AC282" i="43"/>
  <c r="AC280" i="43"/>
  <c r="AC318" i="43" s="1"/>
  <c r="AC346" i="43" s="1"/>
  <c r="AE60" i="58"/>
  <c r="BI15" i="59"/>
  <c r="AC115" i="61"/>
  <c r="AE61" i="58"/>
  <c r="BI16" i="59"/>
  <c r="AC116" i="61"/>
  <c r="BH19" i="59"/>
  <c r="BH36" i="59" s="1"/>
  <c r="AB118" i="61"/>
  <c r="AE56" i="58"/>
  <c r="BI11" i="59"/>
  <c r="AC111" i="61"/>
  <c r="AE59" i="58"/>
  <c r="BI14" i="59"/>
  <c r="AC114" i="61"/>
  <c r="Z289" i="43"/>
  <c r="Z319" i="43" s="1"/>
  <c r="Z290" i="43"/>
  <c r="Z333" i="43" s="1"/>
  <c r="Z291" i="43"/>
  <c r="Y292" i="43"/>
  <c r="Y347" i="43"/>
  <c r="AA104" i="43"/>
  <c r="AA106" i="43" s="1"/>
  <c r="AD63" i="58"/>
  <c r="BH35" i="59" l="1"/>
  <c r="AE58" i="58"/>
  <c r="AC113" i="61"/>
  <c r="BI13" i="59"/>
  <c r="AE57" i="58"/>
  <c r="BI12" i="59"/>
  <c r="AC112" i="61"/>
  <c r="BJ15" i="59"/>
  <c r="AD115" i="61"/>
  <c r="BJ16" i="59"/>
  <c r="AD116" i="61"/>
  <c r="BI19" i="59"/>
  <c r="BI36" i="59" s="1"/>
  <c r="AC118" i="61"/>
  <c r="BJ14" i="59"/>
  <c r="AD114" i="61"/>
  <c r="BJ11" i="59"/>
  <c r="AD111" i="61"/>
  <c r="AA289" i="43"/>
  <c r="AA319" i="43" s="1"/>
  <c r="AA290" i="43"/>
  <c r="AA333" i="43" s="1"/>
  <c r="AA291" i="43"/>
  <c r="Z292" i="43"/>
  <c r="Z347" i="43"/>
  <c r="AB104" i="43"/>
  <c r="AB106" i="43" s="1"/>
  <c r="AE63" i="58"/>
  <c r="BI35" i="59" l="1"/>
  <c r="BJ12" i="59"/>
  <c r="AD112" i="61"/>
  <c r="AD113" i="61"/>
  <c r="BJ13" i="59"/>
  <c r="BJ35" i="59" s="1"/>
  <c r="AC104" i="43"/>
  <c r="AC106" i="43" s="1"/>
  <c r="AC290" i="43" s="1"/>
  <c r="AC333" i="43" s="1"/>
  <c r="BJ19" i="59"/>
  <c r="BJ36" i="59" s="1"/>
  <c r="AD118" i="61"/>
  <c r="AB291" i="43"/>
  <c r="AB290" i="43"/>
  <c r="AB333" i="43" s="1"/>
  <c r="AB289" i="43"/>
  <c r="AB319" i="43" s="1"/>
  <c r="AA292" i="43"/>
  <c r="AA347" i="43"/>
  <c r="AC289" i="43" l="1"/>
  <c r="AC319" i="43" s="1"/>
  <c r="AC347" i="43" s="1"/>
  <c r="AC291" i="43"/>
  <c r="AB292" i="43"/>
  <c r="AB347" i="43"/>
  <c r="AC292" i="43" l="1"/>
  <c r="E335" i="43"/>
  <c r="E337" i="43" l="1"/>
  <c r="E53" i="43" s="1"/>
  <c r="C139" i="43"/>
  <c r="D96" i="43" s="1"/>
  <c r="V139" i="43"/>
  <c r="AA139" i="43"/>
  <c r="P139" i="43"/>
  <c r="E47" i="43" l="1"/>
  <c r="E48" i="43"/>
  <c r="E54" i="43"/>
  <c r="E49" i="43"/>
  <c r="E52" i="43"/>
  <c r="E51" i="43"/>
  <c r="E50" i="43"/>
  <c r="Q283" i="43"/>
  <c r="D283" i="43"/>
  <c r="AF49" i="59"/>
  <c r="BI28" i="59" s="1"/>
  <c r="AF50" i="59"/>
  <c r="BI29" i="59" s="1"/>
  <c r="AD201" i="59"/>
  <c r="U50" i="59"/>
  <c r="AX29" i="59" s="1"/>
  <c r="U49" i="59"/>
  <c r="AX28" i="59" s="1"/>
  <c r="S201" i="59"/>
  <c r="AA49" i="59"/>
  <c r="BD28" i="59" s="1"/>
  <c r="AA50" i="59"/>
  <c r="BD29" i="59" s="1"/>
  <c r="Y201" i="59"/>
  <c r="H50" i="59"/>
  <c r="AK29" i="59" s="1"/>
  <c r="H49" i="59"/>
  <c r="AK28" i="59" s="1"/>
  <c r="D109" i="43"/>
  <c r="F201" i="59"/>
  <c r="Q619" i="43"/>
  <c r="Q8" i="43" s="1"/>
  <c r="Q621" i="43"/>
  <c r="Q10" i="43" s="1"/>
  <c r="Q620" i="43"/>
  <c r="Q9" i="43" s="1"/>
  <c r="AB619" i="43"/>
  <c r="AB8" i="43" s="1"/>
  <c r="AB621" i="43"/>
  <c r="AB10" i="43" s="1"/>
  <c r="AB620" i="43"/>
  <c r="AB9" i="43" s="1"/>
  <c r="W619" i="43"/>
  <c r="W8" i="43" s="1"/>
  <c r="W621" i="43"/>
  <c r="W10" i="43" s="1"/>
  <c r="W620" i="43"/>
  <c r="W9" i="43" s="1"/>
  <c r="D619" i="43"/>
  <c r="D8" i="43" s="1"/>
  <c r="D621" i="43"/>
  <c r="D10" i="43" s="1"/>
  <c r="D620" i="43"/>
  <c r="D9" i="43" s="1"/>
  <c r="W109" i="43"/>
  <c r="W350" i="43" s="1"/>
  <c r="Q109" i="43"/>
  <c r="Q350" i="43" s="1"/>
  <c r="AB109" i="43"/>
  <c r="AB97" i="43"/>
  <c r="AB316" i="43" s="1"/>
  <c r="AB96" i="43"/>
  <c r="D139" i="43"/>
  <c r="E96" i="43" s="1"/>
  <c r="M139" i="43"/>
  <c r="W97" i="43"/>
  <c r="W316" i="43" s="1"/>
  <c r="W96" i="43"/>
  <c r="D97" i="43"/>
  <c r="D316" i="43" s="1"/>
  <c r="Q97" i="43"/>
  <c r="Q316" i="43" s="1"/>
  <c r="Q96" i="43"/>
  <c r="F139" i="43"/>
  <c r="Z139" i="43"/>
  <c r="AB139" i="43"/>
  <c r="E139" i="43"/>
  <c r="I139" i="43"/>
  <c r="Q139" i="43"/>
  <c r="U139" i="43"/>
  <c r="G139" i="43"/>
  <c r="K139" i="43"/>
  <c r="T139" i="43"/>
  <c r="S139" i="43"/>
  <c r="H139" i="43"/>
  <c r="O139" i="43"/>
  <c r="R139" i="43"/>
  <c r="J139" i="43"/>
  <c r="X139" i="43"/>
  <c r="N139" i="43"/>
  <c r="Y139" i="43"/>
  <c r="W139" i="43"/>
  <c r="L139" i="43"/>
  <c r="AL83" i="59" l="1"/>
  <c r="AL84" i="59"/>
  <c r="AL85" i="59"/>
  <c r="AL87" i="59"/>
  <c r="AL86" i="59"/>
  <c r="AL88" i="59"/>
  <c r="E55" i="43"/>
  <c r="AB283" i="43"/>
  <c r="R283" i="43"/>
  <c r="P283" i="43"/>
  <c r="T283" i="43"/>
  <c r="AC283" i="43"/>
  <c r="J283" i="43"/>
  <c r="O283" i="43"/>
  <c r="L283" i="43"/>
  <c r="J50" i="59"/>
  <c r="AM29" i="59" s="1"/>
  <c r="U283" i="43"/>
  <c r="Z283" i="43"/>
  <c r="W283" i="43"/>
  <c r="Q351" i="43"/>
  <c r="W351" i="43"/>
  <c r="U26" i="59"/>
  <c r="AF26" i="59"/>
  <c r="H26" i="59"/>
  <c r="AA26" i="59"/>
  <c r="O50" i="59"/>
  <c r="AR29" i="59" s="1"/>
  <c r="O49" i="59"/>
  <c r="AR28" i="59" s="1"/>
  <c r="M201" i="59"/>
  <c r="T50" i="59"/>
  <c r="AW29" i="59" s="1"/>
  <c r="T49" i="59"/>
  <c r="AW28" i="59" s="1"/>
  <c r="R201" i="59"/>
  <c r="L49" i="59"/>
  <c r="AO28" i="59" s="1"/>
  <c r="L50" i="59"/>
  <c r="AO29" i="59" s="1"/>
  <c r="J201" i="59"/>
  <c r="AC50" i="59"/>
  <c r="BF29" i="59" s="1"/>
  <c r="AC49" i="59"/>
  <c r="BF28" i="59" s="1"/>
  <c r="AA201" i="59"/>
  <c r="V50" i="59"/>
  <c r="AY29" i="59" s="1"/>
  <c r="V49" i="59"/>
  <c r="AY28" i="59" s="1"/>
  <c r="T201" i="59"/>
  <c r="J49" i="59"/>
  <c r="AM28" i="59" s="1"/>
  <c r="H201" i="59"/>
  <c r="X50" i="59"/>
  <c r="BA29" i="59" s="1"/>
  <c r="X49" i="59"/>
  <c r="BA28" i="59" s="1"/>
  <c r="V201" i="59"/>
  <c r="AG49" i="59"/>
  <c r="BJ28" i="59" s="1"/>
  <c r="AG50" i="59"/>
  <c r="BJ29" i="59" s="1"/>
  <c r="AE201" i="59"/>
  <c r="I49" i="59"/>
  <c r="AL28" i="59" s="1"/>
  <c r="I50" i="59"/>
  <c r="AL29" i="59" s="1"/>
  <c r="G201" i="59"/>
  <c r="Z49" i="59"/>
  <c r="BC28" i="59" s="1"/>
  <c r="Z50" i="59"/>
  <c r="BC29" i="59" s="1"/>
  <c r="X201" i="59"/>
  <c r="Q49" i="59"/>
  <c r="AT28" i="59" s="1"/>
  <c r="Q50" i="59"/>
  <c r="AT29" i="59" s="1"/>
  <c r="O201" i="59"/>
  <c r="AD49" i="59"/>
  <c r="BG28" i="59" s="1"/>
  <c r="AD50" i="59"/>
  <c r="BG29" i="59" s="1"/>
  <c r="AB201" i="59"/>
  <c r="W49" i="59"/>
  <c r="AZ28" i="59" s="1"/>
  <c r="W50" i="59"/>
  <c r="AZ29" i="59" s="1"/>
  <c r="U201" i="59"/>
  <c r="N49" i="59"/>
  <c r="AQ28" i="59" s="1"/>
  <c r="N50" i="59"/>
  <c r="AQ29" i="59" s="1"/>
  <c r="L201" i="59"/>
  <c r="M49" i="59"/>
  <c r="AP28" i="59" s="1"/>
  <c r="M50" i="59"/>
  <c r="AP29" i="59" s="1"/>
  <c r="K201" i="59"/>
  <c r="AB49" i="59"/>
  <c r="BE28" i="59" s="1"/>
  <c r="AB50" i="59"/>
  <c r="BE29" i="59" s="1"/>
  <c r="Z201" i="59"/>
  <c r="Y49" i="59"/>
  <c r="BB28" i="59" s="1"/>
  <c r="Y50" i="59"/>
  <c r="BB29" i="59" s="1"/>
  <c r="W201" i="59"/>
  <c r="AE49" i="59"/>
  <c r="BH28" i="59" s="1"/>
  <c r="AE50" i="59"/>
  <c r="BH29" i="59" s="1"/>
  <c r="AC201" i="59"/>
  <c r="S49" i="59"/>
  <c r="AV28" i="59" s="1"/>
  <c r="S50" i="59"/>
  <c r="AV29" i="59" s="1"/>
  <c r="Q201" i="59"/>
  <c r="P50" i="59"/>
  <c r="AS29" i="59" s="1"/>
  <c r="P49" i="59"/>
  <c r="AS28" i="59" s="1"/>
  <c r="N201" i="59"/>
  <c r="G621" i="43"/>
  <c r="G10" i="43" s="1"/>
  <c r="K49" i="59"/>
  <c r="AN28" i="59" s="1"/>
  <c r="K50" i="59"/>
  <c r="AN29" i="59" s="1"/>
  <c r="I201" i="59"/>
  <c r="R50" i="59"/>
  <c r="AU29" i="59" s="1"/>
  <c r="R49" i="59"/>
  <c r="AU28" i="59" s="1"/>
  <c r="P201" i="59"/>
  <c r="E621" i="43"/>
  <c r="E10" i="43" s="1"/>
  <c r="E109" i="43"/>
  <c r="E350" i="43" s="1"/>
  <c r="X619" i="43"/>
  <c r="X8" i="43" s="1"/>
  <c r="X621" i="43"/>
  <c r="X10" i="43" s="1"/>
  <c r="X620" i="43"/>
  <c r="X9" i="43" s="1"/>
  <c r="T619" i="43"/>
  <c r="T8" i="43" s="1"/>
  <c r="T621" i="43"/>
  <c r="T10" i="43" s="1"/>
  <c r="T620" i="43"/>
  <c r="T9" i="43" s="1"/>
  <c r="AC620" i="43"/>
  <c r="AC9" i="43" s="1"/>
  <c r="AC621" i="43"/>
  <c r="AC10" i="43" s="1"/>
  <c r="AC619" i="43"/>
  <c r="AC8" i="43" s="1"/>
  <c r="U619" i="43"/>
  <c r="U8" i="43" s="1"/>
  <c r="U620" i="43"/>
  <c r="U9" i="43" s="1"/>
  <c r="U621" i="43"/>
  <c r="U10" i="43" s="1"/>
  <c r="M619" i="43"/>
  <c r="M8" i="43" s="1"/>
  <c r="M620" i="43"/>
  <c r="M9" i="43" s="1"/>
  <c r="M621" i="43"/>
  <c r="M10" i="43" s="1"/>
  <c r="F620" i="43"/>
  <c r="F9" i="43" s="1"/>
  <c r="F619" i="43"/>
  <c r="F8" i="43" s="1"/>
  <c r="F621" i="43"/>
  <c r="F10" i="43" s="1"/>
  <c r="Z619" i="43"/>
  <c r="Z8" i="43" s="1"/>
  <c r="Z621" i="43"/>
  <c r="Z10" i="43" s="1"/>
  <c r="Z620" i="43"/>
  <c r="Z9" i="43" s="1"/>
  <c r="G620" i="43"/>
  <c r="G9" i="43" s="1"/>
  <c r="G619" i="43"/>
  <c r="G8" i="43" s="1"/>
  <c r="E620" i="43"/>
  <c r="E9" i="43" s="1"/>
  <c r="E619" i="43"/>
  <c r="E8" i="43" s="1"/>
  <c r="Y619" i="43"/>
  <c r="Y8" i="43" s="1"/>
  <c r="Y620" i="43"/>
  <c r="Y9" i="43" s="1"/>
  <c r="Y621" i="43"/>
  <c r="Y10" i="43" s="1"/>
  <c r="AA619" i="43"/>
  <c r="AA8" i="43" s="1"/>
  <c r="AA620" i="43"/>
  <c r="AA9" i="43" s="1"/>
  <c r="AA621" i="43"/>
  <c r="AA10" i="43" s="1"/>
  <c r="O621" i="43"/>
  <c r="O10" i="43" s="1"/>
  <c r="O619" i="43"/>
  <c r="O8" i="43" s="1"/>
  <c r="O620" i="43"/>
  <c r="O9" i="43" s="1"/>
  <c r="N621" i="43"/>
  <c r="N10" i="43" s="1"/>
  <c r="N620" i="43"/>
  <c r="N9" i="43" s="1"/>
  <c r="N619" i="43"/>
  <c r="N8" i="43" s="1"/>
  <c r="V619" i="43"/>
  <c r="V8" i="43" s="1"/>
  <c r="V621" i="43"/>
  <c r="V10" i="43" s="1"/>
  <c r="V620" i="43"/>
  <c r="V9" i="43" s="1"/>
  <c r="S619" i="43"/>
  <c r="S8" i="43" s="1"/>
  <c r="S620" i="43"/>
  <c r="S9" i="43" s="1"/>
  <c r="S621" i="43"/>
  <c r="S10" i="43" s="1"/>
  <c r="R619" i="43"/>
  <c r="R8" i="43" s="1"/>
  <c r="R621" i="43"/>
  <c r="R10" i="43" s="1"/>
  <c r="R620" i="43"/>
  <c r="R9" i="43" s="1"/>
  <c r="I619" i="43"/>
  <c r="I8" i="43" s="1"/>
  <c r="I620" i="43"/>
  <c r="I9" i="43" s="1"/>
  <c r="I621" i="43"/>
  <c r="I10" i="43" s="1"/>
  <c r="L620" i="43"/>
  <c r="L9" i="43" s="1"/>
  <c r="L621" i="43"/>
  <c r="L10" i="43" s="1"/>
  <c r="L619" i="43"/>
  <c r="L8" i="43" s="1"/>
  <c r="H621" i="43"/>
  <c r="H10" i="43" s="1"/>
  <c r="H619" i="43"/>
  <c r="H8" i="43" s="1"/>
  <c r="H620" i="43"/>
  <c r="H9" i="43" s="1"/>
  <c r="K619" i="43"/>
  <c r="K8" i="43" s="1"/>
  <c r="K621" i="43"/>
  <c r="K10" i="43" s="1"/>
  <c r="K620" i="43"/>
  <c r="K9" i="43" s="1"/>
  <c r="P620" i="43"/>
  <c r="P9" i="43" s="1"/>
  <c r="P619" i="43"/>
  <c r="P8" i="43" s="1"/>
  <c r="P621" i="43"/>
  <c r="P10" i="43" s="1"/>
  <c r="J619" i="43"/>
  <c r="J8" i="43" s="1"/>
  <c r="J621" i="43"/>
  <c r="J10" i="43" s="1"/>
  <c r="J620" i="43"/>
  <c r="J9" i="43" s="1"/>
  <c r="E315" i="43"/>
  <c r="D350" i="43"/>
  <c r="E97" i="43"/>
  <c r="E316" i="43" s="1"/>
  <c r="W110" i="43"/>
  <c r="Y109" i="43"/>
  <c r="Y350" i="43" s="1"/>
  <c r="S109" i="43"/>
  <c r="V109" i="43"/>
  <c r="V350" i="43" s="1"/>
  <c r="F109" i="43"/>
  <c r="Q110" i="43"/>
  <c r="R109" i="43"/>
  <c r="Z109" i="43"/>
  <c r="P109" i="43"/>
  <c r="X109" i="43"/>
  <c r="I109" i="43"/>
  <c r="M109" i="43"/>
  <c r="AC109" i="43"/>
  <c r="J109" i="43"/>
  <c r="G109" i="43"/>
  <c r="T109" i="43"/>
  <c r="O109" i="43"/>
  <c r="U109" i="43"/>
  <c r="L109" i="43"/>
  <c r="K109" i="43"/>
  <c r="H109" i="43"/>
  <c r="AB350" i="43"/>
  <c r="AB110" i="43"/>
  <c r="AA109" i="43"/>
  <c r="AA97" i="43"/>
  <c r="AA316" i="43" s="1"/>
  <c r="AA96" i="43"/>
  <c r="N109" i="43"/>
  <c r="D110" i="43"/>
  <c r="Q315" i="43"/>
  <c r="W315" i="43"/>
  <c r="AB315" i="43"/>
  <c r="D315" i="43"/>
  <c r="AC139" i="43"/>
  <c r="B139" i="43"/>
  <c r="N96" i="43"/>
  <c r="N97" i="43"/>
  <c r="T97" i="43"/>
  <c r="T316" i="43" s="1"/>
  <c r="T96" i="43"/>
  <c r="G96" i="43"/>
  <c r="G97" i="43"/>
  <c r="G316" i="43" s="1"/>
  <c r="X97" i="43"/>
  <c r="X316" i="43" s="1"/>
  <c r="X96" i="43"/>
  <c r="Z97" i="43"/>
  <c r="Z316" i="43" s="1"/>
  <c r="Z96" i="43"/>
  <c r="L97" i="43"/>
  <c r="L316" i="43" s="1"/>
  <c r="L96" i="43"/>
  <c r="O96" i="43"/>
  <c r="O97" i="43"/>
  <c r="O316" i="43" s="1"/>
  <c r="M97" i="43"/>
  <c r="M316" i="43" s="1"/>
  <c r="M96" i="43"/>
  <c r="I97" i="43"/>
  <c r="I316" i="43" s="1"/>
  <c r="I96" i="43"/>
  <c r="H97" i="43"/>
  <c r="H316" i="43" s="1"/>
  <c r="H96" i="43"/>
  <c r="F97" i="43"/>
  <c r="F316" i="43" s="1"/>
  <c r="F96" i="43"/>
  <c r="U97" i="43"/>
  <c r="U316" i="43" s="1"/>
  <c r="U96" i="43"/>
  <c r="Y96" i="43"/>
  <c r="Y97" i="43"/>
  <c r="Y316" i="43" s="1"/>
  <c r="K97" i="43"/>
  <c r="K316" i="43" s="1"/>
  <c r="K96" i="43"/>
  <c r="V97" i="43"/>
  <c r="V316" i="43" s="1"/>
  <c r="V96" i="43"/>
  <c r="AC96" i="43"/>
  <c r="AC97" i="43"/>
  <c r="AC316" i="43" s="1"/>
  <c r="P97" i="43"/>
  <c r="P316" i="43" s="1"/>
  <c r="P96" i="43"/>
  <c r="S97" i="43"/>
  <c r="S316" i="43" s="1"/>
  <c r="S96" i="43"/>
  <c r="R97" i="43"/>
  <c r="R316" i="43" s="1"/>
  <c r="R96" i="43"/>
  <c r="J97" i="43"/>
  <c r="J316" i="43" s="1"/>
  <c r="J96" i="43"/>
  <c r="Q337" i="43"/>
  <c r="N337" i="43"/>
  <c r="AB337" i="43"/>
  <c r="E123" i="61" l="1"/>
  <c r="AK26" i="59"/>
  <c r="AK39" i="59" s="1"/>
  <c r="AK40" i="59" s="1"/>
  <c r="AC123" i="61"/>
  <c r="BI26" i="59"/>
  <c r="BI39" i="59" s="1"/>
  <c r="BI40" i="59" s="1"/>
  <c r="R123" i="61"/>
  <c r="AX26" i="59"/>
  <c r="AX39" i="59" s="1"/>
  <c r="AX40" i="59" s="1"/>
  <c r="X123" i="61"/>
  <c r="BD26" i="59"/>
  <c r="BD39" i="59" s="1"/>
  <c r="BD40" i="59" s="1"/>
  <c r="AL89" i="59"/>
  <c r="N54" i="43"/>
  <c r="N47" i="43"/>
  <c r="N48" i="43"/>
  <c r="N53" i="43"/>
  <c r="N49" i="43"/>
  <c r="N52" i="43"/>
  <c r="N51" i="43"/>
  <c r="N50" i="43"/>
  <c r="AB47" i="43"/>
  <c r="AB48" i="43"/>
  <c r="AB53" i="43"/>
  <c r="AB54" i="43"/>
  <c r="AB49" i="43"/>
  <c r="AB52" i="43"/>
  <c r="AB50" i="43"/>
  <c r="AB51" i="43"/>
  <c r="Q53" i="43"/>
  <c r="Q54" i="43"/>
  <c r="Q47" i="43"/>
  <c r="Q48" i="43"/>
  <c r="Q49" i="43"/>
  <c r="Q52" i="43"/>
  <c r="Q50" i="43"/>
  <c r="Q51" i="43"/>
  <c r="W63" i="43"/>
  <c r="W67" i="43"/>
  <c r="W61" i="43"/>
  <c r="W62" i="43"/>
  <c r="W64" i="43"/>
  <c r="W66" i="43"/>
  <c r="W65" i="43"/>
  <c r="Q62" i="43"/>
  <c r="Q63" i="43"/>
  <c r="Q67" i="43"/>
  <c r="Q61" i="43"/>
  <c r="Q66" i="43"/>
  <c r="Q64" i="43"/>
  <c r="Q65" i="43"/>
  <c r="W68" i="43"/>
  <c r="Q68" i="43"/>
  <c r="D323" i="43"/>
  <c r="D33" i="43" s="1"/>
  <c r="W6" i="43"/>
  <c r="Q6" i="43"/>
  <c r="E283" i="43"/>
  <c r="I283" i="43"/>
  <c r="N283" i="43"/>
  <c r="K283" i="43"/>
  <c r="S283" i="43"/>
  <c r="Y283" i="43"/>
  <c r="V283" i="43"/>
  <c r="H283" i="43"/>
  <c r="G283" i="43"/>
  <c r="M283" i="43"/>
  <c r="F283" i="43"/>
  <c r="AA283" i="43"/>
  <c r="X283" i="43"/>
  <c r="AB351" i="43"/>
  <c r="D351" i="43"/>
  <c r="D68" i="43" s="1"/>
  <c r="Y351" i="43"/>
  <c r="Y68" i="43" s="1"/>
  <c r="V351" i="43"/>
  <c r="V68" i="43" s="1"/>
  <c r="K26" i="59"/>
  <c r="V26" i="59"/>
  <c r="S26" i="59"/>
  <c r="Q26" i="59"/>
  <c r="AE26" i="59"/>
  <c r="Z26" i="59"/>
  <c r="M26" i="59"/>
  <c r="X26" i="59"/>
  <c r="AC26" i="59"/>
  <c r="AG26" i="59"/>
  <c r="P26" i="59"/>
  <c r="AD26" i="59"/>
  <c r="O26" i="59"/>
  <c r="R26" i="59"/>
  <c r="Y26" i="59"/>
  <c r="I26" i="59"/>
  <c r="AB26" i="59"/>
  <c r="W26" i="59"/>
  <c r="T26" i="59"/>
  <c r="N26" i="59"/>
  <c r="J26" i="59"/>
  <c r="L26" i="59"/>
  <c r="W337" i="43"/>
  <c r="D337" i="43"/>
  <c r="X350" i="43"/>
  <c r="P350" i="43"/>
  <c r="F350" i="43"/>
  <c r="J350" i="43"/>
  <c r="L350" i="43"/>
  <c r="AC350" i="43"/>
  <c r="E351" i="43"/>
  <c r="E68" i="43" s="1"/>
  <c r="U350" i="43"/>
  <c r="O350" i="43"/>
  <c r="E110" i="43"/>
  <c r="K350" i="43"/>
  <c r="R350" i="43"/>
  <c r="Z350" i="43"/>
  <c r="H350" i="43"/>
  <c r="M350" i="43"/>
  <c r="X110" i="43"/>
  <c r="G350" i="43"/>
  <c r="I350" i="43"/>
  <c r="P110" i="43"/>
  <c r="I110" i="43"/>
  <c r="T350" i="43"/>
  <c r="S350" i="43"/>
  <c r="AC110" i="43"/>
  <c r="AA110" i="43"/>
  <c r="L110" i="43"/>
  <c r="T110" i="43"/>
  <c r="AA350" i="43"/>
  <c r="N350" i="43"/>
  <c r="R110" i="43"/>
  <c r="V110" i="43"/>
  <c r="F110" i="43"/>
  <c r="O110" i="43"/>
  <c r="S110" i="43"/>
  <c r="K110" i="43"/>
  <c r="H110" i="43"/>
  <c r="G110" i="43"/>
  <c r="Y110" i="43"/>
  <c r="Z110" i="43"/>
  <c r="J110" i="43"/>
  <c r="U110" i="43"/>
  <c r="M110" i="43"/>
  <c r="N110" i="43"/>
  <c r="J315" i="43"/>
  <c r="U315" i="43"/>
  <c r="M315" i="43"/>
  <c r="N315" i="43"/>
  <c r="AC315" i="43"/>
  <c r="F315" i="43"/>
  <c r="O315" i="43"/>
  <c r="S315" i="43"/>
  <c r="K315" i="43"/>
  <c r="H315" i="43"/>
  <c r="G315" i="43"/>
  <c r="L315" i="43"/>
  <c r="T315" i="43"/>
  <c r="AA315" i="43"/>
  <c r="P315" i="43"/>
  <c r="I315" i="43"/>
  <c r="Y315" i="43"/>
  <c r="Z315" i="43"/>
  <c r="R315" i="43"/>
  <c r="X315" i="43"/>
  <c r="V315" i="43"/>
  <c r="N316" i="43"/>
  <c r="R337" i="43"/>
  <c r="E323" i="43"/>
  <c r="E34" i="43" s="1"/>
  <c r="AC337" i="43"/>
  <c r="Z337" i="43"/>
  <c r="I337" i="43"/>
  <c r="G337" i="43"/>
  <c r="P337" i="43"/>
  <c r="AA337" i="43"/>
  <c r="V337" i="43"/>
  <c r="S337" i="43"/>
  <c r="O337" i="43"/>
  <c r="Y337" i="43"/>
  <c r="F123" i="61" l="1"/>
  <c r="AL26" i="59"/>
  <c r="AL39" i="59" s="1"/>
  <c r="AL40" i="59" s="1"/>
  <c r="V123" i="61"/>
  <c r="BB26" i="59"/>
  <c r="BB39" i="59" s="1"/>
  <c r="BB40" i="59" s="1"/>
  <c r="I123" i="61"/>
  <c r="AO26" i="59"/>
  <c r="AO39" i="59" s="1"/>
  <c r="AO40" i="59" s="1"/>
  <c r="O123" i="61"/>
  <c r="AU26" i="59"/>
  <c r="AU39" i="59" s="1"/>
  <c r="AU40" i="59" s="1"/>
  <c r="W123" i="61"/>
  <c r="BC26" i="59"/>
  <c r="BC39" i="59" s="1"/>
  <c r="BC40" i="59" s="1"/>
  <c r="G123" i="61"/>
  <c r="AM26" i="59"/>
  <c r="AM39" i="59" s="1"/>
  <c r="AM40" i="59" s="1"/>
  <c r="L123" i="61"/>
  <c r="AR26" i="59"/>
  <c r="AR39" i="59" s="1"/>
  <c r="AR40" i="59" s="1"/>
  <c r="AB123" i="61"/>
  <c r="BH26" i="59"/>
  <c r="BH39" i="59" s="1"/>
  <c r="BH40" i="59" s="1"/>
  <c r="K123" i="61"/>
  <c r="AQ26" i="59"/>
  <c r="AQ39" i="59" s="1"/>
  <c r="AQ40" i="59" s="1"/>
  <c r="U123" i="61"/>
  <c r="BA26" i="59"/>
  <c r="BA39" i="59" s="1"/>
  <c r="BA40" i="59" s="1"/>
  <c r="J123" i="61"/>
  <c r="AP26" i="59"/>
  <c r="AP39" i="59" s="1"/>
  <c r="AP40" i="59" s="1"/>
  <c r="N123" i="61"/>
  <c r="AT26" i="59"/>
  <c r="AT39" i="59" s="1"/>
  <c r="AT40" i="59" s="1"/>
  <c r="Q123" i="61"/>
  <c r="AW26" i="59"/>
  <c r="AW39" i="59" s="1"/>
  <c r="AW40" i="59" s="1"/>
  <c r="M123" i="61"/>
  <c r="AS26" i="59"/>
  <c r="AS39" i="59" s="1"/>
  <c r="AS40" i="59" s="1"/>
  <c r="P123" i="61"/>
  <c r="AV26" i="59"/>
  <c r="AV39" i="59" s="1"/>
  <c r="AV40" i="59" s="1"/>
  <c r="AA123" i="61"/>
  <c r="BG26" i="59"/>
  <c r="BG39" i="59" s="1"/>
  <c r="BG40" i="59" s="1"/>
  <c r="T123" i="61"/>
  <c r="AZ26" i="59"/>
  <c r="AZ39" i="59" s="1"/>
  <c r="AZ40" i="59" s="1"/>
  <c r="AD123" i="61"/>
  <c r="BJ26" i="59"/>
  <c r="BJ39" i="59" s="1"/>
  <c r="BJ40" i="59" s="1"/>
  <c r="S123" i="61"/>
  <c r="AY26" i="59"/>
  <c r="AY39" i="59" s="1"/>
  <c r="AY40" i="59" s="1"/>
  <c r="Y123" i="61"/>
  <c r="BE26" i="59"/>
  <c r="BE39" i="59" s="1"/>
  <c r="BE40" i="59" s="1"/>
  <c r="Z123" i="61"/>
  <c r="BF26" i="59"/>
  <c r="BF39" i="59" s="1"/>
  <c r="BF40" i="59" s="1"/>
  <c r="H123" i="61"/>
  <c r="AN26" i="59"/>
  <c r="AN39" i="59" s="1"/>
  <c r="AN40" i="59" s="1"/>
  <c r="BD99" i="59"/>
  <c r="BD98" i="59"/>
  <c r="BD96" i="59"/>
  <c r="BD100" i="59"/>
  <c r="BD97" i="59"/>
  <c r="BD101" i="59"/>
  <c r="AX98" i="59"/>
  <c r="AX99" i="59"/>
  <c r="AX101" i="59"/>
  <c r="AX96" i="59"/>
  <c r="AX100" i="59"/>
  <c r="AX97" i="59"/>
  <c r="AX86" i="59"/>
  <c r="AX87" i="59"/>
  <c r="AX88" i="59"/>
  <c r="AX83" i="59"/>
  <c r="AX84" i="59"/>
  <c r="AX85" i="59"/>
  <c r="AU83" i="59"/>
  <c r="AU84" i="59"/>
  <c r="AU85" i="59"/>
  <c r="AU86" i="59"/>
  <c r="AU87" i="59"/>
  <c r="AU88" i="59"/>
  <c r="BI84" i="59"/>
  <c r="BI85" i="59"/>
  <c r="BI86" i="59"/>
  <c r="BI87" i="59"/>
  <c r="BI88" i="59"/>
  <c r="BI83" i="59"/>
  <c r="AB55" i="43"/>
  <c r="AB61" i="43"/>
  <c r="AB62" i="43"/>
  <c r="AB63" i="43"/>
  <c r="AB67" i="43"/>
  <c r="AB64" i="43"/>
  <c r="AB66" i="43"/>
  <c r="AB65" i="43"/>
  <c r="Y53" i="43"/>
  <c r="Y54" i="43"/>
  <c r="Y48" i="43"/>
  <c r="Y47" i="43"/>
  <c r="Y49" i="43"/>
  <c r="Y52" i="43"/>
  <c r="Y50" i="43"/>
  <c r="Y51" i="43"/>
  <c r="D4" i="43"/>
  <c r="D39" i="43"/>
  <c r="D35" i="43"/>
  <c r="D38" i="43"/>
  <c r="D37" i="43"/>
  <c r="D36" i="43"/>
  <c r="D34" i="43"/>
  <c r="W69" i="43"/>
  <c r="Q55" i="43"/>
  <c r="R48" i="43"/>
  <c r="R53" i="43"/>
  <c r="R54" i="43"/>
  <c r="R47" i="43"/>
  <c r="R49" i="43"/>
  <c r="R52" i="43"/>
  <c r="R50" i="43"/>
  <c r="R51" i="43"/>
  <c r="Q69" i="43"/>
  <c r="AC47" i="43"/>
  <c r="AC48" i="43"/>
  <c r="AC54" i="43"/>
  <c r="AC53" i="43"/>
  <c r="AC49" i="43"/>
  <c r="AC52" i="43"/>
  <c r="AC50" i="43"/>
  <c r="AC51" i="43"/>
  <c r="E39" i="43"/>
  <c r="E35" i="43"/>
  <c r="E38" i="43"/>
  <c r="E37" i="43"/>
  <c r="E36" i="43"/>
  <c r="AA48" i="43"/>
  <c r="AA53" i="43"/>
  <c r="AA47" i="43"/>
  <c r="AA54" i="43"/>
  <c r="AA49" i="43"/>
  <c r="AA50" i="43"/>
  <c r="AA52" i="43"/>
  <c r="AA51" i="43"/>
  <c r="D47" i="43"/>
  <c r="D48" i="43"/>
  <c r="D53" i="43"/>
  <c r="D54" i="43"/>
  <c r="D52" i="43"/>
  <c r="D49" i="43"/>
  <c r="D51" i="43"/>
  <c r="D50" i="43"/>
  <c r="V61" i="43"/>
  <c r="V63" i="43"/>
  <c r="V67" i="43"/>
  <c r="V62" i="43"/>
  <c r="V66" i="43"/>
  <c r="V64" i="43"/>
  <c r="V65" i="43"/>
  <c r="I53" i="43"/>
  <c r="I54" i="43"/>
  <c r="I48" i="43"/>
  <c r="I47" i="43"/>
  <c r="I49" i="43"/>
  <c r="I52" i="43"/>
  <c r="I51" i="43"/>
  <c r="I50" i="43"/>
  <c r="V54" i="43"/>
  <c r="V47" i="43"/>
  <c r="V48" i="43"/>
  <c r="V53" i="43"/>
  <c r="V49" i="43"/>
  <c r="V52" i="43"/>
  <c r="V50" i="43"/>
  <c r="V51" i="43"/>
  <c r="E61" i="43"/>
  <c r="E62" i="43"/>
  <c r="E63" i="43"/>
  <c r="E67" i="43"/>
  <c r="E66" i="43"/>
  <c r="E65" i="43"/>
  <c r="E64" i="43"/>
  <c r="W54" i="43"/>
  <c r="W47" i="43"/>
  <c r="W48" i="43"/>
  <c r="W53" i="43"/>
  <c r="W49" i="43"/>
  <c r="W52" i="43"/>
  <c r="W50" i="43"/>
  <c r="W51" i="43"/>
  <c r="Y62" i="43"/>
  <c r="Y63" i="43"/>
  <c r="Y67" i="43"/>
  <c r="Y61" i="43"/>
  <c r="Y64" i="43"/>
  <c r="Y66" i="43"/>
  <c r="Y65" i="43"/>
  <c r="E33" i="43"/>
  <c r="N55" i="43"/>
  <c r="Z48" i="43"/>
  <c r="Z53" i="43"/>
  <c r="Z54" i="43"/>
  <c r="Z47" i="43"/>
  <c r="Z49" i="43"/>
  <c r="Z50" i="43"/>
  <c r="Z52" i="43"/>
  <c r="Z51" i="43"/>
  <c r="O54" i="43"/>
  <c r="O47" i="43"/>
  <c r="O53" i="43"/>
  <c r="O48" i="43"/>
  <c r="O49" i="43"/>
  <c r="O52" i="43"/>
  <c r="O50" i="43"/>
  <c r="O51" i="43"/>
  <c r="S48" i="43"/>
  <c r="S53" i="43"/>
  <c r="S47" i="43"/>
  <c r="S54" i="43"/>
  <c r="S49" i="43"/>
  <c r="S50" i="43"/>
  <c r="S52" i="43"/>
  <c r="S51" i="43"/>
  <c r="P53" i="43"/>
  <c r="P54" i="43"/>
  <c r="P47" i="43"/>
  <c r="P48" i="43"/>
  <c r="P49" i="43"/>
  <c r="P52" i="43"/>
  <c r="P50" i="43"/>
  <c r="P51" i="43"/>
  <c r="G54" i="43"/>
  <c r="G47" i="43"/>
  <c r="G53" i="43"/>
  <c r="G48" i="43"/>
  <c r="G49" i="43"/>
  <c r="G52" i="43"/>
  <c r="G51" i="43"/>
  <c r="G50" i="43"/>
  <c r="D61" i="43"/>
  <c r="D62" i="43"/>
  <c r="D67" i="43"/>
  <c r="D63" i="43"/>
  <c r="D66" i="43"/>
  <c r="D65" i="43"/>
  <c r="D64" i="43"/>
  <c r="AB68" i="43"/>
  <c r="AB6" i="43"/>
  <c r="D6" i="43"/>
  <c r="E4" i="43"/>
  <c r="V6" i="43"/>
  <c r="E6" i="43"/>
  <c r="Y6" i="43"/>
  <c r="U351" i="43"/>
  <c r="M351" i="43"/>
  <c r="S351" i="43"/>
  <c r="S68" i="43" s="1"/>
  <c r="H351" i="43"/>
  <c r="H68" i="43" s="1"/>
  <c r="AC351" i="43"/>
  <c r="AC68" i="43" s="1"/>
  <c r="T351" i="43"/>
  <c r="T68" i="43" s="1"/>
  <c r="Z351" i="43"/>
  <c r="L351" i="43"/>
  <c r="L68" i="43" s="1"/>
  <c r="J351" i="43"/>
  <c r="J68" i="43" s="1"/>
  <c r="K351" i="43"/>
  <c r="F351" i="43"/>
  <c r="F68" i="43" s="1"/>
  <c r="P351" i="43"/>
  <c r="G351" i="43"/>
  <c r="G68" i="43" s="1"/>
  <c r="O351" i="43"/>
  <c r="O68" i="43" s="1"/>
  <c r="X351" i="43"/>
  <c r="G26" i="59"/>
  <c r="J337" i="43"/>
  <c r="K337" i="43"/>
  <c r="H337" i="43"/>
  <c r="T337" i="43"/>
  <c r="L337" i="43"/>
  <c r="F337" i="43"/>
  <c r="X337" i="43"/>
  <c r="U337" i="43"/>
  <c r="M337" i="43"/>
  <c r="I351" i="43"/>
  <c r="N351" i="43"/>
  <c r="N68" i="43" s="1"/>
  <c r="E352" i="43"/>
  <c r="AA351" i="43"/>
  <c r="AA68" i="43" s="1"/>
  <c r="R351" i="43"/>
  <c r="R68" i="43" s="1"/>
  <c r="AB323" i="43"/>
  <c r="W323" i="43"/>
  <c r="W35" i="43" s="1"/>
  <c r="N323" i="43"/>
  <c r="N33" i="43" s="1"/>
  <c r="Q323" i="43"/>
  <c r="K323" i="43"/>
  <c r="K33" i="43" s="1"/>
  <c r="H323" i="43"/>
  <c r="H33" i="43" s="1"/>
  <c r="G323" i="43"/>
  <c r="G33" i="43" s="1"/>
  <c r="L323" i="43"/>
  <c r="L33" i="43" s="1"/>
  <c r="U323" i="43"/>
  <c r="U33" i="43" s="1"/>
  <c r="R323" i="43"/>
  <c r="R33" i="43" s="1"/>
  <c r="P323" i="43"/>
  <c r="P33" i="43" s="1"/>
  <c r="AC323" i="43"/>
  <c r="AC33" i="43" s="1"/>
  <c r="O323" i="43"/>
  <c r="Y323" i="43"/>
  <c r="Y33" i="43" s="1"/>
  <c r="M323" i="43"/>
  <c r="M33" i="43" s="1"/>
  <c r="J323" i="43"/>
  <c r="J33" i="43" s="1"/>
  <c r="Z323" i="43"/>
  <c r="I323" i="43"/>
  <c r="I33" i="43" s="1"/>
  <c r="T323" i="43"/>
  <c r="V323" i="43"/>
  <c r="V33" i="43" s="1"/>
  <c r="X323" i="43"/>
  <c r="X33" i="43" s="1"/>
  <c r="AA323" i="43"/>
  <c r="AA33" i="43" s="1"/>
  <c r="S323" i="43"/>
  <c r="S33" i="43" s="1"/>
  <c r="F323" i="43"/>
  <c r="F33" i="43" s="1"/>
  <c r="AK70" i="59" l="1"/>
  <c r="D123" i="61"/>
  <c r="AJ26" i="59"/>
  <c r="AJ39" i="59" s="1"/>
  <c r="AJ40" i="59" s="1"/>
  <c r="AJ124" i="59"/>
  <c r="E25" i="58" s="1"/>
  <c r="BF98" i="59"/>
  <c r="BF101" i="59"/>
  <c r="BF99" i="59"/>
  <c r="BF97" i="59"/>
  <c r="BF96" i="59"/>
  <c r="BF100" i="59"/>
  <c r="AL96" i="59"/>
  <c r="AL100" i="59"/>
  <c r="AL97" i="59"/>
  <c r="AL101" i="59"/>
  <c r="AL99" i="59"/>
  <c r="AL98" i="59"/>
  <c r="BD102" i="59"/>
  <c r="BI99" i="59"/>
  <c r="BI97" i="59"/>
  <c r="BI101" i="59"/>
  <c r="BI100" i="59"/>
  <c r="BI98" i="59"/>
  <c r="BI96" i="59"/>
  <c r="BC96" i="59"/>
  <c r="BC100" i="59"/>
  <c r="BC99" i="59"/>
  <c r="BC97" i="59"/>
  <c r="BC101" i="59"/>
  <c r="BC98" i="59"/>
  <c r="AX102" i="59"/>
  <c r="AK96" i="59"/>
  <c r="AK97" i="59"/>
  <c r="AK101" i="59"/>
  <c r="AK98" i="59"/>
  <c r="AK100" i="59"/>
  <c r="AK99" i="59"/>
  <c r="AN88" i="59"/>
  <c r="AN83" i="59"/>
  <c r="AN84" i="59"/>
  <c r="AN85" i="59"/>
  <c r="AN86" i="59"/>
  <c r="AN87" i="59"/>
  <c r="AV88" i="59"/>
  <c r="AV83" i="59"/>
  <c r="AV84" i="59"/>
  <c r="AV85" i="59"/>
  <c r="AV86" i="59"/>
  <c r="AV87" i="59"/>
  <c r="AY85" i="59"/>
  <c r="AY86" i="59"/>
  <c r="AY87" i="59"/>
  <c r="AY88" i="59"/>
  <c r="AY83" i="59"/>
  <c r="AY84" i="59"/>
  <c r="AU89" i="59"/>
  <c r="AL70" i="59"/>
  <c r="AL71" i="59"/>
  <c r="AL72" i="59"/>
  <c r="AL73" i="59"/>
  <c r="AL74" i="59"/>
  <c r="AL75" i="59"/>
  <c r="AK83" i="59"/>
  <c r="AK84" i="59"/>
  <c r="AK85" i="59"/>
  <c r="AK86" i="59"/>
  <c r="AK87" i="59"/>
  <c r="AK88" i="59"/>
  <c r="BH85" i="59"/>
  <c r="BH87" i="59"/>
  <c r="BH88" i="59"/>
  <c r="BH83" i="59"/>
  <c r="BH84" i="59"/>
  <c r="BH86" i="59"/>
  <c r="BG86" i="59"/>
  <c r="BG87" i="59"/>
  <c r="BG88" i="59"/>
  <c r="BG83" i="59"/>
  <c r="BG84" i="59"/>
  <c r="BG85" i="59"/>
  <c r="AX89" i="59"/>
  <c r="BC83" i="59"/>
  <c r="BC84" i="59"/>
  <c r="BC85" i="59"/>
  <c r="BC86" i="59"/>
  <c r="BC87" i="59"/>
  <c r="BC88" i="59"/>
  <c r="BF87" i="59"/>
  <c r="BF88" i="59"/>
  <c r="BF83" i="59"/>
  <c r="BF84" i="59"/>
  <c r="BF85" i="59"/>
  <c r="BF86" i="59"/>
  <c r="AK71" i="59"/>
  <c r="AK73" i="59"/>
  <c r="AK74" i="59"/>
  <c r="AK75" i="59"/>
  <c r="AK72" i="59"/>
  <c r="AZ84" i="59"/>
  <c r="AZ85" i="59"/>
  <c r="AZ86" i="59"/>
  <c r="AZ87" i="59"/>
  <c r="AZ88" i="59"/>
  <c r="AZ83" i="59"/>
  <c r="BI89" i="59"/>
  <c r="AW87" i="59"/>
  <c r="AW83" i="59"/>
  <c r="AW84" i="59"/>
  <c r="AW85" i="59"/>
  <c r="AW86" i="59"/>
  <c r="AW88" i="59"/>
  <c r="BJ83" i="59"/>
  <c r="BJ84" i="59"/>
  <c r="BJ85" i="59"/>
  <c r="BJ86" i="59"/>
  <c r="BJ87" i="59"/>
  <c r="BJ88" i="59"/>
  <c r="AP86" i="59"/>
  <c r="AP87" i="59"/>
  <c r="AP88" i="59"/>
  <c r="AP83" i="59"/>
  <c r="AP84" i="59"/>
  <c r="AP85" i="59"/>
  <c r="D41" i="43"/>
  <c r="BD84" i="59"/>
  <c r="BD88" i="59"/>
  <c r="BD85" i="59"/>
  <c r="BD86" i="59"/>
  <c r="BD83" i="59"/>
  <c r="BD87" i="59"/>
  <c r="W55" i="43"/>
  <c r="AA55" i="43"/>
  <c r="O55" i="43"/>
  <c r="Q4" i="43"/>
  <c r="Q25" i="43" s="1"/>
  <c r="Q39" i="43"/>
  <c r="Q35" i="43"/>
  <c r="Q38" i="43"/>
  <c r="Q36" i="43"/>
  <c r="Q37" i="43"/>
  <c r="Q34" i="43"/>
  <c r="Q33" i="43"/>
  <c r="AB69" i="43"/>
  <c r="M47" i="43"/>
  <c r="M48" i="43"/>
  <c r="M54" i="43"/>
  <c r="M53" i="43"/>
  <c r="M49" i="43"/>
  <c r="M52" i="43"/>
  <c r="M51" i="43"/>
  <c r="M50" i="43"/>
  <c r="U61" i="43"/>
  <c r="U62" i="43"/>
  <c r="U63" i="43"/>
  <c r="U67" i="43"/>
  <c r="U66" i="43"/>
  <c r="U64" i="43"/>
  <c r="U65" i="43"/>
  <c r="G55" i="43"/>
  <c r="Y69" i="43"/>
  <c r="E69" i="43"/>
  <c r="V69" i="43"/>
  <c r="K48" i="43"/>
  <c r="K53" i="43"/>
  <c r="K47" i="43"/>
  <c r="K54" i="43"/>
  <c r="K49" i="43"/>
  <c r="K52" i="43"/>
  <c r="K51" i="43"/>
  <c r="K50" i="43"/>
  <c r="N34" i="43"/>
  <c r="AC55" i="43"/>
  <c r="R55" i="43"/>
  <c r="K61" i="43"/>
  <c r="K62" i="43"/>
  <c r="K63" i="43"/>
  <c r="K67" i="43"/>
  <c r="K66" i="43"/>
  <c r="K65" i="43"/>
  <c r="K64" i="43"/>
  <c r="J48" i="43"/>
  <c r="J53" i="43"/>
  <c r="J54" i="43"/>
  <c r="J47" i="43"/>
  <c r="J49" i="43"/>
  <c r="J52" i="43"/>
  <c r="J51" i="43"/>
  <c r="J50" i="43"/>
  <c r="Z4" i="43"/>
  <c r="Z39" i="43"/>
  <c r="Z35" i="43"/>
  <c r="Z38" i="43"/>
  <c r="Z36" i="43"/>
  <c r="Z37" i="43"/>
  <c r="Z34" i="43"/>
  <c r="X53" i="43"/>
  <c r="X54" i="43"/>
  <c r="X47" i="43"/>
  <c r="X48" i="43"/>
  <c r="X49" i="43"/>
  <c r="X50" i="43"/>
  <c r="X52" i="43"/>
  <c r="X51" i="43"/>
  <c r="X63" i="43"/>
  <c r="X67" i="43"/>
  <c r="X62" i="43"/>
  <c r="X61" i="43"/>
  <c r="X64" i="43"/>
  <c r="X66" i="43"/>
  <c r="X65" i="43"/>
  <c r="Z62" i="43"/>
  <c r="Z63" i="43"/>
  <c r="Z67" i="43"/>
  <c r="Z61" i="43"/>
  <c r="Z64" i="43"/>
  <c r="Z66" i="43"/>
  <c r="Z65" i="43"/>
  <c r="M61" i="43"/>
  <c r="M62" i="43"/>
  <c r="M63" i="43"/>
  <c r="M67" i="43"/>
  <c r="M66" i="43"/>
  <c r="M65" i="43"/>
  <c r="M64" i="43"/>
  <c r="T39" i="43"/>
  <c r="T35" i="43"/>
  <c r="T38" i="43"/>
  <c r="T36" i="43"/>
  <c r="T37" i="43"/>
  <c r="T34" i="43"/>
  <c r="L61" i="43"/>
  <c r="L62" i="43"/>
  <c r="L67" i="43"/>
  <c r="L63" i="43"/>
  <c r="L66" i="43"/>
  <c r="L65" i="43"/>
  <c r="L64" i="43"/>
  <c r="R62" i="43"/>
  <c r="R63" i="43"/>
  <c r="R67" i="43"/>
  <c r="R61" i="43"/>
  <c r="R66" i="43"/>
  <c r="R64" i="43"/>
  <c r="R65" i="43"/>
  <c r="M68" i="43"/>
  <c r="X68" i="43"/>
  <c r="I62" i="43"/>
  <c r="I63" i="43"/>
  <c r="I67" i="43"/>
  <c r="I61" i="43"/>
  <c r="I65" i="43"/>
  <c r="I66" i="43"/>
  <c r="I64" i="43"/>
  <c r="J62" i="43"/>
  <c r="J63" i="43"/>
  <c r="J67" i="43"/>
  <c r="J61" i="43"/>
  <c r="J66" i="43"/>
  <c r="J65" i="43"/>
  <c r="J64" i="43"/>
  <c r="W4" i="43"/>
  <c r="W25" i="43" s="1"/>
  <c r="W39" i="43"/>
  <c r="W36" i="43"/>
  <c r="W38" i="43"/>
  <c r="W37" i="43"/>
  <c r="W34" i="43"/>
  <c r="W33" i="43"/>
  <c r="AB4" i="43"/>
  <c r="AB26" i="43" s="1"/>
  <c r="AB39" i="43"/>
  <c r="AB35" i="43"/>
  <c r="AB36" i="43"/>
  <c r="AB38" i="43"/>
  <c r="AB37" i="43"/>
  <c r="AB34" i="43"/>
  <c r="AB33" i="43"/>
  <c r="L39" i="43"/>
  <c r="L35" i="43"/>
  <c r="L38" i="43"/>
  <c r="L37" i="43"/>
  <c r="L36" i="43"/>
  <c r="L34" i="43"/>
  <c r="T61" i="43"/>
  <c r="T62" i="43"/>
  <c r="T63" i="43"/>
  <c r="T67" i="43"/>
  <c r="T66" i="43"/>
  <c r="T64" i="43"/>
  <c r="T65" i="43"/>
  <c r="S4" i="43"/>
  <c r="S39" i="43"/>
  <c r="S35" i="43"/>
  <c r="S38" i="43"/>
  <c r="S36" i="43"/>
  <c r="S37" i="43"/>
  <c r="S34" i="43"/>
  <c r="M39" i="43"/>
  <c r="M35" i="43"/>
  <c r="M38" i="43"/>
  <c r="M37" i="43"/>
  <c r="M36" i="43"/>
  <c r="M34" i="43"/>
  <c r="G39" i="43"/>
  <c r="G35" i="43"/>
  <c r="G38" i="43"/>
  <c r="G37" i="43"/>
  <c r="G36" i="43"/>
  <c r="G34" i="43"/>
  <c r="AA61" i="43"/>
  <c r="AA62" i="43"/>
  <c r="AA63" i="43"/>
  <c r="AA67" i="43"/>
  <c r="AA66" i="43"/>
  <c r="AA64" i="43"/>
  <c r="AA65" i="43"/>
  <c r="L47" i="43"/>
  <c r="L48" i="43"/>
  <c r="L53" i="43"/>
  <c r="L54" i="43"/>
  <c r="L49" i="43"/>
  <c r="L52" i="43"/>
  <c r="L51" i="43"/>
  <c r="L50" i="43"/>
  <c r="G63" i="43"/>
  <c r="G67" i="43"/>
  <c r="G61" i="43"/>
  <c r="G62" i="43"/>
  <c r="G66" i="43"/>
  <c r="G65" i="43"/>
  <c r="G64" i="43"/>
  <c r="AC61" i="43"/>
  <c r="AC62" i="43"/>
  <c r="AC63" i="43"/>
  <c r="AC67" i="43"/>
  <c r="AC66" i="43"/>
  <c r="AC64" i="43"/>
  <c r="AC65" i="43"/>
  <c r="V55" i="43"/>
  <c r="I55" i="43"/>
  <c r="AC39" i="43"/>
  <c r="AC35" i="43"/>
  <c r="AC38" i="43"/>
  <c r="AC36" i="43"/>
  <c r="AC37" i="43"/>
  <c r="AC34" i="43"/>
  <c r="I68" i="43"/>
  <c r="N39" i="43"/>
  <c r="N38" i="43"/>
  <c r="N35" i="43"/>
  <c r="N36" i="43"/>
  <c r="N37" i="43"/>
  <c r="U47" i="43"/>
  <c r="U48" i="43"/>
  <c r="U54" i="43"/>
  <c r="U53" i="43"/>
  <c r="U49" i="43"/>
  <c r="U52" i="43"/>
  <c r="U50" i="43"/>
  <c r="U51" i="43"/>
  <c r="F4" i="43"/>
  <c r="F39" i="43"/>
  <c r="F35" i="43"/>
  <c r="F38" i="43"/>
  <c r="F37" i="43"/>
  <c r="F36" i="43"/>
  <c r="F34" i="43"/>
  <c r="O63" i="43"/>
  <c r="O67" i="43"/>
  <c r="O61" i="43"/>
  <c r="O62" i="43"/>
  <c r="O66" i="43"/>
  <c r="O64" i="43"/>
  <c r="O65" i="43"/>
  <c r="AA39" i="43"/>
  <c r="AA35" i="43"/>
  <c r="AA38" i="43"/>
  <c r="AA36" i="43"/>
  <c r="AA37" i="43"/>
  <c r="AA34" i="43"/>
  <c r="P63" i="43"/>
  <c r="P67" i="43"/>
  <c r="P62" i="43"/>
  <c r="P61" i="43"/>
  <c r="P66" i="43"/>
  <c r="P64" i="43"/>
  <c r="P65" i="43"/>
  <c r="H63" i="43"/>
  <c r="H67" i="43"/>
  <c r="H62" i="43"/>
  <c r="H61" i="43"/>
  <c r="H65" i="43"/>
  <c r="H66" i="43"/>
  <c r="H64" i="43"/>
  <c r="T33" i="43"/>
  <c r="P55" i="43"/>
  <c r="Z55" i="43"/>
  <c r="D55" i="43"/>
  <c r="Z33" i="43"/>
  <c r="V4" i="43"/>
  <c r="V25" i="43" s="1"/>
  <c r="V39" i="43"/>
  <c r="V35" i="43"/>
  <c r="V38" i="43"/>
  <c r="V36" i="43"/>
  <c r="V37" i="43"/>
  <c r="V34" i="43"/>
  <c r="P39" i="43"/>
  <c r="P35" i="43"/>
  <c r="P38" i="43"/>
  <c r="P36" i="43"/>
  <c r="P37" i="43"/>
  <c r="P34" i="43"/>
  <c r="I39" i="43"/>
  <c r="I35" i="43"/>
  <c r="I38" i="43"/>
  <c r="I37" i="43"/>
  <c r="I36" i="43"/>
  <c r="I34" i="43"/>
  <c r="R39" i="43"/>
  <c r="R35" i="43"/>
  <c r="R38" i="43"/>
  <c r="R36" i="43"/>
  <c r="R37" i="43"/>
  <c r="R34" i="43"/>
  <c r="U39" i="43"/>
  <c r="U35" i="43"/>
  <c r="U38" i="43"/>
  <c r="U36" i="43"/>
  <c r="U37" i="43"/>
  <c r="U34" i="43"/>
  <c r="J39" i="43"/>
  <c r="J35" i="43"/>
  <c r="J38" i="43"/>
  <c r="J37" i="43"/>
  <c r="J36" i="43"/>
  <c r="J34" i="43"/>
  <c r="F54" i="43"/>
  <c r="F47" i="43"/>
  <c r="F48" i="43"/>
  <c r="F53" i="43"/>
  <c r="F49" i="43"/>
  <c r="F52" i="43"/>
  <c r="F51" i="43"/>
  <c r="F50" i="43"/>
  <c r="Y4" i="43"/>
  <c r="Y39" i="43"/>
  <c r="Y35" i="43"/>
  <c r="Y38" i="43"/>
  <c r="Y36" i="43"/>
  <c r="Y37" i="43"/>
  <c r="Y34" i="43"/>
  <c r="H39" i="43"/>
  <c r="H35" i="43"/>
  <c r="H38" i="43"/>
  <c r="H37" i="43"/>
  <c r="H36" i="43"/>
  <c r="H34" i="43"/>
  <c r="T47" i="43"/>
  <c r="T48" i="43"/>
  <c r="T53" i="43"/>
  <c r="T54" i="43"/>
  <c r="T49" i="43"/>
  <c r="T52" i="43"/>
  <c r="T50" i="43"/>
  <c r="T51" i="43"/>
  <c r="X39" i="43"/>
  <c r="X35" i="43"/>
  <c r="X38" i="43"/>
  <c r="X36" i="43"/>
  <c r="X37" i="43"/>
  <c r="X34" i="43"/>
  <c r="O4" i="43"/>
  <c r="O39" i="43"/>
  <c r="O35" i="43"/>
  <c r="O38" i="43"/>
  <c r="O36" i="43"/>
  <c r="O37" i="43"/>
  <c r="O34" i="43"/>
  <c r="K39" i="43"/>
  <c r="K35" i="43"/>
  <c r="K38" i="43"/>
  <c r="K37" i="43"/>
  <c r="K36" i="43"/>
  <c r="K34" i="43"/>
  <c r="N61" i="43"/>
  <c r="N63" i="43"/>
  <c r="N67" i="43"/>
  <c r="N62" i="43"/>
  <c r="N66" i="43"/>
  <c r="N65" i="43"/>
  <c r="N64" i="43"/>
  <c r="H53" i="43"/>
  <c r="H54" i="43"/>
  <c r="H47" i="43"/>
  <c r="H48" i="43"/>
  <c r="H49" i="43"/>
  <c r="H52" i="43"/>
  <c r="H51" i="43"/>
  <c r="H50" i="43"/>
  <c r="F61" i="43"/>
  <c r="F63" i="43"/>
  <c r="F67" i="43"/>
  <c r="F62" i="43"/>
  <c r="F65" i="43"/>
  <c r="F66" i="43"/>
  <c r="F64" i="43"/>
  <c r="S61" i="43"/>
  <c r="S62" i="43"/>
  <c r="S63" i="43"/>
  <c r="S67" i="43"/>
  <c r="S66" i="43"/>
  <c r="S64" i="43"/>
  <c r="S65" i="43"/>
  <c r="D69" i="43"/>
  <c r="O33" i="43"/>
  <c r="S55" i="43"/>
  <c r="Z68" i="43"/>
  <c r="U68" i="43"/>
  <c r="E41" i="43"/>
  <c r="P68" i="43"/>
  <c r="K68" i="43"/>
  <c r="Y55" i="43"/>
  <c r="D26" i="43"/>
  <c r="E26" i="43"/>
  <c r="D25" i="43"/>
  <c r="D24" i="43"/>
  <c r="E24" i="43"/>
  <c r="E25" i="43"/>
  <c r="N4" i="43"/>
  <c r="J6" i="43"/>
  <c r="L6" i="43"/>
  <c r="U6" i="43"/>
  <c r="X6" i="43"/>
  <c r="Z6" i="43"/>
  <c r="J4" i="43"/>
  <c r="R6" i="43"/>
  <c r="O6" i="43"/>
  <c r="T6" i="43"/>
  <c r="R4" i="43"/>
  <c r="U4" i="43"/>
  <c r="M4" i="43"/>
  <c r="G6" i="43"/>
  <c r="AC6" i="43"/>
  <c r="P4" i="43"/>
  <c r="I4" i="43"/>
  <c r="L4" i="43"/>
  <c r="G4" i="43"/>
  <c r="AA4" i="43"/>
  <c r="H4" i="43"/>
  <c r="P6" i="43"/>
  <c r="H6" i="43"/>
  <c r="AA6" i="43"/>
  <c r="X4" i="43"/>
  <c r="K4" i="43"/>
  <c r="N6" i="43"/>
  <c r="F6" i="43"/>
  <c r="S6" i="43"/>
  <c r="T4" i="43"/>
  <c r="AC4" i="43"/>
  <c r="I6" i="43"/>
  <c r="K6" i="43"/>
  <c r="M6" i="43"/>
  <c r="D352" i="43"/>
  <c r="F352" i="43"/>
  <c r="AB352" i="43"/>
  <c r="Y352" i="43"/>
  <c r="Z352" i="43"/>
  <c r="O352" i="43"/>
  <c r="W352" i="43"/>
  <c r="S352" i="43"/>
  <c r="V352" i="43"/>
  <c r="Q352" i="43"/>
  <c r="G352" i="43"/>
  <c r="AC352" i="43"/>
  <c r="L352" i="43"/>
  <c r="P352" i="43"/>
  <c r="X352" i="43"/>
  <c r="T352" i="43"/>
  <c r="K352" i="43"/>
  <c r="J352" i="43"/>
  <c r="H352" i="43"/>
  <c r="U352" i="43"/>
  <c r="M352" i="43"/>
  <c r="N352" i="43"/>
  <c r="I352" i="43"/>
  <c r="R352" i="43"/>
  <c r="AA352" i="43"/>
  <c r="Q97" i="60"/>
  <c r="V97" i="60"/>
  <c r="X97" i="60"/>
  <c r="M97" i="60"/>
  <c r="U97" i="60"/>
  <c r="AC97" i="60"/>
  <c r="K97" i="60"/>
  <c r="S97" i="60"/>
  <c r="AA97" i="60"/>
  <c r="I97" i="60"/>
  <c r="Y97" i="60"/>
  <c r="G97" i="60"/>
  <c r="O97" i="60"/>
  <c r="W97" i="60"/>
  <c r="Z97" i="60"/>
  <c r="P97" i="60"/>
  <c r="F97" i="60"/>
  <c r="N97" i="60"/>
  <c r="AD97" i="60"/>
  <c r="L97" i="60"/>
  <c r="T97" i="60"/>
  <c r="AB97" i="60"/>
  <c r="J97" i="60"/>
  <c r="R97" i="60"/>
  <c r="H97" i="60"/>
  <c r="E97" i="60"/>
  <c r="AL119" i="59" l="1"/>
  <c r="G10" i="58" s="1"/>
  <c r="AL108" i="59"/>
  <c r="AB24" i="43"/>
  <c r="Q26" i="43"/>
  <c r="AK59" i="59"/>
  <c r="V24" i="43"/>
  <c r="V26" i="43"/>
  <c r="E26" i="58"/>
  <c r="AJ49" i="59" s="1"/>
  <c r="AK121" i="59"/>
  <c r="AP98" i="59"/>
  <c r="AP97" i="59"/>
  <c r="AP101" i="59"/>
  <c r="AP99" i="59"/>
  <c r="AP96" i="59"/>
  <c r="AP100" i="59"/>
  <c r="BG98" i="59"/>
  <c r="BG96" i="59"/>
  <c r="BG100" i="59"/>
  <c r="BG99" i="59"/>
  <c r="BG97" i="59"/>
  <c r="BG101" i="59"/>
  <c r="AL102" i="59"/>
  <c r="BE99" i="59"/>
  <c r="BE96" i="59"/>
  <c r="BE100" i="59"/>
  <c r="BE101" i="59"/>
  <c r="BE97" i="59"/>
  <c r="BE98" i="59"/>
  <c r="AK124" i="59"/>
  <c r="F25" i="58" s="1"/>
  <c r="F26" i="58" s="1"/>
  <c r="BF102" i="59"/>
  <c r="BH97" i="59"/>
  <c r="BH101" i="59"/>
  <c r="BH98" i="59"/>
  <c r="BH96" i="59"/>
  <c r="BH99" i="59"/>
  <c r="BH100" i="59"/>
  <c r="AO99" i="59"/>
  <c r="AO96" i="59"/>
  <c r="AO100" i="59"/>
  <c r="AO97" i="59"/>
  <c r="AO101" i="59"/>
  <c r="AO98" i="59"/>
  <c r="BA97" i="59"/>
  <c r="BA101" i="59"/>
  <c r="BA98" i="59"/>
  <c r="BA99" i="59"/>
  <c r="BA96" i="59"/>
  <c r="BA100" i="59"/>
  <c r="BC102" i="59"/>
  <c r="S26" i="43"/>
  <c r="AZ97" i="59"/>
  <c r="AZ101" i="59"/>
  <c r="AZ96" i="59"/>
  <c r="AZ100" i="59"/>
  <c r="AZ98" i="59"/>
  <c r="AZ99" i="59"/>
  <c r="AW99" i="59"/>
  <c r="AW101" i="59"/>
  <c r="AW98" i="59"/>
  <c r="AW97" i="59"/>
  <c r="AW96" i="59"/>
  <c r="AW100" i="59"/>
  <c r="BJ96" i="59"/>
  <c r="BJ100" i="59"/>
  <c r="BJ97" i="59"/>
  <c r="BJ101" i="59"/>
  <c r="BJ98" i="59"/>
  <c r="BJ99" i="59"/>
  <c r="O26" i="43"/>
  <c r="AV99" i="59"/>
  <c r="AV98" i="59"/>
  <c r="AV96" i="59"/>
  <c r="AV100" i="59"/>
  <c r="AV97" i="59"/>
  <c r="AV101" i="59"/>
  <c r="BB96" i="59"/>
  <c r="BB100" i="59"/>
  <c r="BB97" i="59"/>
  <c r="BB101" i="59"/>
  <c r="BB98" i="59"/>
  <c r="BB99" i="59"/>
  <c r="AK102" i="59"/>
  <c r="BI102" i="59"/>
  <c r="N26" i="43"/>
  <c r="AU96" i="59"/>
  <c r="AU100" i="59"/>
  <c r="AU97" i="59"/>
  <c r="AU101" i="59"/>
  <c r="AU98" i="59"/>
  <c r="AU99" i="59"/>
  <c r="AT96" i="59"/>
  <c r="AT100" i="59"/>
  <c r="AT97" i="59"/>
  <c r="AT101" i="59"/>
  <c r="AT99" i="59"/>
  <c r="AT98" i="59"/>
  <c r="F26" i="43"/>
  <c r="AM99" i="59"/>
  <c r="AM96" i="59"/>
  <c r="AM100" i="59"/>
  <c r="AM98" i="59"/>
  <c r="AM97" i="59"/>
  <c r="AM101" i="59"/>
  <c r="AN99" i="59"/>
  <c r="AN96" i="59"/>
  <c r="AN100" i="59"/>
  <c r="AN97" i="59"/>
  <c r="AN101" i="59"/>
  <c r="AN98" i="59"/>
  <c r="AS100" i="59"/>
  <c r="AS97" i="59"/>
  <c r="AS101" i="59"/>
  <c r="AS99" i="59"/>
  <c r="AS98" i="59"/>
  <c r="AS96" i="59"/>
  <c r="AR97" i="59"/>
  <c r="AR101" i="59"/>
  <c r="AR100" i="59"/>
  <c r="AR98" i="59"/>
  <c r="AR99" i="59"/>
  <c r="AR96" i="59"/>
  <c r="AY97" i="59"/>
  <c r="AY101" i="59"/>
  <c r="AY98" i="59"/>
  <c r="AY100" i="59"/>
  <c r="AY99" i="59"/>
  <c r="AY96" i="59"/>
  <c r="AQ98" i="59"/>
  <c r="AQ97" i="59"/>
  <c r="AQ99" i="59"/>
  <c r="AQ96" i="59"/>
  <c r="AQ101" i="59"/>
  <c r="AQ100" i="59"/>
  <c r="AK120" i="59"/>
  <c r="F11" i="58" s="1"/>
  <c r="F12" i="58" s="1"/>
  <c r="F13" i="58" s="1"/>
  <c r="F14" i="58" s="1"/>
  <c r="F15" i="58" s="1"/>
  <c r="F16" i="58" s="1"/>
  <c r="F17" i="58" s="1"/>
  <c r="F18" i="58" s="1"/>
  <c r="F19" i="58" s="1"/>
  <c r="AL112" i="59"/>
  <c r="AL123" i="59"/>
  <c r="AL111" i="59"/>
  <c r="AL122" i="59"/>
  <c r="AL110" i="59"/>
  <c r="AL121" i="59"/>
  <c r="AL109" i="59"/>
  <c r="AL120" i="59"/>
  <c r="G11" i="58" s="1"/>
  <c r="G12" i="58" s="1"/>
  <c r="G13" i="58" s="1"/>
  <c r="G14" i="58" s="1"/>
  <c r="G15" i="58" s="1"/>
  <c r="G16" i="58" s="1"/>
  <c r="G17" i="58" s="1"/>
  <c r="G18" i="58" s="1"/>
  <c r="G19" i="58" s="1"/>
  <c r="AK122" i="59"/>
  <c r="AK119" i="59"/>
  <c r="AK108" i="59"/>
  <c r="AL113" i="59"/>
  <c r="AL124" i="59"/>
  <c r="G25" i="58" s="1"/>
  <c r="G26" i="58" s="1"/>
  <c r="AV89" i="59"/>
  <c r="AK109" i="59"/>
  <c r="AK110" i="59"/>
  <c r="BD89" i="59"/>
  <c r="AP89" i="59"/>
  <c r="AB25" i="43"/>
  <c r="AB27" i="43" s="1"/>
  <c r="I26" i="43"/>
  <c r="AW75" i="59"/>
  <c r="AW70" i="59"/>
  <c r="AW71" i="59"/>
  <c r="AW72" i="59"/>
  <c r="AW73" i="59"/>
  <c r="AW74" i="59"/>
  <c r="BI72" i="59"/>
  <c r="BI74" i="59"/>
  <c r="BI112" i="59" s="1"/>
  <c r="BI75" i="59"/>
  <c r="BI70" i="59"/>
  <c r="BI119" i="59" s="1"/>
  <c r="BI71" i="59"/>
  <c r="BI73" i="59"/>
  <c r="AW89" i="59"/>
  <c r="BG70" i="59"/>
  <c r="BG71" i="59"/>
  <c r="BG72" i="59"/>
  <c r="BG73" i="59"/>
  <c r="BG74" i="59"/>
  <c r="BG75" i="59"/>
  <c r="BA83" i="59"/>
  <c r="BA84" i="59"/>
  <c r="BA85" i="59"/>
  <c r="BA86" i="59"/>
  <c r="BA88" i="59"/>
  <c r="BA87" i="59"/>
  <c r="AM83" i="59"/>
  <c r="AM84" i="59"/>
  <c r="AM85" i="59"/>
  <c r="AM86" i="59"/>
  <c r="AM87" i="59"/>
  <c r="AM88" i="59"/>
  <c r="Y25" i="43"/>
  <c r="BF75" i="59"/>
  <c r="BF70" i="59"/>
  <c r="BF119" i="59" s="1"/>
  <c r="BF71" i="59"/>
  <c r="BF72" i="59"/>
  <c r="BF73" i="59"/>
  <c r="BF74" i="59"/>
  <c r="BF112" i="59" s="1"/>
  <c r="P41" i="43"/>
  <c r="BJ89" i="59"/>
  <c r="AK76" i="59"/>
  <c r="BF89" i="59"/>
  <c r="BC89" i="59"/>
  <c r="AO87" i="59"/>
  <c r="AO88" i="59"/>
  <c r="AO83" i="59"/>
  <c r="AO84" i="59"/>
  <c r="AO85" i="59"/>
  <c r="AO86" i="59"/>
  <c r="K41" i="43"/>
  <c r="R41" i="43"/>
  <c r="AR84" i="59"/>
  <c r="AR85" i="59"/>
  <c r="AR86" i="59"/>
  <c r="AR87" i="59"/>
  <c r="AR88" i="59"/>
  <c r="AR83" i="59"/>
  <c r="BH73" i="59"/>
  <c r="BH75" i="59"/>
  <c r="BH70" i="59"/>
  <c r="BH71" i="59"/>
  <c r="BH72" i="59"/>
  <c r="BH74" i="59"/>
  <c r="AT70" i="59"/>
  <c r="AT72" i="59"/>
  <c r="AT73" i="59"/>
  <c r="AT74" i="59"/>
  <c r="AT75" i="59"/>
  <c r="AT71" i="59"/>
  <c r="AQ73" i="59"/>
  <c r="AQ74" i="59"/>
  <c r="AQ75" i="59"/>
  <c r="AQ70" i="59"/>
  <c r="AQ71" i="59"/>
  <c r="AQ72" i="59"/>
  <c r="AU71" i="59"/>
  <c r="AU72" i="59"/>
  <c r="AU73" i="59"/>
  <c r="AU74" i="59"/>
  <c r="AU75" i="59"/>
  <c r="AU70" i="59"/>
  <c r="Y26" i="43"/>
  <c r="AZ72" i="59"/>
  <c r="AZ73" i="59"/>
  <c r="AZ74" i="59"/>
  <c r="AZ75" i="59"/>
  <c r="AZ70" i="59"/>
  <c r="AZ71" i="59"/>
  <c r="AZ89" i="59"/>
  <c r="AK113" i="59"/>
  <c r="AL76" i="59"/>
  <c r="BB83" i="59"/>
  <c r="BB84" i="59"/>
  <c r="BB85" i="59"/>
  <c r="BB86" i="59"/>
  <c r="BB87" i="59"/>
  <c r="BB88" i="59"/>
  <c r="AO75" i="59"/>
  <c r="AO70" i="59"/>
  <c r="AO72" i="59"/>
  <c r="AO71" i="59"/>
  <c r="AO73" i="59"/>
  <c r="AO74" i="59"/>
  <c r="K24" i="43"/>
  <c r="AR72" i="59"/>
  <c r="AR73" i="59"/>
  <c r="AR74" i="59"/>
  <c r="AR75" i="59"/>
  <c r="AR70" i="59"/>
  <c r="AR71" i="59"/>
  <c r="AN70" i="59"/>
  <c r="AN71" i="59"/>
  <c r="AN73" i="59"/>
  <c r="AN72" i="59"/>
  <c r="AN74" i="59"/>
  <c r="AN75" i="59"/>
  <c r="BB70" i="59"/>
  <c r="BB71" i="59"/>
  <c r="BB72" i="59"/>
  <c r="BB73" i="59"/>
  <c r="BB74" i="59"/>
  <c r="BB75" i="59"/>
  <c r="Z26" i="43"/>
  <c r="AK112" i="59"/>
  <c r="BH89" i="59"/>
  <c r="BA71" i="59"/>
  <c r="BA72" i="59"/>
  <c r="BA73" i="59"/>
  <c r="BA74" i="59"/>
  <c r="BA75" i="59"/>
  <c r="BA70" i="59"/>
  <c r="AS83" i="59"/>
  <c r="AS84" i="59"/>
  <c r="AS85" i="59"/>
  <c r="AS86" i="59"/>
  <c r="AS87" i="59"/>
  <c r="AS88" i="59"/>
  <c r="AA41" i="43"/>
  <c r="BJ71" i="59"/>
  <c r="BJ73" i="59"/>
  <c r="BJ74" i="59"/>
  <c r="BJ75" i="59"/>
  <c r="BJ70" i="59"/>
  <c r="BJ72" i="59"/>
  <c r="BE70" i="59"/>
  <c r="BE71" i="59"/>
  <c r="BE73" i="59"/>
  <c r="BE72" i="59"/>
  <c r="BE74" i="59"/>
  <c r="BE75" i="59"/>
  <c r="AS72" i="59"/>
  <c r="AS73" i="59"/>
  <c r="AS74" i="59"/>
  <c r="AS75" i="59"/>
  <c r="AS70" i="59"/>
  <c r="AS71" i="59"/>
  <c r="AY73" i="59"/>
  <c r="AY74" i="59"/>
  <c r="AY75" i="59"/>
  <c r="AY70" i="59"/>
  <c r="AY71" i="59"/>
  <c r="AY72" i="59"/>
  <c r="AM70" i="59"/>
  <c r="AM71" i="59"/>
  <c r="AM72" i="59"/>
  <c r="AM73" i="59"/>
  <c r="AM74" i="59"/>
  <c r="AM75" i="59"/>
  <c r="Q24" i="43"/>
  <c r="AX74" i="59"/>
  <c r="AX112" i="59" s="1"/>
  <c r="AX75" i="59"/>
  <c r="AX70" i="59"/>
  <c r="AX119" i="59" s="1"/>
  <c r="AX71" i="59"/>
  <c r="AX72" i="59"/>
  <c r="AX73" i="59"/>
  <c r="AK111" i="59"/>
  <c r="AK89" i="59"/>
  <c r="AN89" i="59"/>
  <c r="J25" i="43"/>
  <c r="AQ85" i="59"/>
  <c r="AQ86" i="59"/>
  <c r="AQ87" i="59"/>
  <c r="AQ88" i="59"/>
  <c r="AQ83" i="59"/>
  <c r="AQ84" i="59"/>
  <c r="AP74" i="59"/>
  <c r="AP75" i="59"/>
  <c r="AP71" i="59"/>
  <c r="AP70" i="59"/>
  <c r="AP72" i="59"/>
  <c r="AP73" i="59"/>
  <c r="AT83" i="59"/>
  <c r="AT84" i="59"/>
  <c r="AT85" i="59"/>
  <c r="AT86" i="59"/>
  <c r="AT87" i="59"/>
  <c r="AT88" i="59"/>
  <c r="BE88" i="59"/>
  <c r="BE83" i="59"/>
  <c r="BE84" i="59"/>
  <c r="BE85" i="59"/>
  <c r="BE86" i="59"/>
  <c r="BE87" i="59"/>
  <c r="AV70" i="59"/>
  <c r="AV71" i="59"/>
  <c r="AV72" i="59"/>
  <c r="AV73" i="59"/>
  <c r="AV74" i="59"/>
  <c r="AV75" i="59"/>
  <c r="BC70" i="59"/>
  <c r="BC119" i="59" s="1"/>
  <c r="BC71" i="59"/>
  <c r="BC72" i="59"/>
  <c r="BC74" i="59"/>
  <c r="BC112" i="59" s="1"/>
  <c r="BC73" i="59"/>
  <c r="BC75" i="59"/>
  <c r="BG89" i="59"/>
  <c r="AY89" i="59"/>
  <c r="BD73" i="59"/>
  <c r="BD70" i="59"/>
  <c r="BD119" i="59" s="1"/>
  <c r="BD74" i="59"/>
  <c r="BD112" i="59" s="1"/>
  <c r="BD71" i="59"/>
  <c r="BD75" i="59"/>
  <c r="BD72" i="59"/>
  <c r="W24" i="43"/>
  <c r="W26" i="43"/>
  <c r="L41" i="43"/>
  <c r="H41" i="43"/>
  <c r="N41" i="43"/>
  <c r="P26" i="43"/>
  <c r="X41" i="43"/>
  <c r="F41" i="43"/>
  <c r="V41" i="43"/>
  <c r="AA69" i="43"/>
  <c r="G69" i="43"/>
  <c r="L55" i="43"/>
  <c r="G41" i="43"/>
  <c r="AB41" i="43"/>
  <c r="W41" i="43"/>
  <c r="M69" i="43"/>
  <c r="H55" i="43"/>
  <c r="F55" i="43"/>
  <c r="AC41" i="43"/>
  <c r="X55" i="43"/>
  <c r="K69" i="43"/>
  <c r="AC69" i="43"/>
  <c r="M55" i="43"/>
  <c r="Y24" i="43"/>
  <c r="O41" i="43"/>
  <c r="S69" i="43"/>
  <c r="N69" i="43"/>
  <c r="T41" i="43"/>
  <c r="T69" i="43"/>
  <c r="Z69" i="43"/>
  <c r="K55" i="43"/>
  <c r="F69" i="43"/>
  <c r="T55" i="43"/>
  <c r="U41" i="43"/>
  <c r="M41" i="43"/>
  <c r="I69" i="43"/>
  <c r="Y41" i="43"/>
  <c r="I41" i="43"/>
  <c r="J69" i="43"/>
  <c r="R69" i="43"/>
  <c r="Q41" i="43"/>
  <c r="AA25" i="43"/>
  <c r="J41" i="43"/>
  <c r="P69" i="43"/>
  <c r="O69" i="43"/>
  <c r="S41" i="43"/>
  <c r="J55" i="43"/>
  <c r="U69" i="43"/>
  <c r="H69" i="43"/>
  <c r="U55" i="43"/>
  <c r="L69" i="43"/>
  <c r="X69" i="43"/>
  <c r="Z41" i="43"/>
  <c r="D27" i="43"/>
  <c r="U24" i="43"/>
  <c r="M26" i="43"/>
  <c r="X24" i="43"/>
  <c r="L24" i="43"/>
  <c r="T25" i="43"/>
  <c r="R24" i="43"/>
  <c r="E27" i="43"/>
  <c r="H25" i="43"/>
  <c r="AA26" i="43"/>
  <c r="I25" i="43"/>
  <c r="P25" i="43"/>
  <c r="G24" i="43"/>
  <c r="AC26" i="43"/>
  <c r="U26" i="43"/>
  <c r="O25" i="43"/>
  <c r="AC24" i="43"/>
  <c r="G26" i="43"/>
  <c r="F25" i="43"/>
  <c r="X26" i="43"/>
  <c r="L26" i="43"/>
  <c r="O24" i="43"/>
  <c r="Z25" i="43"/>
  <c r="F24" i="43"/>
  <c r="H24" i="43"/>
  <c r="I24" i="43"/>
  <c r="L25" i="43"/>
  <c r="M25" i="43"/>
  <c r="R26" i="43"/>
  <c r="X25" i="43"/>
  <c r="J26" i="43"/>
  <c r="S25" i="43"/>
  <c r="Z24" i="43"/>
  <c r="K26" i="43"/>
  <c r="G25" i="43"/>
  <c r="K25" i="43"/>
  <c r="T24" i="43"/>
  <c r="H26" i="43"/>
  <c r="AA24" i="43"/>
  <c r="P24" i="43"/>
  <c r="M24" i="43"/>
  <c r="T26" i="43"/>
  <c r="J24" i="43"/>
  <c r="U25" i="43"/>
  <c r="N24" i="43"/>
  <c r="N25" i="43"/>
  <c r="AC25" i="43"/>
  <c r="S24" i="43"/>
  <c r="R25" i="43"/>
  <c r="D126" i="61"/>
  <c r="V27" i="43" l="1"/>
  <c r="G20" i="58"/>
  <c r="G21" i="58" s="1"/>
  <c r="F20" i="58"/>
  <c r="F21" i="58" s="1"/>
  <c r="AL44" i="59"/>
  <c r="AL55" i="59" s="1"/>
  <c r="Q27" i="43"/>
  <c r="AP119" i="59"/>
  <c r="K10" i="58" s="1"/>
  <c r="AP44" i="59" s="1"/>
  <c r="AP55" i="59" s="1"/>
  <c r="AW112" i="59"/>
  <c r="AY119" i="59"/>
  <c r="T10" i="58" s="1"/>
  <c r="AY44" i="59" s="1"/>
  <c r="AY55" i="59" s="1"/>
  <c r="BJ119" i="59"/>
  <c r="AE10" i="58" s="1"/>
  <c r="BJ44" i="59" s="1"/>
  <c r="BJ55" i="59" s="1"/>
  <c r="BA119" i="59"/>
  <c r="V10" i="58" s="1"/>
  <c r="BA44" i="59" s="1"/>
  <c r="BA55" i="59" s="1"/>
  <c r="AP112" i="59"/>
  <c r="BH112" i="59"/>
  <c r="BB119" i="59"/>
  <c r="W10" i="58" s="1"/>
  <c r="BB44" i="59" s="1"/>
  <c r="BB55" i="59" s="1"/>
  <c r="BH119" i="59"/>
  <c r="AC10" i="58" s="1"/>
  <c r="BH44" i="59" s="1"/>
  <c r="BH55" i="59" s="1"/>
  <c r="AS119" i="59"/>
  <c r="N10" i="58" s="1"/>
  <c r="AS44" i="59" s="1"/>
  <c r="AS55" i="59" s="1"/>
  <c r="BA124" i="59"/>
  <c r="V25" i="58" s="1"/>
  <c r="V26" i="58" s="1"/>
  <c r="AN112" i="59"/>
  <c r="BG112" i="59"/>
  <c r="AO121" i="59"/>
  <c r="BB112" i="59"/>
  <c r="AW119" i="59"/>
  <c r="R10" i="58" s="1"/>
  <c r="AW44" i="59" s="1"/>
  <c r="AW55" i="59" s="1"/>
  <c r="AU119" i="59"/>
  <c r="P10" i="58" s="1"/>
  <c r="AU44" i="59" s="1"/>
  <c r="AU55" i="59" s="1"/>
  <c r="AY112" i="59"/>
  <c r="AZ119" i="59"/>
  <c r="U10" i="58" s="1"/>
  <c r="AZ44" i="59" s="1"/>
  <c r="AZ55" i="59" s="1"/>
  <c r="AR124" i="59"/>
  <c r="M25" i="58" s="1"/>
  <c r="M26" i="58" s="1"/>
  <c r="AM119" i="59"/>
  <c r="H10" i="58" s="1"/>
  <c r="AM44" i="59" s="1"/>
  <c r="AM55" i="59" s="1"/>
  <c r="G23" i="58"/>
  <c r="AL47" i="59" s="1"/>
  <c r="AL58" i="59" s="1"/>
  <c r="F10" i="58"/>
  <c r="AK44" i="59" s="1"/>
  <c r="AK55" i="59" s="1"/>
  <c r="G24" i="58"/>
  <c r="AL48" i="59" s="1"/>
  <c r="AL59" i="59" s="1"/>
  <c r="F23" i="58"/>
  <c r="AK47" i="59" s="1"/>
  <c r="AK58" i="59" s="1"/>
  <c r="AJ60" i="59"/>
  <c r="AJ50" i="59"/>
  <c r="S10" i="58"/>
  <c r="AX44" i="59" s="1"/>
  <c r="AX55" i="59" s="1"/>
  <c r="Y10" i="58"/>
  <c r="BD44" i="59" s="1"/>
  <c r="BD55" i="59" s="1"/>
  <c r="X10" i="58"/>
  <c r="BC44" i="59" s="1"/>
  <c r="BC55" i="59" s="1"/>
  <c r="AA10" i="58"/>
  <c r="BF44" i="59" s="1"/>
  <c r="BF55" i="59" s="1"/>
  <c r="AD10" i="58"/>
  <c r="BI44" i="59" s="1"/>
  <c r="BI55" i="59" s="1"/>
  <c r="AK49" i="59"/>
  <c r="AK60" i="59" s="1"/>
  <c r="AL49" i="59"/>
  <c r="AL60" i="59" s="1"/>
  <c r="AL45" i="59"/>
  <c r="BJ112" i="59"/>
  <c r="AZ112" i="59"/>
  <c r="AS112" i="59"/>
  <c r="AU112" i="59"/>
  <c r="AV119" i="59"/>
  <c r="AS120" i="59"/>
  <c r="N11" i="58" s="1"/>
  <c r="N12" i="58" s="1"/>
  <c r="N13" i="58" s="1"/>
  <c r="N14" i="58" s="1"/>
  <c r="N15" i="58" s="1"/>
  <c r="N16" i="58" s="1"/>
  <c r="N17" i="58" s="1"/>
  <c r="N18" i="58" s="1"/>
  <c r="N19" i="58" s="1"/>
  <c r="AO119" i="59"/>
  <c r="AR122" i="59"/>
  <c r="AM112" i="59"/>
  <c r="BB120" i="59"/>
  <c r="W11" i="58" s="1"/>
  <c r="W12" i="58" s="1"/>
  <c r="W13" i="58" s="1"/>
  <c r="W14" i="58" s="1"/>
  <c r="W15" i="58" s="1"/>
  <c r="W16" i="58" s="1"/>
  <c r="W17" i="58" s="1"/>
  <c r="W18" i="58" s="1"/>
  <c r="W19" i="58" s="1"/>
  <c r="AR102" i="59"/>
  <c r="AN102" i="59"/>
  <c r="BG102" i="59"/>
  <c r="AP102" i="59"/>
  <c r="AS124" i="59"/>
  <c r="N25" i="58" s="1"/>
  <c r="N26" i="58" s="1"/>
  <c r="BG119" i="59"/>
  <c r="AV102" i="59"/>
  <c r="AO102" i="59"/>
  <c r="AY102" i="59"/>
  <c r="BJ102" i="59"/>
  <c r="BA102" i="59"/>
  <c r="AO124" i="59"/>
  <c r="J25" i="58" s="1"/>
  <c r="J26" i="58" s="1"/>
  <c r="AU102" i="59"/>
  <c r="AW102" i="59"/>
  <c r="AZ102" i="59"/>
  <c r="BB102" i="59"/>
  <c r="S27" i="43"/>
  <c r="AV112" i="59"/>
  <c r="AS122" i="59"/>
  <c r="BB122" i="59"/>
  <c r="AQ102" i="59"/>
  <c r="AS102" i="59"/>
  <c r="AM102" i="59"/>
  <c r="AT102" i="59"/>
  <c r="BE102" i="59"/>
  <c r="AN119" i="59"/>
  <c r="BH102" i="59"/>
  <c r="BE119" i="59"/>
  <c r="AM120" i="59"/>
  <c r="H11" i="58" s="1"/>
  <c r="H12" i="58" s="1"/>
  <c r="H13" i="58" s="1"/>
  <c r="H14" i="58" s="1"/>
  <c r="H15" i="58" s="1"/>
  <c r="H16" i="58" s="1"/>
  <c r="H17" i="58" s="1"/>
  <c r="H18" i="58" s="1"/>
  <c r="H19" i="58" s="1"/>
  <c r="BE122" i="59"/>
  <c r="AT124" i="59"/>
  <c r="O25" i="58" s="1"/>
  <c r="O26" i="58" s="1"/>
  <c r="AX113" i="59"/>
  <c r="AX124" i="59"/>
  <c r="S25" i="58" s="1"/>
  <c r="S26" i="58" s="1"/>
  <c r="BJ109" i="59"/>
  <c r="BJ120" i="59"/>
  <c r="AE11" i="58" s="1"/>
  <c r="AE12" i="58" s="1"/>
  <c r="AE13" i="58" s="1"/>
  <c r="AE14" i="58" s="1"/>
  <c r="AE15" i="58" s="1"/>
  <c r="AE16" i="58" s="1"/>
  <c r="AE17" i="58" s="1"/>
  <c r="AE18" i="58" s="1"/>
  <c r="AE19" i="58" s="1"/>
  <c r="AZ111" i="59"/>
  <c r="AZ122" i="59"/>
  <c r="AY110" i="59"/>
  <c r="AY121" i="59"/>
  <c r="BE120" i="59"/>
  <c r="Z11" i="58" s="1"/>
  <c r="Z12" i="58" s="1"/>
  <c r="Z13" i="58" s="1"/>
  <c r="Z14" i="58" s="1"/>
  <c r="Z15" i="58" s="1"/>
  <c r="Z16" i="58" s="1"/>
  <c r="Z17" i="58" s="1"/>
  <c r="Z18" i="58" s="1"/>
  <c r="Z19" i="58" s="1"/>
  <c r="BB124" i="59"/>
  <c r="W25" i="58" s="1"/>
  <c r="W26" i="58" s="1"/>
  <c r="AN110" i="59"/>
  <c r="AN121" i="59"/>
  <c r="AZ110" i="59"/>
  <c r="AZ121" i="59"/>
  <c r="AQ121" i="59"/>
  <c r="BH113" i="59"/>
  <c r="BH124" i="59"/>
  <c r="AC25" i="58" s="1"/>
  <c r="AC26" i="58" s="1"/>
  <c r="BF109" i="59"/>
  <c r="BF120" i="59"/>
  <c r="AA11" i="58" s="1"/>
  <c r="AA12" i="58" s="1"/>
  <c r="AA13" i="58" s="1"/>
  <c r="AA14" i="58" s="1"/>
  <c r="AA15" i="58" s="1"/>
  <c r="AA16" i="58" s="1"/>
  <c r="AA17" i="58" s="1"/>
  <c r="AA18" i="58" s="1"/>
  <c r="AA19" i="58" s="1"/>
  <c r="BG113" i="59"/>
  <c r="BG124" i="59"/>
  <c r="AB25" i="58" s="1"/>
  <c r="AB26" i="58" s="1"/>
  <c r="BI109" i="59"/>
  <c r="BI120" i="59"/>
  <c r="AD11" i="58" s="1"/>
  <c r="AD12" i="58" s="1"/>
  <c r="AD13" i="58" s="1"/>
  <c r="AD14" i="58" s="1"/>
  <c r="AD15" i="58" s="1"/>
  <c r="AD16" i="58" s="1"/>
  <c r="AD17" i="58" s="1"/>
  <c r="AD18" i="58" s="1"/>
  <c r="AD19" i="58" s="1"/>
  <c r="AW109" i="59"/>
  <c r="AW120" i="59"/>
  <c r="R11" i="58" s="1"/>
  <c r="R12" i="58" s="1"/>
  <c r="R13" i="58" s="1"/>
  <c r="R14" i="58" s="1"/>
  <c r="R15" i="58" s="1"/>
  <c r="R16" i="58" s="1"/>
  <c r="R17" i="58" s="1"/>
  <c r="R18" i="58" s="1"/>
  <c r="R19" i="58" s="1"/>
  <c r="BI111" i="59"/>
  <c r="BI122" i="59"/>
  <c r="BI47" i="59" s="1"/>
  <c r="BI58" i="59" s="1"/>
  <c r="AV113" i="59"/>
  <c r="AV124" i="59"/>
  <c r="Q25" i="58" s="1"/>
  <c r="Q26" i="58" s="1"/>
  <c r="AY109" i="59"/>
  <c r="AY120" i="59"/>
  <c r="T11" i="58" s="1"/>
  <c r="T12" i="58" s="1"/>
  <c r="T13" i="58" s="1"/>
  <c r="T14" i="58" s="1"/>
  <c r="T15" i="58" s="1"/>
  <c r="T16" i="58" s="1"/>
  <c r="T17" i="58" s="1"/>
  <c r="T18" i="58" s="1"/>
  <c r="T19" i="58" s="1"/>
  <c r="AN111" i="59"/>
  <c r="AN122" i="59"/>
  <c r="AR110" i="59"/>
  <c r="AR121" i="59"/>
  <c r="AQ120" i="59"/>
  <c r="L11" i="58" s="1"/>
  <c r="L12" i="58" s="1"/>
  <c r="L13" i="58" s="1"/>
  <c r="L14" i="58" s="1"/>
  <c r="L15" i="58" s="1"/>
  <c r="L16" i="58" s="1"/>
  <c r="L17" i="58" s="1"/>
  <c r="L18" i="58" s="1"/>
  <c r="L19" i="58" s="1"/>
  <c r="AT122" i="59"/>
  <c r="BH111" i="59"/>
  <c r="BH122" i="59"/>
  <c r="BH47" i="59" s="1"/>
  <c r="BH58" i="59" s="1"/>
  <c r="AU109" i="59"/>
  <c r="AU120" i="59"/>
  <c r="P11" i="58" s="1"/>
  <c r="P12" i="58" s="1"/>
  <c r="P13" i="58" s="1"/>
  <c r="P14" i="58" s="1"/>
  <c r="P15" i="58" s="1"/>
  <c r="P16" i="58" s="1"/>
  <c r="P17" i="58" s="1"/>
  <c r="P18" i="58" s="1"/>
  <c r="P19" i="58" s="1"/>
  <c r="AM113" i="59"/>
  <c r="AM124" i="59"/>
  <c r="H25" i="58" s="1"/>
  <c r="H26" i="58" s="1"/>
  <c r="BJ110" i="59"/>
  <c r="BJ121" i="59"/>
  <c r="BA111" i="59"/>
  <c r="BA122" i="59"/>
  <c r="AN109" i="59"/>
  <c r="AN120" i="59"/>
  <c r="I11" i="58" s="1"/>
  <c r="I12" i="58" s="1"/>
  <c r="I13" i="58" s="1"/>
  <c r="I14" i="58" s="1"/>
  <c r="I15" i="58" s="1"/>
  <c r="I16" i="58" s="1"/>
  <c r="I17" i="58" s="1"/>
  <c r="I18" i="58" s="1"/>
  <c r="I19" i="58" s="1"/>
  <c r="AQ119" i="59"/>
  <c r="AT121" i="59"/>
  <c r="BF113" i="59"/>
  <c r="BF124" i="59"/>
  <c r="AA25" i="58" s="1"/>
  <c r="AA26" i="58" s="1"/>
  <c r="BG111" i="59"/>
  <c r="BG122" i="59"/>
  <c r="BI113" i="59"/>
  <c r="BI124" i="59"/>
  <c r="AD25" i="58" s="1"/>
  <c r="AD26" i="58" s="1"/>
  <c r="AW113" i="59"/>
  <c r="AW124" i="59"/>
  <c r="R25" i="58" s="1"/>
  <c r="R26" i="58" s="1"/>
  <c r="BD110" i="59"/>
  <c r="BD121" i="59"/>
  <c r="BC113" i="59"/>
  <c r="BC124" i="59"/>
  <c r="X25" i="58" s="1"/>
  <c r="X26" i="58" s="1"/>
  <c r="AV111" i="59"/>
  <c r="AV122" i="59"/>
  <c r="AP111" i="59"/>
  <c r="AP122" i="59"/>
  <c r="AX111" i="59"/>
  <c r="AX122" i="59"/>
  <c r="AY113" i="59"/>
  <c r="AY124" i="59"/>
  <c r="T25" i="58" s="1"/>
  <c r="T26" i="58" s="1"/>
  <c r="AS110" i="59"/>
  <c r="AS121" i="59"/>
  <c r="BA110" i="59"/>
  <c r="BA121" i="59"/>
  <c r="BB110" i="59"/>
  <c r="BB121" i="59"/>
  <c r="AO112" i="59"/>
  <c r="AZ109" i="59"/>
  <c r="AZ120" i="59"/>
  <c r="U11" i="58" s="1"/>
  <c r="U12" i="58" s="1"/>
  <c r="U13" i="58" s="1"/>
  <c r="U14" i="58" s="1"/>
  <c r="U15" i="58" s="1"/>
  <c r="U16" i="58" s="1"/>
  <c r="U17" i="58" s="1"/>
  <c r="U18" i="58" s="1"/>
  <c r="U19" i="58" s="1"/>
  <c r="AU113" i="59"/>
  <c r="AU124" i="59"/>
  <c r="P25" i="58" s="1"/>
  <c r="P26" i="58" s="1"/>
  <c r="AQ124" i="59"/>
  <c r="L25" i="58" s="1"/>
  <c r="L26" i="58" s="1"/>
  <c r="AT119" i="59"/>
  <c r="BG110" i="59"/>
  <c r="BG121" i="59"/>
  <c r="AP113" i="59"/>
  <c r="AP124" i="59"/>
  <c r="K25" i="58" s="1"/>
  <c r="K26" i="58" s="1"/>
  <c r="BC111" i="59"/>
  <c r="BC122" i="59"/>
  <c r="AP110" i="59"/>
  <c r="AP121" i="59"/>
  <c r="AX110" i="59"/>
  <c r="AX121" i="59"/>
  <c r="AM111" i="59"/>
  <c r="AM122" i="59"/>
  <c r="BE124" i="59"/>
  <c r="Z25" i="58" s="1"/>
  <c r="Z26" i="58" s="1"/>
  <c r="BJ113" i="59"/>
  <c r="BJ124" i="59"/>
  <c r="AE25" i="58" s="1"/>
  <c r="AE26" i="58" s="1"/>
  <c r="BA109" i="59"/>
  <c r="BA120" i="59"/>
  <c r="V11" i="58" s="1"/>
  <c r="V12" i="58" s="1"/>
  <c r="V13" i="58" s="1"/>
  <c r="V14" i="58" s="1"/>
  <c r="V15" i="58" s="1"/>
  <c r="V16" i="58" s="1"/>
  <c r="V17" i="58" s="1"/>
  <c r="V18" i="58" s="1"/>
  <c r="V19" i="58" s="1"/>
  <c r="AR120" i="59"/>
  <c r="M11" i="58" s="1"/>
  <c r="M12" i="58" s="1"/>
  <c r="M13" i="58" s="1"/>
  <c r="M14" i="58" s="1"/>
  <c r="M15" i="58" s="1"/>
  <c r="M16" i="58" s="1"/>
  <c r="M17" i="58" s="1"/>
  <c r="M18" i="58" s="1"/>
  <c r="M19" i="58" s="1"/>
  <c r="AO122" i="59"/>
  <c r="BG109" i="59"/>
  <c r="BG120" i="59"/>
  <c r="AB11" i="58" s="1"/>
  <c r="AB12" i="58" s="1"/>
  <c r="AB13" i="58" s="1"/>
  <c r="AB14" i="58" s="1"/>
  <c r="AB15" i="58" s="1"/>
  <c r="AB16" i="58" s="1"/>
  <c r="AB17" i="58" s="1"/>
  <c r="AB18" i="58" s="1"/>
  <c r="AB19" i="58" s="1"/>
  <c r="BI110" i="59"/>
  <c r="BI121" i="59"/>
  <c r="BC109" i="59"/>
  <c r="BC120" i="59"/>
  <c r="X11" i="58" s="1"/>
  <c r="X12" i="58" s="1"/>
  <c r="X13" i="58" s="1"/>
  <c r="X14" i="58" s="1"/>
  <c r="X15" i="58" s="1"/>
  <c r="X16" i="58" s="1"/>
  <c r="X17" i="58" s="1"/>
  <c r="X18" i="58" s="1"/>
  <c r="X19" i="58" s="1"/>
  <c r="BF110" i="59"/>
  <c r="BF121" i="59"/>
  <c r="AW110" i="59"/>
  <c r="AW121" i="59"/>
  <c r="BD111" i="59"/>
  <c r="BD122" i="59"/>
  <c r="BD113" i="59"/>
  <c r="BD124" i="59"/>
  <c r="Y25" i="58" s="1"/>
  <c r="Y26" i="58" s="1"/>
  <c r="AV110" i="59"/>
  <c r="AV121" i="59"/>
  <c r="BD109" i="59"/>
  <c r="BD120" i="59"/>
  <c r="Y11" i="58" s="1"/>
  <c r="Y12" i="58" s="1"/>
  <c r="Y13" i="58" s="1"/>
  <c r="Y14" i="58" s="1"/>
  <c r="Y15" i="58" s="1"/>
  <c r="Y16" i="58" s="1"/>
  <c r="Y17" i="58" s="1"/>
  <c r="Y18" i="58" s="1"/>
  <c r="Y19" i="58" s="1"/>
  <c r="AV109" i="59"/>
  <c r="AV120" i="59"/>
  <c r="Q11" i="58" s="1"/>
  <c r="Q12" i="58" s="1"/>
  <c r="Q13" i="58" s="1"/>
  <c r="Q14" i="58" s="1"/>
  <c r="Q15" i="58" s="1"/>
  <c r="Q16" i="58" s="1"/>
  <c r="Q17" i="58" s="1"/>
  <c r="Q18" i="58" s="1"/>
  <c r="Q19" i="58" s="1"/>
  <c r="AX109" i="59"/>
  <c r="AX120" i="59"/>
  <c r="S11" i="58" s="1"/>
  <c r="S12" i="58" s="1"/>
  <c r="S13" i="58" s="1"/>
  <c r="S14" i="58" s="1"/>
  <c r="S15" i="58" s="1"/>
  <c r="S16" i="58" s="1"/>
  <c r="S17" i="58" s="1"/>
  <c r="S18" i="58" s="1"/>
  <c r="S19" i="58" s="1"/>
  <c r="AM110" i="59"/>
  <c r="AM121" i="59"/>
  <c r="AY111" i="59"/>
  <c r="AY122" i="59"/>
  <c r="AR119" i="59"/>
  <c r="AO109" i="59"/>
  <c r="AO120" i="59"/>
  <c r="J11" i="58" s="1"/>
  <c r="J12" i="58" s="1"/>
  <c r="J13" i="58" s="1"/>
  <c r="J14" i="58" s="1"/>
  <c r="J15" i="58" s="1"/>
  <c r="J16" i="58" s="1"/>
  <c r="J17" i="58" s="1"/>
  <c r="J18" i="58" s="1"/>
  <c r="J19" i="58" s="1"/>
  <c r="AZ113" i="59"/>
  <c r="AZ124" i="59"/>
  <c r="U25" i="58" s="1"/>
  <c r="U26" i="58" s="1"/>
  <c r="AU111" i="59"/>
  <c r="AU122" i="59"/>
  <c r="AQ122" i="59"/>
  <c r="BH110" i="59"/>
  <c r="BH121" i="59"/>
  <c r="AM123" i="59"/>
  <c r="BC110" i="59"/>
  <c r="BC121" i="59"/>
  <c r="AP109" i="59"/>
  <c r="AP120" i="59"/>
  <c r="K11" i="58" s="1"/>
  <c r="K12" i="58" s="1"/>
  <c r="K13" i="58" s="1"/>
  <c r="K14" i="58" s="1"/>
  <c r="K15" i="58" s="1"/>
  <c r="K16" i="58" s="1"/>
  <c r="K17" i="58" s="1"/>
  <c r="K18" i="58" s="1"/>
  <c r="K19" i="58" s="1"/>
  <c r="BE121" i="59"/>
  <c r="BJ111" i="59"/>
  <c r="BJ122" i="59"/>
  <c r="AN113" i="59"/>
  <c r="AN124" i="59"/>
  <c r="I25" i="58" s="1"/>
  <c r="I26" i="58" s="1"/>
  <c r="AU110" i="59"/>
  <c r="AU121" i="59"/>
  <c r="AT120" i="59"/>
  <c r="O11" i="58" s="1"/>
  <c r="O12" i="58" s="1"/>
  <c r="O13" i="58" s="1"/>
  <c r="O14" i="58" s="1"/>
  <c r="O15" i="58" s="1"/>
  <c r="O16" i="58" s="1"/>
  <c r="O17" i="58" s="1"/>
  <c r="O18" i="58" s="1"/>
  <c r="O19" i="58" s="1"/>
  <c r="BH109" i="59"/>
  <c r="BH120" i="59"/>
  <c r="AC11" i="58" s="1"/>
  <c r="AC12" i="58" s="1"/>
  <c r="AC13" i="58" s="1"/>
  <c r="AC14" i="58" s="1"/>
  <c r="AC15" i="58" s="1"/>
  <c r="AC16" i="58" s="1"/>
  <c r="AC17" i="58" s="1"/>
  <c r="AC18" i="58" s="1"/>
  <c r="AC19" i="58" s="1"/>
  <c r="BF111" i="59"/>
  <c r="BF122" i="59"/>
  <c r="AW111" i="59"/>
  <c r="AW122" i="59"/>
  <c r="AL114" i="59"/>
  <c r="BB109" i="59"/>
  <c r="AR109" i="59"/>
  <c r="AM109" i="59"/>
  <c r="AS109" i="59"/>
  <c r="BE110" i="59"/>
  <c r="AS89" i="59"/>
  <c r="AR113" i="59"/>
  <c r="AO110" i="59"/>
  <c r="AQ111" i="59"/>
  <c r="AO89" i="59"/>
  <c r="AR112" i="59"/>
  <c r="AO111" i="59"/>
  <c r="AO113" i="59"/>
  <c r="BA112" i="59"/>
  <c r="AS111" i="59"/>
  <c r="BB111" i="59"/>
  <c r="AX76" i="59"/>
  <c r="AX108" i="59"/>
  <c r="AM76" i="59"/>
  <c r="AM108" i="59"/>
  <c r="AS76" i="59"/>
  <c r="AS108" i="59"/>
  <c r="BE111" i="59"/>
  <c r="BA76" i="59"/>
  <c r="BA108" i="59"/>
  <c r="AO76" i="59"/>
  <c r="AO108" i="59"/>
  <c r="AT109" i="59"/>
  <c r="BC76" i="59"/>
  <c r="BC108" i="59"/>
  <c r="AS113" i="59"/>
  <c r="BE109" i="59"/>
  <c r="BA113" i="59"/>
  <c r="BB113" i="59"/>
  <c r="AR111" i="59"/>
  <c r="AT113" i="59"/>
  <c r="BH76" i="59"/>
  <c r="BH108" i="59"/>
  <c r="BG76" i="59"/>
  <c r="BG108" i="59"/>
  <c r="BE76" i="59"/>
  <c r="BE108" i="59"/>
  <c r="AQ110" i="59"/>
  <c r="AT112" i="59"/>
  <c r="AT89" i="59"/>
  <c r="W27" i="43"/>
  <c r="AQ89" i="59"/>
  <c r="AY76" i="59"/>
  <c r="AY108" i="59"/>
  <c r="AQ109" i="59"/>
  <c r="AT111" i="59"/>
  <c r="BA89" i="59"/>
  <c r="Y27" i="43"/>
  <c r="BE89" i="59"/>
  <c r="BJ76" i="59"/>
  <c r="BJ108" i="59"/>
  <c r="AN76" i="59"/>
  <c r="AN108" i="59"/>
  <c r="AU76" i="59"/>
  <c r="AU108" i="59"/>
  <c r="AQ76" i="59"/>
  <c r="AQ108" i="59"/>
  <c r="AT110" i="59"/>
  <c r="AR89" i="59"/>
  <c r="AK114" i="59"/>
  <c r="AV76" i="59"/>
  <c r="AV108" i="59"/>
  <c r="BE113" i="59"/>
  <c r="AQ113" i="59"/>
  <c r="AT76" i="59"/>
  <c r="AT108" i="59"/>
  <c r="BF76" i="59"/>
  <c r="BF108" i="59"/>
  <c r="AM89" i="59"/>
  <c r="BI76" i="59"/>
  <c r="BI108" i="59"/>
  <c r="AW76" i="59"/>
  <c r="AW108" i="59"/>
  <c r="AP76" i="59"/>
  <c r="AP108" i="59"/>
  <c r="BE112" i="59"/>
  <c r="BB76" i="59"/>
  <c r="BB108" i="59"/>
  <c r="AR76" i="59"/>
  <c r="AR108" i="59"/>
  <c r="BB89" i="59"/>
  <c r="AZ76" i="59"/>
  <c r="AZ108" i="59"/>
  <c r="AQ112" i="59"/>
  <c r="BD76" i="59"/>
  <c r="BD108" i="59"/>
  <c r="AA27" i="43"/>
  <c r="K27" i="43"/>
  <c r="U27" i="43"/>
  <c r="I27" i="43"/>
  <c r="G27" i="43"/>
  <c r="J27" i="43"/>
  <c r="L27" i="43"/>
  <c r="P27" i="43"/>
  <c r="F27" i="43"/>
  <c r="O27" i="43"/>
  <c r="X27" i="43"/>
  <c r="N27" i="43"/>
  <c r="T27" i="43"/>
  <c r="H27" i="43"/>
  <c r="Z27" i="43"/>
  <c r="AC27" i="43"/>
  <c r="R27" i="43"/>
  <c r="M27" i="43"/>
  <c r="F126" i="61"/>
  <c r="E126" i="61"/>
  <c r="F22" i="58" l="1"/>
  <c r="AK46" i="59" s="1"/>
  <c r="AK57" i="59" s="1"/>
  <c r="G22" i="58"/>
  <c r="AL46" i="59" s="1"/>
  <c r="AL57" i="59" s="1"/>
  <c r="R20" i="58"/>
  <c r="R21" i="58" s="1"/>
  <c r="N20" i="58"/>
  <c r="N21" i="58" s="1"/>
  <c r="N22" i="58" s="1"/>
  <c r="T20" i="58"/>
  <c r="T21" i="58" s="1"/>
  <c r="J20" i="58"/>
  <c r="P20" i="58"/>
  <c r="P21" i="58" s="1"/>
  <c r="H20" i="58"/>
  <c r="Q20" i="58"/>
  <c r="Q21" i="58" s="1"/>
  <c r="AA20" i="58"/>
  <c r="AA21" i="58" s="1"/>
  <c r="L20" i="58"/>
  <c r="L21" i="58" s="1"/>
  <c r="X20" i="58"/>
  <c r="S20" i="58"/>
  <c r="S21" i="58" s="1"/>
  <c r="AB20" i="58"/>
  <c r="AB21" i="58" s="1"/>
  <c r="U20" i="58"/>
  <c r="U21" i="58" s="1"/>
  <c r="W20" i="58"/>
  <c r="Y20" i="58"/>
  <c r="Y21" i="58" s="1"/>
  <c r="AE20" i="58"/>
  <c r="AE21" i="58" s="1"/>
  <c r="Z20" i="58"/>
  <c r="Z21" i="58" s="1"/>
  <c r="K20" i="58"/>
  <c r="I20" i="58"/>
  <c r="I21" i="58" s="1"/>
  <c r="AC20" i="58"/>
  <c r="AC21" i="58" s="1"/>
  <c r="AD20" i="58"/>
  <c r="AD21" i="58" s="1"/>
  <c r="V20" i="58"/>
  <c r="O20" i="58"/>
  <c r="O21" i="58" s="1"/>
  <c r="M20" i="58"/>
  <c r="M21" i="58" s="1"/>
  <c r="BA49" i="59"/>
  <c r="BA60" i="59" s="1"/>
  <c r="AR49" i="59"/>
  <c r="AR60" i="59" s="1"/>
  <c r="Q23" i="58"/>
  <c r="AV47" i="59" s="1"/>
  <c r="AV58" i="59" s="1"/>
  <c r="I23" i="58"/>
  <c r="AN47" i="59" s="1"/>
  <c r="AN58" i="59" s="1"/>
  <c r="T23" i="58"/>
  <c r="AY47" i="59" s="1"/>
  <c r="AY58" i="59" s="1"/>
  <c r="P23" i="58"/>
  <c r="AU47" i="59" s="1"/>
  <c r="AU58" i="59" s="1"/>
  <c r="H23" i="58"/>
  <c r="AM47" i="59" s="1"/>
  <c r="AM58" i="59" s="1"/>
  <c r="L23" i="58"/>
  <c r="AQ47" i="59" s="1"/>
  <c r="AQ58" i="59" s="1"/>
  <c r="J23" i="58"/>
  <c r="AO47" i="59" s="1"/>
  <c r="AO58" i="59" s="1"/>
  <c r="AB23" i="58"/>
  <c r="BG47" i="59" s="1"/>
  <c r="BG58" i="59" s="1"/>
  <c r="V23" i="58"/>
  <c r="BA47" i="59" s="1"/>
  <c r="BA58" i="59" s="1"/>
  <c r="Z23" i="58"/>
  <c r="BE47" i="59" s="1"/>
  <c r="BE58" i="59" s="1"/>
  <c r="AB10" i="58"/>
  <c r="BG44" i="59" s="1"/>
  <c r="BG55" i="59" s="1"/>
  <c r="M23" i="58"/>
  <c r="AR47" i="59" s="1"/>
  <c r="AR58" i="59" s="1"/>
  <c r="R23" i="58"/>
  <c r="AW47" i="59" s="1"/>
  <c r="AW58" i="59" s="1"/>
  <c r="U23" i="58"/>
  <c r="AZ47" i="59" s="1"/>
  <c r="AZ58" i="59" s="1"/>
  <c r="J10" i="58"/>
  <c r="AO44" i="59" s="1"/>
  <c r="AO55" i="59" s="1"/>
  <c r="S23" i="58"/>
  <c r="AX47" i="59" s="1"/>
  <c r="AX58" i="59" s="1"/>
  <c r="O23" i="58"/>
  <c r="AT47" i="59" s="1"/>
  <c r="AT58" i="59" s="1"/>
  <c r="Z10" i="58"/>
  <c r="BE44" i="59" s="1"/>
  <c r="BE55" i="59" s="1"/>
  <c r="W23" i="58"/>
  <c r="BB47" i="59" s="1"/>
  <c r="BB58" i="59" s="1"/>
  <c r="AA23" i="58"/>
  <c r="BF47" i="59" s="1"/>
  <c r="BF58" i="59" s="1"/>
  <c r="H24" i="58"/>
  <c r="AM48" i="59" s="1"/>
  <c r="AM59" i="59" s="1"/>
  <c r="O10" i="58"/>
  <c r="AT44" i="59" s="1"/>
  <c r="AT55" i="59" s="1"/>
  <c r="N23" i="58"/>
  <c r="AS47" i="59" s="1"/>
  <c r="AS58" i="59" s="1"/>
  <c r="Q10" i="58"/>
  <c r="AV44" i="59" s="1"/>
  <c r="AV55" i="59" s="1"/>
  <c r="Y23" i="58"/>
  <c r="BD47" i="59" s="1"/>
  <c r="BD58" i="59" s="1"/>
  <c r="K23" i="58"/>
  <c r="AP47" i="59" s="1"/>
  <c r="AP58" i="59" s="1"/>
  <c r="I10" i="58"/>
  <c r="AN44" i="59" s="1"/>
  <c r="AN55" i="59" s="1"/>
  <c r="AE23" i="58"/>
  <c r="BJ47" i="59" s="1"/>
  <c r="BJ58" i="59" s="1"/>
  <c r="M10" i="58"/>
  <c r="AR44" i="59" s="1"/>
  <c r="AR55" i="59" s="1"/>
  <c r="X23" i="58"/>
  <c r="BC47" i="59" s="1"/>
  <c r="BC58" i="59" s="1"/>
  <c r="L10" i="58"/>
  <c r="AQ44" i="59" s="1"/>
  <c r="AQ55" i="59" s="1"/>
  <c r="BB49" i="59"/>
  <c r="BB60" i="59" s="1"/>
  <c r="AU49" i="59"/>
  <c r="AU60" i="59" s="1"/>
  <c r="AX49" i="59"/>
  <c r="AX60" i="59" s="1"/>
  <c r="BE49" i="59"/>
  <c r="BE60" i="59" s="1"/>
  <c r="BI49" i="59"/>
  <c r="BI60" i="59" s="1"/>
  <c r="BH49" i="59"/>
  <c r="BH60" i="59" s="1"/>
  <c r="AP49" i="59"/>
  <c r="AP60" i="59" s="1"/>
  <c r="AT49" i="59"/>
  <c r="AT60" i="59" s="1"/>
  <c r="AY49" i="59"/>
  <c r="AY60" i="59" s="1"/>
  <c r="BC49" i="59"/>
  <c r="BC60" i="59" s="1"/>
  <c r="AZ49" i="59"/>
  <c r="AZ60" i="59" s="1"/>
  <c r="AS49" i="59"/>
  <c r="AS60" i="59" s="1"/>
  <c r="AN49" i="59"/>
  <c r="AN60" i="59" s="1"/>
  <c r="BD49" i="59"/>
  <c r="BD60" i="59" s="1"/>
  <c r="BF49" i="59"/>
  <c r="BF60" i="59" s="1"/>
  <c r="AV49" i="59"/>
  <c r="AV60" i="59" s="1"/>
  <c r="BG49" i="59"/>
  <c r="BG60" i="59" s="1"/>
  <c r="AO49" i="59"/>
  <c r="AO60" i="59" s="1"/>
  <c r="BJ49" i="59"/>
  <c r="BJ60" i="59" s="1"/>
  <c r="AQ49" i="59"/>
  <c r="AQ60" i="59" s="1"/>
  <c r="AW49" i="59"/>
  <c r="AW60" i="59" s="1"/>
  <c r="AM49" i="59"/>
  <c r="AM60" i="59" s="1"/>
  <c r="AK45" i="59"/>
  <c r="AK56" i="59" s="1"/>
  <c r="AZ114" i="59"/>
  <c r="AM45" i="59"/>
  <c r="AL56" i="59"/>
  <c r="AP114" i="59"/>
  <c r="AY114" i="59"/>
  <c r="BF114" i="59"/>
  <c r="BJ114" i="59"/>
  <c r="BG114" i="59"/>
  <c r="BC114" i="59"/>
  <c r="AW114" i="59"/>
  <c r="BH114" i="59"/>
  <c r="BI114" i="59"/>
  <c r="AU114" i="59"/>
  <c r="AM114" i="59"/>
  <c r="AN123" i="59"/>
  <c r="AV114" i="59"/>
  <c r="AN114" i="59"/>
  <c r="AX114" i="59"/>
  <c r="AJ108" i="59"/>
  <c r="AJ112" i="59"/>
  <c r="BB114" i="59"/>
  <c r="AO114" i="59"/>
  <c r="AJ109" i="59"/>
  <c r="BA114" i="59"/>
  <c r="AJ111" i="59"/>
  <c r="AQ114" i="59"/>
  <c r="AJ110" i="59"/>
  <c r="AJ113" i="59"/>
  <c r="AR114" i="59"/>
  <c r="AT114" i="59"/>
  <c r="BE114" i="59"/>
  <c r="AS114" i="59"/>
  <c r="BD114" i="59"/>
  <c r="G126" i="61"/>
  <c r="AL50" i="59" l="1"/>
  <c r="AC22" i="58"/>
  <c r="BH46" i="59" s="1"/>
  <c r="BH57" i="59" s="1"/>
  <c r="I22" i="58"/>
  <c r="AN46" i="59" s="1"/>
  <c r="AN57" i="59" s="1"/>
  <c r="S22" i="58"/>
  <c r="AX46" i="59" s="1"/>
  <c r="AX57" i="59" s="1"/>
  <c r="T22" i="58"/>
  <c r="AY46" i="59" s="1"/>
  <c r="AY57" i="59" s="1"/>
  <c r="AB22" i="58"/>
  <c r="BG46" i="59" s="1"/>
  <c r="BG57" i="59" s="1"/>
  <c r="Z22" i="58"/>
  <c r="BE46" i="59" s="1"/>
  <c r="BE57" i="59" s="1"/>
  <c r="R22" i="58"/>
  <c r="AW46" i="59" s="1"/>
  <c r="AW57" i="59" s="1"/>
  <c r="M22" i="58"/>
  <c r="AR46" i="59" s="1"/>
  <c r="AR57" i="59" s="1"/>
  <c r="AA22" i="58"/>
  <c r="BF46" i="59" s="1"/>
  <c r="BF57" i="59" s="1"/>
  <c r="L22" i="58"/>
  <c r="AQ46" i="59" s="1"/>
  <c r="AQ57" i="59" s="1"/>
  <c r="AE22" i="58"/>
  <c r="BJ46" i="59" s="1"/>
  <c r="BJ57" i="59" s="1"/>
  <c r="O22" i="58"/>
  <c r="AT46" i="59" s="1"/>
  <c r="AT57" i="59" s="1"/>
  <c r="Y22" i="58"/>
  <c r="BD46" i="59" s="1"/>
  <c r="BD57" i="59" s="1"/>
  <c r="Q22" i="58"/>
  <c r="AV46" i="59" s="1"/>
  <c r="AV57" i="59" s="1"/>
  <c r="AD22" i="58"/>
  <c r="BI46" i="59" s="1"/>
  <c r="BI57" i="59" s="1"/>
  <c r="U22" i="58"/>
  <c r="AZ46" i="59" s="1"/>
  <c r="AZ57" i="59" s="1"/>
  <c r="P22" i="58"/>
  <c r="AU46" i="59" s="1"/>
  <c r="AU57" i="59" s="1"/>
  <c r="AS46" i="59"/>
  <c r="AS57" i="59" s="1"/>
  <c r="V21" i="58"/>
  <c r="V22" i="58" s="1"/>
  <c r="K21" i="58"/>
  <c r="K22" i="58" s="1"/>
  <c r="W21" i="58"/>
  <c r="W22" i="58" s="1"/>
  <c r="X21" i="58"/>
  <c r="X22" i="58" s="1"/>
  <c r="H21" i="58"/>
  <c r="H22" i="58" s="1"/>
  <c r="J21" i="58"/>
  <c r="J22" i="58" s="1"/>
  <c r="I24" i="58"/>
  <c r="AN48" i="59" s="1"/>
  <c r="AN59" i="59" s="1"/>
  <c r="BA45" i="59"/>
  <c r="BA56" i="59" s="1"/>
  <c r="BC45" i="59"/>
  <c r="BC56" i="59" s="1"/>
  <c r="AR45" i="59"/>
  <c r="AR56" i="59" s="1"/>
  <c r="AO45" i="59"/>
  <c r="AO56" i="59" s="1"/>
  <c r="AU45" i="59"/>
  <c r="BH45" i="59"/>
  <c r="BH56" i="59" s="1"/>
  <c r="BG45" i="59"/>
  <c r="BG56" i="59" s="1"/>
  <c r="BI45" i="59"/>
  <c r="BI56" i="59" s="1"/>
  <c r="AK50" i="59"/>
  <c r="AZ45" i="59"/>
  <c r="AZ56" i="59" s="1"/>
  <c r="BD45" i="59"/>
  <c r="BD56" i="59" s="1"/>
  <c r="AY45" i="59"/>
  <c r="AT45" i="59"/>
  <c r="AT56" i="59" s="1"/>
  <c r="BB45" i="59"/>
  <c r="BB56" i="59" s="1"/>
  <c r="BJ45" i="59"/>
  <c r="BJ56" i="59" s="1"/>
  <c r="AW45" i="59"/>
  <c r="AS45" i="59"/>
  <c r="AP45" i="59"/>
  <c r="AQ45" i="59"/>
  <c r="AM56" i="59"/>
  <c r="AN45" i="59"/>
  <c r="BF45" i="59"/>
  <c r="AV45" i="59"/>
  <c r="AX45" i="59"/>
  <c r="BE45" i="59"/>
  <c r="AO123" i="59"/>
  <c r="AJ114" i="59"/>
  <c r="H126" i="61"/>
  <c r="BC46" i="59" l="1"/>
  <c r="BC57" i="59" s="1"/>
  <c r="BA46" i="59"/>
  <c r="BA57" i="59" s="1"/>
  <c r="AO46" i="59"/>
  <c r="AO57" i="59" s="1"/>
  <c r="AP46" i="59"/>
  <c r="AP57" i="59" s="1"/>
  <c r="BB46" i="59"/>
  <c r="BB57" i="59" s="1"/>
  <c r="AM46" i="59"/>
  <c r="J24" i="58"/>
  <c r="AO48" i="59" s="1"/>
  <c r="AY56" i="59"/>
  <c r="AU56" i="59"/>
  <c r="AQ56" i="59"/>
  <c r="AV56" i="59"/>
  <c r="AP56" i="59"/>
  <c r="AS56" i="59"/>
  <c r="AW56" i="59"/>
  <c r="BE56" i="59"/>
  <c r="BF56" i="59"/>
  <c r="AX56" i="59"/>
  <c r="AN56" i="59"/>
  <c r="AN50" i="59"/>
  <c r="AP123" i="59"/>
  <c r="I126" i="61"/>
  <c r="AM57" i="59" l="1"/>
  <c r="AM50" i="59"/>
  <c r="AO59" i="59"/>
  <c r="AO50" i="59"/>
  <c r="K24" i="58"/>
  <c r="AP48" i="59" s="1"/>
  <c r="AQ123" i="59"/>
  <c r="J126" i="61"/>
  <c r="AP59" i="59" l="1"/>
  <c r="AP50" i="59"/>
  <c r="L24" i="58"/>
  <c r="AQ48" i="59" s="1"/>
  <c r="AQ50" i="59" s="1"/>
  <c r="AR123" i="59"/>
  <c r="K126" i="61"/>
  <c r="M24" i="58" l="1"/>
  <c r="AR48" i="59" s="1"/>
  <c r="AQ59" i="59"/>
  <c r="AS123" i="59"/>
  <c r="L126" i="61"/>
  <c r="AR50" i="59" l="1"/>
  <c r="AR59" i="59"/>
  <c r="N24" i="58"/>
  <c r="AS48" i="59" s="1"/>
  <c r="AT123" i="59"/>
  <c r="M126" i="61"/>
  <c r="AS50" i="59" l="1"/>
  <c r="AS59" i="59"/>
  <c r="O24" i="58"/>
  <c r="AT48" i="59" s="1"/>
  <c r="AU123" i="59"/>
  <c r="N126" i="61"/>
  <c r="AT59" i="59" l="1"/>
  <c r="AT50" i="59"/>
  <c r="P24" i="58"/>
  <c r="AU48" i="59" s="1"/>
  <c r="AV123" i="59"/>
  <c r="O126" i="61"/>
  <c r="AU59" i="59" l="1"/>
  <c r="AU50" i="59"/>
  <c r="Q24" i="58"/>
  <c r="AV48" i="59" s="1"/>
  <c r="AW123" i="59"/>
  <c r="P126" i="61"/>
  <c r="AV59" i="59" l="1"/>
  <c r="AV50" i="59"/>
  <c r="R24" i="58"/>
  <c r="AW48" i="59" s="1"/>
  <c r="AX123" i="59"/>
  <c r="Q126" i="61"/>
  <c r="AW59" i="59" l="1"/>
  <c r="AW50" i="59"/>
  <c r="S24" i="58"/>
  <c r="AX48" i="59" s="1"/>
  <c r="AY123" i="59"/>
  <c r="R126" i="61"/>
  <c r="AX59" i="59" l="1"/>
  <c r="AX50" i="59"/>
  <c r="T24" i="58"/>
  <c r="AY48" i="59" s="1"/>
  <c r="AY59" i="59" s="1"/>
  <c r="AZ123" i="59"/>
  <c r="S126" i="61"/>
  <c r="AY50" i="59" l="1"/>
  <c r="U24" i="58"/>
  <c r="AZ48" i="59" s="1"/>
  <c r="BA123" i="59"/>
  <c r="T126" i="61"/>
  <c r="AZ59" i="59" l="1"/>
  <c r="AZ50" i="59"/>
  <c r="V24" i="58"/>
  <c r="BA48" i="59" s="1"/>
  <c r="BB123" i="59"/>
  <c r="U126" i="61"/>
  <c r="BA50" i="59" l="1"/>
  <c r="BA59" i="59"/>
  <c r="W24" i="58"/>
  <c r="BB48" i="59" s="1"/>
  <c r="BC123" i="59"/>
  <c r="V126" i="61"/>
  <c r="BB59" i="59" l="1"/>
  <c r="BB50" i="59"/>
  <c r="X24" i="58"/>
  <c r="BC48" i="59" s="1"/>
  <c r="BD123" i="59"/>
  <c r="W126" i="61"/>
  <c r="BC59" i="59" l="1"/>
  <c r="BC50" i="59"/>
  <c r="Y24" i="58"/>
  <c r="BD48" i="59" s="1"/>
  <c r="BE123" i="59"/>
  <c r="X126" i="61"/>
  <c r="BD59" i="59" l="1"/>
  <c r="BD50" i="59"/>
  <c r="Z24" i="58"/>
  <c r="BE48" i="59" s="1"/>
  <c r="BF123" i="59"/>
  <c r="Y126" i="61"/>
  <c r="BE59" i="59" l="1"/>
  <c r="BE50" i="59"/>
  <c r="AA24" i="58"/>
  <c r="BF48" i="59" s="1"/>
  <c r="BG123" i="59"/>
  <c r="Z126" i="61"/>
  <c r="BF59" i="59" l="1"/>
  <c r="BF50" i="59"/>
  <c r="AB24" i="58"/>
  <c r="BG48" i="59" s="1"/>
  <c r="BH123" i="59"/>
  <c r="AA126" i="61"/>
  <c r="BG59" i="59" l="1"/>
  <c r="BG50" i="59"/>
  <c r="AC24" i="58"/>
  <c r="BH48" i="59" s="1"/>
  <c r="BI123" i="59"/>
  <c r="AB126" i="61"/>
  <c r="BH59" i="59" l="1"/>
  <c r="BH50" i="59"/>
  <c r="AD24" i="58"/>
  <c r="BI48" i="59" s="1"/>
  <c r="BJ123" i="59"/>
  <c r="AD126" i="61"/>
  <c r="AC126" i="61"/>
  <c r="F246" i="43"/>
  <c r="F247" i="43" s="1"/>
  <c r="BI59" i="59" l="1"/>
  <c r="BI50" i="59"/>
  <c r="AE24" i="58"/>
  <c r="BJ48" i="59" s="1"/>
  <c r="BJ59" i="59" l="1"/>
  <c r="BJ50" i="59"/>
  <c r="C694" i="43"/>
  <c r="F694" i="43" s="1"/>
  <c r="C696" i="43"/>
  <c r="G694" i="43" l="1"/>
  <c r="E30" i="58" s="1"/>
  <c r="BN49" i="5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vahid Aryanpur</author>
  </authors>
  <commentList>
    <comment ref="C249" authorId="0" shapeId="0" xr:uid="{489A7DBB-A530-4E48-B212-CF124436E60D}">
      <text>
        <r>
          <rPr>
            <b/>
            <sz val="9"/>
            <color indexed="81"/>
            <rFont val="Tahoma"/>
            <family val="2"/>
          </rPr>
          <t>vahid Aryanpur:</t>
        </r>
        <r>
          <rPr>
            <sz val="9"/>
            <color indexed="81"/>
            <rFont val="Tahoma"/>
            <family val="2"/>
          </rPr>
          <t xml:space="preserve">
from: https://expressway.ie/Route-X1-dublin-to-belfast</t>
        </r>
      </text>
    </comment>
    <comment ref="E249" authorId="0" shapeId="0" xr:uid="{415AF8A8-28D3-42E2-A811-9CC9F53E43A4}">
      <text>
        <r>
          <rPr>
            <b/>
            <sz val="9"/>
            <color indexed="81"/>
            <rFont val="Tahoma"/>
            <family val="2"/>
          </rPr>
          <t xml:space="preserve">vahid Aryanpur:
</t>
        </r>
        <r>
          <rPr>
            <sz val="9"/>
            <color indexed="81"/>
            <rFont val="Tahoma"/>
            <family val="2"/>
          </rPr>
          <t>The number that the route is repeated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tc={7827D96D-C29B-4990-B756-8B39EED63308}</author>
    <author>tc={CC46405B-4E85-4F70-965E-A8B6B36B711A}</author>
    <author>tc={4C899014-7CAC-4E75-9F05-3DFC4A069707}</author>
  </authors>
  <commentList>
    <comment ref="D4" authorId="0" shapeId="0" xr:uid="{7827D96D-C29B-4990-B756-8B39EED63308}">
      <text>
        <t>[Threaded comment]
Your version of Excel allows you to read this threaded comment; however, any edits to it will get removed if the file is opened in a newer version of Excel. Learn more: https://go.microsoft.com/fwlink/?linkid=870924
Comment:
    Barrel of Oil Equivalent</t>
      </text>
    </comment>
    <comment ref="C10" authorId="1" shapeId="0" xr:uid="{CC46405B-4E85-4F70-965E-A8B6B36B711A}">
      <text>
        <t>[Threaded comment]
Your version of Excel allows you to read this threaded comment; however, any edits to it will get removed if the file is opened in a newer version of Excel. Learn more: https://go.microsoft.com/fwlink/?linkid=870924
Comment:
    Average exchange rate in 2019, ECB</t>
      </text>
    </comment>
    <comment ref="C11" authorId="2" shapeId="0" xr:uid="{4C899014-7CAC-4E75-9F05-3DFC4A069707}">
      <text>
        <t>[Threaded comment]
Your version of Excel allows you to read this threaded comment; however, any edits to it will get removed if the file is opened in a newer version of Excel. Learn more: https://go.microsoft.com/fwlink/?linkid=870924
Comment:
    Average exchange rate in 2018, ECB</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<sst xmlns="http://schemas.openxmlformats.org/spreadsheetml/2006/main" count="3469" uniqueCount="1260">
  <si>
    <t>Vintage</t>
  </si>
  <si>
    <t>Total</t>
  </si>
  <si>
    <t>Year</t>
  </si>
  <si>
    <t>Total Hours</t>
  </si>
  <si>
    <t>Time of Day</t>
  </si>
  <si>
    <t>Overnight Off-Peak</t>
  </si>
  <si>
    <t>Daytime Off-Peak</t>
  </si>
  <si>
    <t>Adjacent to Peak</t>
  </si>
  <si>
    <t>Peak</t>
  </si>
  <si>
    <t>Work</t>
  </si>
  <si>
    <t>Commuting</t>
  </si>
  <si>
    <t>Other-non Work</t>
  </si>
  <si>
    <t>All</t>
  </si>
  <si>
    <t>Motorbike</t>
  </si>
  <si>
    <t>Weekday</t>
  </si>
  <si>
    <t>Weekend</t>
  </si>
  <si>
    <t>TOTAL</t>
  </si>
  <si>
    <t>-</t>
  </si>
  <si>
    <t>Petrol</t>
  </si>
  <si>
    <t>Diesel</t>
  </si>
  <si>
    <t>Gasoline</t>
  </si>
  <si>
    <t>Passengers</t>
  </si>
  <si>
    <t>Origin</t>
  </si>
  <si>
    <t>Destination</t>
  </si>
  <si>
    <t>Rail</t>
  </si>
  <si>
    <t>Thousands</t>
  </si>
  <si>
    <t>Vehicle kilometres</t>
  </si>
  <si>
    <t>Stage carriage/commuter</t>
  </si>
  <si>
    <t>Expressway/eurolines</t>
  </si>
  <si>
    <t>Red line</t>
  </si>
  <si>
    <t>Green line</t>
  </si>
  <si>
    <t>Number of trams</t>
  </si>
  <si>
    <t>Capacity of tram</t>
  </si>
  <si>
    <t>Passengers carried</t>
  </si>
  <si>
    <t>Passenger kilometres</t>
  </si>
  <si>
    <t>Average number of stops per passenger</t>
  </si>
  <si>
    <t>Timeliness (% services to timetable)</t>
  </si>
  <si>
    <t>Mainline and other services</t>
  </si>
  <si>
    <t>Dublin suburban services</t>
  </si>
  <si>
    <t>DART</t>
  </si>
  <si>
    <t>International journeys</t>
  </si>
  <si>
    <t>Freight traffic tonnes</t>
  </si>
  <si>
    <t>Freight traffic tonnes kilometres</t>
  </si>
  <si>
    <t xml:space="preserve">Electricity for traction </t>
  </si>
  <si>
    <t xml:space="preserve">Diesel oil for traction </t>
  </si>
  <si>
    <t xml:space="preserve">Road Fuel </t>
  </si>
  <si>
    <t xml:space="preserve">Electricity other </t>
  </si>
  <si>
    <t xml:space="preserve">Gas for heating </t>
  </si>
  <si>
    <t xml:space="preserve">Total Energy use MWhr </t>
  </si>
  <si>
    <t xml:space="preserve">Passenger M km </t>
  </si>
  <si>
    <t xml:space="preserve">Total Energy use MWhr per 10,000 Passenger km </t>
  </si>
  <si>
    <t xml:space="preserve">Train M km </t>
  </si>
  <si>
    <t xml:space="preserve">Total Energy use MWhr per 100 Train km </t>
  </si>
  <si>
    <t xml:space="preserve">Number of Electricity Accounts (MPRN) </t>
  </si>
  <si>
    <t xml:space="preserve">Cost of Energy based on Diesel Oil </t>
  </si>
  <si>
    <t>Vehicle</t>
  </si>
  <si>
    <t>Fuel</t>
  </si>
  <si>
    <t>Units</t>
  </si>
  <si>
    <t>~FI_Comm</t>
  </si>
  <si>
    <t>~FI_Process</t>
  </si>
  <si>
    <t>Csets</t>
  </si>
  <si>
    <t>CommName</t>
  </si>
  <si>
    <t>CommDesc</t>
  </si>
  <si>
    <t>Unit</t>
  </si>
  <si>
    <t>LimType</t>
  </si>
  <si>
    <t>CTSLvl</t>
  </si>
  <si>
    <t>PeakTS</t>
  </si>
  <si>
    <t>Ctype</t>
  </si>
  <si>
    <t>Sets</t>
  </si>
  <si>
    <t>TechName</t>
  </si>
  <si>
    <t>TechDesc</t>
  </si>
  <si>
    <t>Tact</t>
  </si>
  <si>
    <t>Tcap</t>
  </si>
  <si>
    <t>Tslvl</t>
  </si>
  <si>
    <t>PrimaryCG</t>
  </si>
  <si>
    <t>~FI_T</t>
  </si>
  <si>
    <t>Comm-IN</t>
  </si>
  <si>
    <t>Comm-OUT</t>
  </si>
  <si>
    <t>*Technology Name</t>
  </si>
  <si>
    <t>Input Commodity</t>
  </si>
  <si>
    <t>Output Commodity</t>
  </si>
  <si>
    <t>TRAGSL</t>
  </si>
  <si>
    <t>Occupancy</t>
  </si>
  <si>
    <t>NRG</t>
  </si>
  <si>
    <t>TRADST</t>
  </si>
  <si>
    <t>TRAELC</t>
  </si>
  <si>
    <t>PJ</t>
  </si>
  <si>
    <t>ELC</t>
  </si>
  <si>
    <t>DAYNITE</t>
  </si>
  <si>
    <t>DEM</t>
  </si>
  <si>
    <t>Mtkm</t>
  </si>
  <si>
    <t xml:space="preserve">Commodities </t>
  </si>
  <si>
    <t>TRAKER</t>
  </si>
  <si>
    <t>Aviation</t>
  </si>
  <si>
    <t>*Unit</t>
  </si>
  <si>
    <t>TRACO2N</t>
  </si>
  <si>
    <t>TRACH4N</t>
  </si>
  <si>
    <t>TRASO2N</t>
  </si>
  <si>
    <t>TRANOXN</t>
  </si>
  <si>
    <t>Attribute</t>
  </si>
  <si>
    <t>ENV</t>
  </si>
  <si>
    <t>Methane (TRA)</t>
  </si>
  <si>
    <t>Sulphur Oxides (TRA)</t>
  </si>
  <si>
    <t>Nitrogen Oxide (TRA)</t>
  </si>
  <si>
    <t>kt</t>
  </si>
  <si>
    <t>Electricity</t>
  </si>
  <si>
    <t>Description</t>
  </si>
  <si>
    <t>Average</t>
  </si>
  <si>
    <t>TRAPM10</t>
  </si>
  <si>
    <t>TRAPM25</t>
  </si>
  <si>
    <t>Average length of journey (km)</t>
  </si>
  <si>
    <t>Rural</t>
  </si>
  <si>
    <t>Urban</t>
  </si>
  <si>
    <t>*Rail</t>
  </si>
  <si>
    <t>Intercity</t>
  </si>
  <si>
    <t>22000 Class DMU InterCity Railcar (ICR)</t>
  </si>
  <si>
    <t>Type</t>
  </si>
  <si>
    <t>Number In Service</t>
  </si>
  <si>
    <t>Seating Capacity</t>
  </si>
  <si>
    <t>Date Built</t>
  </si>
  <si>
    <t>3 Car Set</t>
  </si>
  <si>
    <t>2007 - 2009 / 2011 - 2012</t>
  </si>
  <si>
    <t>4 Car Set</t>
  </si>
  <si>
    <t>2007 - 2009</t>
  </si>
  <si>
    <t>5 Car (1st Class) Set (Premier)</t>
  </si>
  <si>
    <t>Mark IV</t>
  </si>
  <si>
    <t>Generating Control Car</t>
  </si>
  <si>
    <t>Nil</t>
  </si>
  <si>
    <t>2004 - 2005</t>
  </si>
  <si>
    <t>Buffet Vehicle</t>
  </si>
  <si>
    <t>First Class</t>
  </si>
  <si>
    <t>Standard Class</t>
  </si>
  <si>
    <t>Standard End</t>
  </si>
  <si>
    <t>Commuter</t>
  </si>
  <si>
    <t>29000 Class DMU (Diesel Multiple Unit)</t>
  </si>
  <si>
    <t>2800 Class DMU (Diesel Multiple Unit)</t>
  </si>
  <si>
    <t>2600 Class DMU (Diesel Multiple Unit)</t>
  </si>
  <si>
    <t>2002 - 2005</t>
  </si>
  <si>
    <t>2 Car Set</t>
  </si>
  <si>
    <t>8500-20 Class EMU (Electrical Multiple Unit)</t>
  </si>
  <si>
    <t>8100/8300 Class EMU (Electrical Multiple Unit)</t>
  </si>
  <si>
    <t>8520 Series: 4 Car Set</t>
  </si>
  <si>
    <t>2003 - 2004</t>
  </si>
  <si>
    <t>8510 Series: 4 Car Set</t>
  </si>
  <si>
    <t>8500 Series: 4 Car Set</t>
  </si>
  <si>
    <t>1983 *</t>
  </si>
  <si>
    <t>IWT (International Warehousing and Transport)</t>
  </si>
  <si>
    <t>6 trains per week Monday to Friday</t>
  </si>
  <si>
    <t>Intermodal</t>
  </si>
  <si>
    <t>Ballina and Dublin Port</t>
  </si>
  <si>
    <t>DFDS (Det Forenede Dampskibs-Selskab)</t>
  </si>
  <si>
    <t>2 trains per week</t>
  </si>
  <si>
    <t>Ballina and Belview Port (near Waterford City)</t>
  </si>
  <si>
    <t>Coillte</t>
  </si>
  <si>
    <t>3 trains from both Ballina and Westport to Waterford on a weekly basis</t>
  </si>
  <si>
    <t>Pulpwood</t>
  </si>
  <si>
    <t>Ballina / Westport and Waterford</t>
  </si>
  <si>
    <t>Boliden/Tara Mines</t>
  </si>
  <si>
    <t>3 trains per day from Tara Mines to Dublin Port 5 days per week</t>
  </si>
  <si>
    <t>Mineral Ore</t>
  </si>
  <si>
    <t>Tara Mines (near Navan) and Dublin Port</t>
  </si>
  <si>
    <t>Freight Fleet</t>
  </si>
  <si>
    <t>Service</t>
  </si>
  <si>
    <t>Train Type</t>
  </si>
  <si>
    <t>Operates Between</t>
  </si>
  <si>
    <t>Annual Distance (km)</t>
  </si>
  <si>
    <t>Distance per Trip (km)</t>
  </si>
  <si>
    <t>Lifetime of stock</t>
  </si>
  <si>
    <t>4-20 Years</t>
  </si>
  <si>
    <t>Life</t>
  </si>
  <si>
    <t>Navigation</t>
  </si>
  <si>
    <t xml:space="preserve"> Coal</t>
  </si>
  <si>
    <t xml:space="preserve"> Bituminous Coal</t>
  </si>
  <si>
    <t xml:space="preserve"> Anthracite + Manufactured Ovoids</t>
  </si>
  <si>
    <t xml:space="preserve"> Coke</t>
  </si>
  <si>
    <t xml:space="preserve"> Lignite \ Brown Coal Briquettes</t>
  </si>
  <si>
    <t xml:space="preserve"> Peat</t>
  </si>
  <si>
    <t xml:space="preserve"> Milled Peat</t>
  </si>
  <si>
    <t xml:space="preserve"> Sod Peat</t>
  </si>
  <si>
    <t xml:space="preserve"> Briquettes</t>
  </si>
  <si>
    <t xml:space="preserve"> Oil</t>
  </si>
  <si>
    <t xml:space="preserve"> Crude</t>
  </si>
  <si>
    <t xml:space="preserve"> Refinery Gas</t>
  </si>
  <si>
    <t xml:space="preserve"> Gasoline</t>
  </si>
  <si>
    <t xml:space="preserve"> Kerosene</t>
  </si>
  <si>
    <t xml:space="preserve"> Jet Kerosene</t>
  </si>
  <si>
    <t xml:space="preserve"> Fueloil</t>
  </si>
  <si>
    <t xml:space="preserve"> LPG</t>
  </si>
  <si>
    <t xml:space="preserve"> Gasoil / Diesel /DERV</t>
  </si>
  <si>
    <t xml:space="preserve"> Petroleum Coke</t>
  </si>
  <si>
    <t xml:space="preserve"> Naphta</t>
  </si>
  <si>
    <t xml:space="preserve"> Bitumen</t>
  </si>
  <si>
    <t xml:space="preserve"> White Spirit</t>
  </si>
  <si>
    <t xml:space="preserve"> Lubricants</t>
  </si>
  <si>
    <t xml:space="preserve"> Natural Gas</t>
  </si>
  <si>
    <t xml:space="preserve"> Renewables</t>
  </si>
  <si>
    <t xml:space="preserve"> Hydro</t>
  </si>
  <si>
    <t xml:space="preserve"> Wind</t>
  </si>
  <si>
    <t xml:space="preserve"> Landfill Gas</t>
  </si>
  <si>
    <t xml:space="preserve"> Biogas</t>
  </si>
  <si>
    <t xml:space="preserve"> Non-Renewable  Waste</t>
  </si>
  <si>
    <t xml:space="preserve"> Electricity</t>
  </si>
  <si>
    <t xml:space="preserve"> Heat</t>
  </si>
  <si>
    <t xml:space="preserve"> TOTAL</t>
  </si>
  <si>
    <t>Fuel Tourism</t>
  </si>
  <si>
    <t>Unspecified</t>
  </si>
  <si>
    <t>TNAV</t>
  </si>
  <si>
    <t>TOTH</t>
  </si>
  <si>
    <t>TRAETH</t>
  </si>
  <si>
    <t>TRABDL</t>
  </si>
  <si>
    <t>check</t>
  </si>
  <si>
    <t>Particulate Matter &lt;10 µm (TRA)</t>
  </si>
  <si>
    <t>Particulate Matter &lt;2.5 µm (TRA)</t>
  </si>
  <si>
    <t>MVkm</t>
  </si>
  <si>
    <t>Other</t>
  </si>
  <si>
    <t>Document type:</t>
  </si>
  <si>
    <t>Carbon Dioxide - Combustion (TRA)</t>
  </si>
  <si>
    <t>Indigenous Production</t>
  </si>
  <si>
    <t>Imports</t>
  </si>
  <si>
    <t>Exports</t>
  </si>
  <si>
    <t>Mar. Bunkers</t>
  </si>
  <si>
    <t>Stock Change</t>
  </si>
  <si>
    <t>Primary Energy Supply (incl non-energy)</t>
  </si>
  <si>
    <t>Primary Energy Requirement (excl. non-energy)</t>
  </si>
  <si>
    <t>Transformation Input</t>
  </si>
  <si>
    <t>Transformation Output</t>
  </si>
  <si>
    <t>Exchanges and transfers</t>
  </si>
  <si>
    <t>Own Use and Distribution Losses</t>
  </si>
  <si>
    <t>Available Final Energy Consumption</t>
  </si>
  <si>
    <t>Non-Energy Consumption</t>
  </si>
  <si>
    <t>Final non-Energy Consumption (Feedstocks)</t>
  </si>
  <si>
    <t>Total Final Energy Consumption</t>
  </si>
  <si>
    <t>Industry*</t>
  </si>
  <si>
    <t>Non-Energy Mining</t>
  </si>
  <si>
    <t>05-09</t>
  </si>
  <si>
    <t>Food &amp; beverages</t>
  </si>
  <si>
    <t>10-11</t>
  </si>
  <si>
    <t>Textiles and textile products</t>
  </si>
  <si>
    <t>13-14</t>
  </si>
  <si>
    <t>Wood and wood products</t>
  </si>
  <si>
    <t>16</t>
  </si>
  <si>
    <t>Pulp, paper, publishing and printing</t>
  </si>
  <si>
    <t>17-18</t>
  </si>
  <si>
    <t>Chemicals &amp; man-made fibres</t>
  </si>
  <si>
    <t>20-21</t>
  </si>
  <si>
    <t>Rubber and plastic products</t>
  </si>
  <si>
    <t>22</t>
  </si>
  <si>
    <t>Other non-metallic mineral products</t>
  </si>
  <si>
    <t>23</t>
  </si>
  <si>
    <t>Basic metals and fabricated metal products</t>
  </si>
  <si>
    <t>24-25</t>
  </si>
  <si>
    <t>Machinery and equipment n.e.c.</t>
  </si>
  <si>
    <t>28</t>
  </si>
  <si>
    <t>Electrical and optical equipment</t>
  </si>
  <si>
    <t>26-27</t>
  </si>
  <si>
    <t>Transport equipment manufacture</t>
  </si>
  <si>
    <t>29-30</t>
  </si>
  <si>
    <t>Other manufacturing</t>
  </si>
  <si>
    <t>31-33, 12 &amp; 15</t>
  </si>
  <si>
    <t>Transport</t>
  </si>
  <si>
    <t>Road Freight</t>
  </si>
  <si>
    <t>Road Light Goods Vehicle</t>
  </si>
  <si>
    <t>Road Private Car</t>
  </si>
  <si>
    <t>Public Passenger Services</t>
  </si>
  <si>
    <t>Domestic Aviation</t>
  </si>
  <si>
    <t>International Aviation</t>
  </si>
  <si>
    <t>Residential</t>
  </si>
  <si>
    <t>Agricultural</t>
  </si>
  <si>
    <t>Fisheries</t>
  </si>
  <si>
    <t>Statistical Difference</t>
  </si>
  <si>
    <t>Sod peat is estimated due to new legislation and the methodology is under review</t>
  </si>
  <si>
    <t>Statistical differences may exist for crude oil between the calculated primary energy requirement and the observed refinery input</t>
  </si>
  <si>
    <t>Consumption</t>
  </si>
  <si>
    <t>On-road factor</t>
  </si>
  <si>
    <t>Table of contents</t>
  </si>
  <si>
    <t>Sheet</t>
  </si>
  <si>
    <t>Tab colour legend</t>
  </si>
  <si>
    <t>Capacity</t>
  </si>
  <si>
    <t>Currency (year)</t>
  </si>
  <si>
    <t>Base year</t>
  </si>
  <si>
    <t>Commodities</t>
  </si>
  <si>
    <t>TIMES commodities list for the sector</t>
  </si>
  <si>
    <t>TRA_FuelTechs</t>
  </si>
  <si>
    <t>TRA_FuelBlending</t>
  </si>
  <si>
    <t>Demands</t>
  </si>
  <si>
    <t>Emi</t>
  </si>
  <si>
    <t>Emission coefficients for the transport sector</t>
  </si>
  <si>
    <t>Energy service demands for the transport sector</t>
  </si>
  <si>
    <t>CAR</t>
  </si>
  <si>
    <t>MOTO</t>
  </si>
  <si>
    <t>FREH</t>
  </si>
  <si>
    <t>PUB</t>
  </si>
  <si>
    <t>NAV</t>
  </si>
  <si>
    <t>AVI</t>
  </si>
  <si>
    <t>Private cars</t>
  </si>
  <si>
    <t>General inputs</t>
  </si>
  <si>
    <t>Motorcycles</t>
  </si>
  <si>
    <t>Freight</t>
  </si>
  <si>
    <t>Public</t>
  </si>
  <si>
    <t>…</t>
  </si>
  <si>
    <t>Data elaboration sheets</t>
  </si>
  <si>
    <t>TIMES inputs for Cars</t>
  </si>
  <si>
    <t>TIMES inputs for Moto</t>
  </si>
  <si>
    <t>TIMES inputs for Freight</t>
  </si>
  <si>
    <t>TIMES inputs for Public</t>
  </si>
  <si>
    <t>TIMES inputs for Navigation</t>
  </si>
  <si>
    <t>TIMES inputs for Aviation</t>
  </si>
  <si>
    <t>Fuel blending</t>
  </si>
  <si>
    <t>Fuel sectoral technologies/infrastructure</t>
  </si>
  <si>
    <t>Luas infrastructure, 2018</t>
  </si>
  <si>
    <t>Source:</t>
  </si>
  <si>
    <t>NACE (Rev 2)</t>
  </si>
  <si>
    <t xml:space="preserve">2018                        Units = ktoe
</t>
  </si>
  <si>
    <t>2018 provisional data</t>
  </si>
  <si>
    <t>2018 provisional data based on 2017 breakdown</t>
  </si>
  <si>
    <t>2017 data</t>
  </si>
  <si>
    <t xml:space="preserve"> </t>
  </si>
  <si>
    <t>Up to 1000 cc</t>
  </si>
  <si>
    <t>1001 - 1200 cc</t>
  </si>
  <si>
    <t>1201 - 1400 cc</t>
  </si>
  <si>
    <t>1401 - 1600 cc</t>
  </si>
  <si>
    <t>1601 - 1800 cc</t>
  </si>
  <si>
    <t>1801 - 2000 cc</t>
  </si>
  <si>
    <t>Over 2000 cc</t>
  </si>
  <si>
    <t>Accessed in 15 April 2020</t>
  </si>
  <si>
    <t>Source: Irish Rail, available from: https://www.irishrail.ie/about-us/iarnrod-eireann-fleet/dart-fleet</t>
  </si>
  <si>
    <t>Source: Irish Rail, Financial Year Ended 31 December 2018</t>
  </si>
  <si>
    <t>https://www.irishrail.ie/IrishRail/media/Imported/18_ie_annual_report_final.pdf</t>
  </si>
  <si>
    <t>SEAI 2018 energy balance in ktoe</t>
  </si>
  <si>
    <t>Milion Euro 2018</t>
  </si>
  <si>
    <t>Modes</t>
  </si>
  <si>
    <t>Transport type</t>
  </si>
  <si>
    <t>Walk</t>
  </si>
  <si>
    <t>Bike</t>
  </si>
  <si>
    <t>Private</t>
  </si>
  <si>
    <t>Car</t>
  </si>
  <si>
    <t>Taxis</t>
  </si>
  <si>
    <t>Non-motorized</t>
  </si>
  <si>
    <t>Train</t>
  </si>
  <si>
    <t>LDV</t>
  </si>
  <si>
    <t>2-wheelers</t>
  </si>
  <si>
    <t>&lt; 5 km</t>
  </si>
  <si>
    <t>5-30 km</t>
  </si>
  <si>
    <t>&gt; 30 km</t>
  </si>
  <si>
    <t>Carlow</t>
  </si>
  <si>
    <t>Dublin</t>
  </si>
  <si>
    <t>Kildare</t>
  </si>
  <si>
    <t>Kilkenny</t>
  </si>
  <si>
    <t>Laois</t>
  </si>
  <si>
    <t>Longford</t>
  </si>
  <si>
    <t>Louth</t>
  </si>
  <si>
    <t>Meath</t>
  </si>
  <si>
    <t>Offaly</t>
  </si>
  <si>
    <t>Westmeath</t>
  </si>
  <si>
    <t>Wexford</t>
  </si>
  <si>
    <t>Wicklow</t>
  </si>
  <si>
    <t>Clare</t>
  </si>
  <si>
    <t>Cork</t>
  </si>
  <si>
    <t>Kerry</t>
  </si>
  <si>
    <t>Limerick</t>
  </si>
  <si>
    <t>Tipperary</t>
  </si>
  <si>
    <t>Waterford</t>
  </si>
  <si>
    <t>Galway</t>
  </si>
  <si>
    <t>Leitrim</t>
  </si>
  <si>
    <t>Mayo</t>
  </si>
  <si>
    <t>Roscommon</t>
  </si>
  <si>
    <t>Sligo</t>
  </si>
  <si>
    <t>Cavan</t>
  </si>
  <si>
    <t>Donegal</t>
  </si>
  <si>
    <t>Monaghan</t>
  </si>
  <si>
    <t>Population</t>
  </si>
  <si>
    <t>National</t>
  </si>
  <si>
    <t>Country</t>
  </si>
  <si>
    <t>Pop. (share)</t>
  </si>
  <si>
    <r>
      <t xml:space="preserve">Source: </t>
    </r>
    <r>
      <rPr>
        <sz val="11"/>
        <color theme="1"/>
        <rFont val="Calibri"/>
        <family val="2"/>
        <scheme val="minor"/>
      </rPr>
      <t>CSO, Table: EY001</t>
    </r>
  </si>
  <si>
    <t>Dublin city</t>
  </si>
  <si>
    <t>Regional cities</t>
  </si>
  <si>
    <t>Urban towns</t>
  </si>
  <si>
    <t>Bus/Coach</t>
  </si>
  <si>
    <t>Cycle</t>
  </si>
  <si>
    <t>Truck/Van</t>
  </si>
  <si>
    <t>Greater Dublin Area</t>
  </si>
  <si>
    <t>Dύn Laoghaire- Rathdown, Fingal, Dublin City and South Dublin</t>
  </si>
  <si>
    <t>All of Dublin in addition to Kildare, Meath and Wicklow</t>
  </si>
  <si>
    <t>Cork City, Galway City, Limerick City and Waterford City</t>
  </si>
  <si>
    <t>Towns with a population of between 1,500 and 10,000</t>
  </si>
  <si>
    <t>All areas with a population of less than 1,500</t>
  </si>
  <si>
    <t>Other urban Areas</t>
  </si>
  <si>
    <t>Area</t>
  </si>
  <si>
    <r>
      <rPr>
        <b/>
        <sz val="11"/>
        <color theme="1"/>
        <rFont val="Calibri"/>
        <family val="2"/>
        <scheme val="minor"/>
      </rPr>
      <t>Source:</t>
    </r>
    <r>
      <rPr>
        <sz val="11"/>
        <color theme="1"/>
        <rFont val="Calibri"/>
        <family val="2"/>
        <scheme val="minor"/>
      </rPr>
      <t xml:space="preserve"> National Household Travel Survey 2017, NTA, Dec. 2018.</t>
    </r>
  </si>
  <si>
    <t>Ireland</t>
  </si>
  <si>
    <t>Trips taken by mode of transport (share)</t>
  </si>
  <si>
    <t>Towns with a population of over 10,000 (Carlow, Cavan, Clare, Cork County, Donegal, Kerry, Kildare, Kilkenny, Laois, Limerick County, Louth, Mayo, Meath, Offaly, Roscommon, Sligo, Tipperary South, Waterford County, Westmeath and Wexford have been included.)</t>
  </si>
  <si>
    <t>Dublin City</t>
  </si>
  <si>
    <t>Dún Laoghaire-Rathdown</t>
  </si>
  <si>
    <t>Fingal</t>
  </si>
  <si>
    <t>South Dublin</t>
  </si>
  <si>
    <t>Cork City</t>
  </si>
  <si>
    <t>Cork County</t>
  </si>
  <si>
    <t>Limerick City and County</t>
  </si>
  <si>
    <t>Waterford City and County</t>
  </si>
  <si>
    <t>Galway City</t>
  </si>
  <si>
    <t>Galway County</t>
  </si>
  <si>
    <t>Total Population</t>
  </si>
  <si>
    <t>Estimated regional population in 2018</t>
  </si>
  <si>
    <t>Regional population in 2016</t>
  </si>
  <si>
    <t>Town Area (number)</t>
  </si>
  <si>
    <t>Rural Area (number)</t>
  </si>
  <si>
    <t>Town Area (share)</t>
  </si>
  <si>
    <t>Rural Area (share)</t>
  </si>
  <si>
    <r>
      <t xml:space="preserve">Source: </t>
    </r>
    <r>
      <rPr>
        <sz val="11"/>
        <color theme="1"/>
        <rFont val="Calibri"/>
        <family val="2"/>
        <scheme val="minor"/>
      </rPr>
      <t>CSO, Table: E2008</t>
    </r>
  </si>
  <si>
    <t>Share of population in 26 counties in 2016*</t>
  </si>
  <si>
    <r>
      <t xml:space="preserve">* </t>
    </r>
    <r>
      <rPr>
        <sz val="11"/>
        <color theme="1"/>
        <rFont val="Calibri"/>
        <family val="2"/>
        <scheme val="minor"/>
      </rPr>
      <t>Aggregation for Dublin, Cork and Galway</t>
    </r>
  </si>
  <si>
    <t>Area Description</t>
  </si>
  <si>
    <t>Share in pop.</t>
  </si>
  <si>
    <t>Trips taken by distance travelled per region</t>
  </si>
  <si>
    <t>Short</t>
  </si>
  <si>
    <t>Medium</t>
  </si>
  <si>
    <t>Long</t>
  </si>
  <si>
    <t>Distance</t>
  </si>
  <si>
    <t>Category</t>
  </si>
  <si>
    <t>Definition of distance range classes</t>
  </si>
  <si>
    <t>Short-range</t>
  </si>
  <si>
    <t>Medium-range</t>
  </si>
  <si>
    <t>Long-range</t>
  </si>
  <si>
    <t>No. of Hours</t>
  </si>
  <si>
    <t>Average Occupancy Rate for cars</t>
  </si>
  <si>
    <t>Proportions</t>
  </si>
  <si>
    <t>Occupancy Rate</t>
  </si>
  <si>
    <r>
      <rPr>
        <b/>
        <sz val="11"/>
        <color theme="1"/>
        <rFont val="Calibri"/>
        <family val="2"/>
        <scheme val="minor"/>
      </rPr>
      <t xml:space="preserve">Source: </t>
    </r>
    <r>
      <rPr>
        <sz val="11"/>
        <color theme="1"/>
        <rFont val="Calibri"/>
        <family val="2"/>
        <scheme val="minor"/>
      </rPr>
      <t>Project Appraisal Guidelines for National Roads Unit 6.11 -National Parameters Values Sheet, TII publication, Oct. 2016.</t>
    </r>
  </si>
  <si>
    <t>Vehicle Occupancy Rates, by Flow Group and Time Modes</t>
  </si>
  <si>
    <t>Short-range transport demand in 2018 (Mpkm)</t>
  </si>
  <si>
    <t>Medium-range transport demand in 2018 (Mpkm)</t>
  </si>
  <si>
    <t>Vehicle travelled by counties in 2018 (Mvkm)</t>
  </si>
  <si>
    <t>(4) Intercity bus are used for long-range travels.</t>
  </si>
  <si>
    <t>(2) 2-wheelers are used for short- and medium-range travels.</t>
  </si>
  <si>
    <t xml:space="preserve">Assumptions for disaggregations: </t>
  </si>
  <si>
    <t>(1) Non-motorized transport is only used for short-range travels.</t>
  </si>
  <si>
    <t xml:space="preserve">(3) Urban bus and school bus are used for short- and medium range travels. </t>
  </si>
  <si>
    <t>Long-range transport demand in 2018 (Mpkm)</t>
  </si>
  <si>
    <t>*Commodity Set Membership</t>
  </si>
  <si>
    <t>Commodity Name</t>
  </si>
  <si>
    <t>Commodity Description</t>
  </si>
  <si>
    <t>Balance equation</t>
  </si>
  <si>
    <t>Timeslice Level</t>
  </si>
  <si>
    <t>Peak Monitoring</t>
  </si>
  <si>
    <t>Electricity Indicator</t>
  </si>
  <si>
    <t>TRACNG</t>
  </si>
  <si>
    <t>TRABNG</t>
  </si>
  <si>
    <t>TRACYC</t>
  </si>
  <si>
    <t>TRAWLK</t>
  </si>
  <si>
    <t>Volumes of Motor Fuel Consumption in 2018</t>
  </si>
  <si>
    <t>Fuel type</t>
  </si>
  <si>
    <t>Cunsumption (liter)</t>
  </si>
  <si>
    <t>Biofuel in Gasoline</t>
  </si>
  <si>
    <t>Biofuel in Diesel</t>
  </si>
  <si>
    <t>Source: National Oil Reserve Agency, https://www.nora.ie/statistics.312.html</t>
  </si>
  <si>
    <t>Energy content (MJ/Lit)</t>
  </si>
  <si>
    <t>Share of Motor Fuel Consumption in 2018</t>
  </si>
  <si>
    <t>Cunsumption (share)</t>
  </si>
  <si>
    <t>Fuel Blending</t>
  </si>
  <si>
    <t>unit</t>
  </si>
  <si>
    <t>Source</t>
  </si>
  <si>
    <t>CSO, Table THA18</t>
  </si>
  <si>
    <t>ICE_Gasoline</t>
  </si>
  <si>
    <t>ICE_Diesel</t>
  </si>
  <si>
    <t>Vehicle type</t>
  </si>
  <si>
    <t>ICE_Dual fuel</t>
  </si>
  <si>
    <t>ICE_Ethanol</t>
  </si>
  <si>
    <t>HEV_Gasoline</t>
  </si>
  <si>
    <t>PHEV_Gasoline</t>
  </si>
  <si>
    <t>PHEV_Diesel</t>
  </si>
  <si>
    <t>BEV</t>
  </si>
  <si>
    <t>CSO, Table THA20, Road Traffic Volumes of Small Public Service Vehicles by County of Ownership</t>
  </si>
  <si>
    <t>Bus_Diesel</t>
  </si>
  <si>
    <t>Table 8.7     Bus Éireann fleet, 2014 - 2018</t>
  </si>
  <si>
    <t>Source: Bus Éireann</t>
  </si>
  <si>
    <t>CSO, Transport Omnibus 2018, Public transport (original data from Bus Éireann and Dublin Bus), https://www.cso.ie/en/releasesandpublications/ep/p-tranom/transportomnibus2018/publictransport/</t>
  </si>
  <si>
    <t>X1Dublin to Belfast</t>
  </si>
  <si>
    <t>2Dublin to Wexford</t>
  </si>
  <si>
    <t>X2Dublin to Wexford</t>
  </si>
  <si>
    <t>4Dublin to Waterford</t>
  </si>
  <si>
    <t>X4Dublin to New Ross</t>
  </si>
  <si>
    <t>X8Dublin to Cork</t>
  </si>
  <si>
    <t>X12Dublin to Limerick</t>
  </si>
  <si>
    <t>13Limerick To Tralee</t>
  </si>
  <si>
    <t>14Limerick To Killarney</t>
  </si>
  <si>
    <t>20Dublin to Galway</t>
  </si>
  <si>
    <t>X20Dublin to Galway</t>
  </si>
  <si>
    <t>22Dublin to Ballina</t>
  </si>
  <si>
    <t>23Dublin to Sligo</t>
  </si>
  <si>
    <t>30Dublin to Donegal</t>
  </si>
  <si>
    <t>32Dublin to Letterkenny</t>
  </si>
  <si>
    <t>40Rosslare to Tralee</t>
  </si>
  <si>
    <t>51Cork to Galway</t>
  </si>
  <si>
    <t>X51Galway to Limerick</t>
  </si>
  <si>
    <t>52Ballina to Galway</t>
  </si>
  <si>
    <t>55Limerick to Waterford</t>
  </si>
  <si>
    <t>64Derry to Galway</t>
  </si>
  <si>
    <t>100XDublin To Dundalk</t>
  </si>
  <si>
    <t>Killarney</t>
  </si>
  <si>
    <t>Number</t>
  </si>
  <si>
    <t>Share</t>
  </si>
  <si>
    <t>This service link satellite towns and villages to the main towns and cities throughout the country.</t>
  </si>
  <si>
    <t>Intercity bus services (below table shows the routes)</t>
  </si>
  <si>
    <t>Techn. &amp; Fuel</t>
  </si>
  <si>
    <t>Number of vehicles per county (stock)</t>
  </si>
  <si>
    <t>Two-wheelers</t>
  </si>
  <si>
    <t>*Two-wheelers</t>
  </si>
  <si>
    <t>*Private cars</t>
  </si>
  <si>
    <t>CommGrp</t>
  </si>
  <si>
    <t>CSO, Table THA17; Irish Bulletin of Vehicle and Driver Statistics 2018, https://www.gov.ie/en/publication/c8487b-irish-bulletin-of-vehicle-and-driver-statistics-for-2018/</t>
  </si>
  <si>
    <t>1. Vehicle ocupancy rate for private cars and small public services estimated based on table below.</t>
  </si>
  <si>
    <t>(5) Light rail can only used for the short- and medium-range transport in Dublin.</t>
  </si>
  <si>
    <t>287/367</t>
  </si>
  <si>
    <t>43.6/54.7 metres</t>
  </si>
  <si>
    <t>40.8 metres</t>
  </si>
  <si>
    <t>Length of tram</t>
  </si>
  <si>
    <t>40 minutes</t>
  </si>
  <si>
    <t>51 minutes</t>
  </si>
  <si>
    <t>Journey time</t>
  </si>
  <si>
    <t>22.0km</t>
  </si>
  <si>
    <t>20.5km</t>
  </si>
  <si>
    <t>Length of  line</t>
  </si>
  <si>
    <t>*Small sevice vehicle</t>
  </si>
  <si>
    <t>CAP2ACT</t>
  </si>
  <si>
    <t>* Source</t>
  </si>
  <si>
    <t>CSO, Table THA12</t>
  </si>
  <si>
    <t>CSO, Table THA20</t>
  </si>
  <si>
    <t>EB2018</t>
  </si>
  <si>
    <t>Small PSVs</t>
  </si>
  <si>
    <t>Large PSVs</t>
  </si>
  <si>
    <t>Private Cars</t>
  </si>
  <si>
    <t>Other fuels</t>
  </si>
  <si>
    <r>
      <rPr>
        <b/>
        <sz val="11"/>
        <color theme="1"/>
        <rFont val="Calibri"/>
        <family val="2"/>
        <scheme val="minor"/>
      </rPr>
      <t xml:space="preserve">Source: </t>
    </r>
    <r>
      <rPr>
        <sz val="11"/>
        <color theme="1"/>
        <rFont val="Calibri"/>
        <family val="2"/>
        <scheme val="minor"/>
      </rPr>
      <t>CSO, Tables: THA 17, THA18, THA20</t>
    </r>
  </si>
  <si>
    <t>Vehicle travelled by counties in 2018 (Mpkm)</t>
  </si>
  <si>
    <t>Motor_Gasoline</t>
  </si>
  <si>
    <t>Mode</t>
  </si>
  <si>
    <t>Tech. &amp; Fuel</t>
  </si>
  <si>
    <t>Car_Gasoline</t>
  </si>
  <si>
    <t>Car_Diesel</t>
  </si>
  <si>
    <t>Car_Other fuels</t>
  </si>
  <si>
    <t>Taxi_Gasoline</t>
  </si>
  <si>
    <t>Taxi_Diesel</t>
  </si>
  <si>
    <t>Taxi_Other fuels</t>
  </si>
  <si>
    <t>Light rail (LUAS)</t>
  </si>
  <si>
    <t>Summary of passenger and freight traffic by rail</t>
  </si>
  <si>
    <t>1. Estimated based on the relative share of active mode and car mode in short trips for national travels. For regional estimation they are calculated based on the population shares.</t>
  </si>
  <si>
    <r>
      <t xml:space="preserve">Non-motorized </t>
    </r>
    <r>
      <rPr>
        <vertAlign val="superscript"/>
        <sz val="11"/>
        <color theme="1"/>
        <rFont val="Calibri"/>
        <family val="2"/>
        <scheme val="minor"/>
      </rPr>
      <t>1</t>
    </r>
  </si>
  <si>
    <r>
      <t xml:space="preserve">Two-wheelers </t>
    </r>
    <r>
      <rPr>
        <vertAlign val="superscript"/>
        <sz val="11"/>
        <color theme="1"/>
        <rFont val="Calibri"/>
        <family val="2"/>
        <scheme val="minor"/>
      </rPr>
      <t>2</t>
    </r>
  </si>
  <si>
    <r>
      <t xml:space="preserve">Private Cars </t>
    </r>
    <r>
      <rPr>
        <vertAlign val="superscript"/>
        <sz val="11"/>
        <color theme="1"/>
        <rFont val="Calibri"/>
        <family val="2"/>
        <scheme val="minor"/>
      </rPr>
      <t>2</t>
    </r>
  </si>
  <si>
    <r>
      <t xml:space="preserve">Small PSVs </t>
    </r>
    <r>
      <rPr>
        <vertAlign val="superscript"/>
        <sz val="11"/>
        <color theme="1"/>
        <rFont val="Calibri"/>
        <family val="2"/>
        <scheme val="minor"/>
      </rPr>
      <t>2</t>
    </r>
  </si>
  <si>
    <t>2. Actual data (regional million vehicle kilometers) multiplied by the occupancy rates.</t>
  </si>
  <si>
    <r>
      <t xml:space="preserve">Bus_Diesel </t>
    </r>
    <r>
      <rPr>
        <vertAlign val="superscript"/>
        <sz val="11"/>
        <color theme="1"/>
        <rFont val="Calibri"/>
        <family val="2"/>
        <scheme val="minor"/>
      </rPr>
      <t>2</t>
    </r>
  </si>
  <si>
    <r>
      <t xml:space="preserve">Light rail (LUAS) </t>
    </r>
    <r>
      <rPr>
        <vertAlign val="superscript"/>
        <sz val="11"/>
        <color theme="1"/>
        <rFont val="Calibri"/>
        <family val="2"/>
        <scheme val="minor"/>
      </rPr>
      <t>3</t>
    </r>
  </si>
  <si>
    <t>4. National data adopted from table below (rail) and regional data estimated based on population shares.</t>
  </si>
  <si>
    <t>Total Car</t>
  </si>
  <si>
    <t>Total Taxi</t>
  </si>
  <si>
    <t>BUS</t>
  </si>
  <si>
    <t>CSO, Table THA17</t>
  </si>
  <si>
    <t>*Large sevice vehicle</t>
  </si>
  <si>
    <t>LUAS_Electricity</t>
  </si>
  <si>
    <t>Train_Electricity</t>
  </si>
  <si>
    <t>Train_Diesel</t>
  </si>
  <si>
    <t>Transport Infrastructure Ireland, https://www.cso.ie/en/releasesandpublications/ep/p-tranom/transportomnibus2018/publictransport/</t>
  </si>
  <si>
    <t>Irish Rail, available from: https://www.irishrail.ie/about-us/iarnrod-eireann-fleet/dart-fleet</t>
  </si>
  <si>
    <t>MVkm/PJ</t>
  </si>
  <si>
    <t>Calculated</t>
  </si>
  <si>
    <r>
      <t xml:space="preserve">Share of </t>
    </r>
    <r>
      <rPr>
        <sz val="11"/>
        <color rgb="FFFF0000"/>
        <rFont val="Calibri"/>
        <family val="2"/>
        <scheme val="minor"/>
      </rPr>
      <t>short</t>
    </r>
    <r>
      <rPr>
        <sz val="11"/>
        <rFont val="Calibri"/>
        <family val="2"/>
        <scheme val="minor"/>
      </rPr>
      <t xml:space="preserve"> and </t>
    </r>
    <r>
      <rPr>
        <sz val="11"/>
        <color rgb="FF00B050"/>
        <rFont val="Calibri"/>
        <family val="2"/>
        <scheme val="minor"/>
      </rPr>
      <t>medium</t>
    </r>
    <r>
      <rPr>
        <sz val="11"/>
        <rFont val="Calibri"/>
        <family val="2"/>
        <scheme val="minor"/>
      </rPr>
      <t xml:space="preserve"> travels</t>
    </r>
  </si>
  <si>
    <r>
      <rPr>
        <b/>
        <sz val="11"/>
        <rFont val="Calibri"/>
        <family val="2"/>
        <scheme val="minor"/>
      </rPr>
      <t>Source:</t>
    </r>
    <r>
      <rPr>
        <sz val="11"/>
        <rFont val="Calibri"/>
        <family val="2"/>
        <scheme val="minor"/>
      </rPr>
      <t xml:space="preserve"> Transport Infrastructure Ireland, https://www.cso.ie/en/releasesandpublications/ep/p-tranom/transportomnibus2018/publictransport/</t>
    </r>
  </si>
  <si>
    <t>3.Adopted from table below (LUAS infrastructure).</t>
  </si>
  <si>
    <r>
      <t xml:space="preserve">Train </t>
    </r>
    <r>
      <rPr>
        <vertAlign val="superscript"/>
        <sz val="11"/>
        <color rgb="FFFF0000"/>
        <rFont val="Calibri"/>
        <family val="2"/>
        <scheme val="minor"/>
      </rPr>
      <t>4</t>
    </r>
  </si>
  <si>
    <r>
      <rPr>
        <b/>
        <sz val="11"/>
        <color theme="1"/>
        <rFont val="Calibri"/>
        <family val="2"/>
        <scheme val="minor"/>
      </rPr>
      <t xml:space="preserve">Assumption: </t>
    </r>
    <r>
      <rPr>
        <sz val="11"/>
        <color theme="1"/>
        <rFont val="Calibri"/>
        <family val="2"/>
        <scheme val="minor"/>
      </rPr>
      <t>Normal distribution.</t>
    </r>
  </si>
  <si>
    <t>Engine size</t>
  </si>
  <si>
    <t>Number of gasoline ICEs</t>
  </si>
  <si>
    <t>Share of gasoline ICEs</t>
  </si>
  <si>
    <t>Fuel consumption for gasoline ICEs</t>
  </si>
  <si>
    <t>share</t>
  </si>
  <si>
    <t>MJ/km</t>
  </si>
  <si>
    <t>Number of diesel ICEs</t>
  </si>
  <si>
    <t>Share of diesel ICEs</t>
  </si>
  <si>
    <t>Fuel consumption for diesel ICEs</t>
  </si>
  <si>
    <t>Source: SEAI</t>
  </si>
  <si>
    <t xml:space="preserve">Those counties without any records are assumed to be the same as the national average fuel economy. </t>
  </si>
  <si>
    <r>
      <rPr>
        <b/>
        <sz val="11"/>
        <color theme="1"/>
        <rFont val="Calibri"/>
        <family val="2"/>
        <scheme val="minor"/>
      </rPr>
      <t>Source:</t>
    </r>
    <r>
      <rPr>
        <sz val="11"/>
        <color theme="1"/>
        <rFont val="Calibri"/>
        <family val="2"/>
        <scheme val="minor"/>
      </rPr>
      <t xml:space="preserve"> CSO, database of vehicle stock model</t>
    </r>
  </si>
  <si>
    <t>Share of flex fuel ICEs (Petrol and Ethanol)</t>
  </si>
  <si>
    <t>Fuel consumption for flex fuel ICEs (Petrol and Ethanol)</t>
  </si>
  <si>
    <t>Number of flex fuel ICEs (Petrol and Ethanol)</t>
  </si>
  <si>
    <t>Fuel consumption for dual fuel ICEs (Petrol and gas)</t>
  </si>
  <si>
    <t>Share of dual fuel ICEs (Petrol and gas)</t>
  </si>
  <si>
    <t>Number of dual fuel ICEs (Petrol and gas)</t>
  </si>
  <si>
    <t>Fuel consumption for Petrol HEVs</t>
  </si>
  <si>
    <t>Share of Petrol HEVs</t>
  </si>
  <si>
    <t>Number of Petrol HEVs</t>
  </si>
  <si>
    <t>All engine sizes</t>
  </si>
  <si>
    <t>Number of Diesel HEVs</t>
  </si>
  <si>
    <t>Share of Diesel HEVs</t>
  </si>
  <si>
    <t>Fuel consumption for Diesel HEVs</t>
  </si>
  <si>
    <t>HEV_Diesel</t>
  </si>
  <si>
    <t>Number of Petrol PHEVs</t>
  </si>
  <si>
    <t>Share of Petrol PHEVs</t>
  </si>
  <si>
    <t>Fuel consumption for Petrol PHEVs</t>
  </si>
  <si>
    <t>Number of Diesel PHEVs</t>
  </si>
  <si>
    <t>Share of Diesel PHEVs</t>
  </si>
  <si>
    <t>Fuel consumption for Diesel PHEVs</t>
  </si>
  <si>
    <t>Number of BEVs</t>
  </si>
  <si>
    <t>Share of BEVs</t>
  </si>
  <si>
    <t>Fuel consumption for BEVs</t>
  </si>
  <si>
    <t>Battery range</t>
  </si>
  <si>
    <t>100 - 150 km</t>
  </si>
  <si>
    <t>150 - 200 km</t>
  </si>
  <si>
    <t>200 - 250 km</t>
  </si>
  <si>
    <t>250 - 300 km</t>
  </si>
  <si>
    <t>300 - 350 km</t>
  </si>
  <si>
    <t>All battery range</t>
  </si>
  <si>
    <t>Up to 100 km</t>
  </si>
  <si>
    <t>Over 350 km</t>
  </si>
  <si>
    <t>101 - 150 km</t>
  </si>
  <si>
    <t>151 - 200 km</t>
  </si>
  <si>
    <t>201 - 250 km</t>
  </si>
  <si>
    <t>251 - 300 km</t>
  </si>
  <si>
    <t>301 - 350 km</t>
  </si>
  <si>
    <t>Over 351 km</t>
  </si>
  <si>
    <t>Number of gasoline ICEs_Taxis</t>
  </si>
  <si>
    <t>Share of gasoline ICEs_Taxis</t>
  </si>
  <si>
    <t>Fuel consumption for gasoline ICEs_Taxis</t>
  </si>
  <si>
    <t>Number of diesel ICEs_Taxis</t>
  </si>
  <si>
    <t>Share of diesel ICEs_Taxis</t>
  </si>
  <si>
    <t>Fuel consumption for diesel ICEs_Taxis</t>
  </si>
  <si>
    <t>Number of Petrol HEVs_Taxis</t>
  </si>
  <si>
    <t>Share of Petrol HEVs_Taxis</t>
  </si>
  <si>
    <t>Fuel consumption for Petrol HEVs_Taxis</t>
  </si>
  <si>
    <t>*Active modes</t>
  </si>
  <si>
    <t>*Passengers</t>
  </si>
  <si>
    <t>Freights</t>
  </si>
  <si>
    <t>Goods vehicles</t>
  </si>
  <si>
    <t>0 - 2 tonnes</t>
  </si>
  <si>
    <t>2 - 5 tonnes</t>
  </si>
  <si>
    <t>5 - 7.5 tonnes</t>
  </si>
  <si>
    <t>7.5 - 10 tonnes</t>
  </si>
  <si>
    <t>10 - 12.5 tonnes</t>
  </si>
  <si>
    <t>Over 12.5 tonnes</t>
  </si>
  <si>
    <r>
      <t>Unladen Weight</t>
    </r>
    <r>
      <rPr>
        <sz val="14"/>
        <color rgb="FF384350"/>
        <rFont val="Arial"/>
        <family val="2"/>
      </rPr>
      <t> </t>
    </r>
  </si>
  <si>
    <r>
      <rPr>
        <b/>
        <sz val="11"/>
        <color theme="1"/>
        <rFont val="Calibri"/>
        <family val="2"/>
        <scheme val="minor"/>
      </rPr>
      <t xml:space="preserve">Source: </t>
    </r>
    <r>
      <rPr>
        <sz val="11"/>
        <color theme="1"/>
        <rFont val="Calibri"/>
        <family val="2"/>
        <scheme val="minor"/>
      </rPr>
      <t>CSO, THA19</t>
    </r>
  </si>
  <si>
    <t>Number of goods vehicle</t>
  </si>
  <si>
    <t>Kilometres Travelled (Million km)</t>
  </si>
  <si>
    <t xml:space="preserve">All regions </t>
  </si>
  <si>
    <t>Border</t>
  </si>
  <si>
    <t>West</t>
  </si>
  <si>
    <t>Mid-West</t>
  </si>
  <si>
    <t>South-East</t>
  </si>
  <si>
    <t>South-West</t>
  </si>
  <si>
    <t>Mid-East</t>
  </si>
  <si>
    <t>Midland</t>
  </si>
  <si>
    <t>Northern Ireland</t>
  </si>
  <si>
    <t>Other countries</t>
  </si>
  <si>
    <t>All regions and countries</t>
  </si>
  <si>
    <r>
      <rPr>
        <b/>
        <sz val="11"/>
        <color theme="1"/>
        <rFont val="Calibri"/>
        <family val="2"/>
        <scheme val="minor"/>
      </rPr>
      <t xml:space="preserve">Source: </t>
    </r>
    <r>
      <rPr>
        <sz val="11"/>
        <color theme="1"/>
        <rFont val="Calibri"/>
        <family val="2"/>
        <scheme val="minor"/>
      </rPr>
      <t>CSO, TFA22</t>
    </r>
  </si>
  <si>
    <t>Region of Origin (from)</t>
  </si>
  <si>
    <t>Region of Destination (to)</t>
  </si>
  <si>
    <t>Tonnes Carried (Thousand tonne)</t>
  </si>
  <si>
    <t>Vehicle Kilometres (MVkm)</t>
  </si>
  <si>
    <t>Activity (Mtkm)</t>
  </si>
  <si>
    <t>Geographical divisions</t>
  </si>
  <si>
    <t>Counties per division</t>
  </si>
  <si>
    <t xml:space="preserve">Wicklow </t>
  </si>
  <si>
    <t xml:space="preserve">Longford </t>
  </si>
  <si>
    <t>Million tonne kilometer</t>
  </si>
  <si>
    <t>mtkm</t>
  </si>
  <si>
    <t>number</t>
  </si>
  <si>
    <t>Internal activity</t>
  </si>
  <si>
    <t>Export activity</t>
  </si>
  <si>
    <t>Total activity</t>
  </si>
  <si>
    <r>
      <rPr>
        <b/>
        <sz val="11"/>
        <color theme="1"/>
        <rFont val="Calibri"/>
        <family val="2"/>
        <scheme val="minor"/>
      </rPr>
      <t xml:space="preserve">Assumptions: </t>
    </r>
    <r>
      <rPr>
        <sz val="11"/>
        <color theme="1"/>
        <rFont val="Calibri"/>
        <family val="2"/>
        <scheme val="minor"/>
      </rPr>
      <t xml:space="preserve">for internal activities region of destination is the basis for the demand (tonne kilometer), and export activities is adjusted based on the population share </t>
    </r>
  </si>
  <si>
    <t>Share of activity per region</t>
  </si>
  <si>
    <t>Share of vehicles per region</t>
  </si>
  <si>
    <t>Goods vehicle</t>
  </si>
  <si>
    <r>
      <rPr>
        <b/>
        <sz val="11"/>
        <color theme="1"/>
        <rFont val="Calibri"/>
        <family val="2"/>
        <scheme val="minor"/>
      </rPr>
      <t xml:space="preserve">Source: </t>
    </r>
    <r>
      <rPr>
        <sz val="11"/>
        <color theme="1"/>
        <rFont val="Calibri"/>
        <family val="2"/>
        <scheme val="minor"/>
      </rPr>
      <t>CSO, THA17</t>
    </r>
  </si>
  <si>
    <t>*Goods vehicle</t>
  </si>
  <si>
    <t>'000</t>
  </si>
  <si>
    <t>Freight traffic tonne kilometres</t>
  </si>
  <si>
    <t>Source: Iarnród Éireann</t>
  </si>
  <si>
    <t>Summary of passenger and freight traffic by rail, 2013- 2018</t>
  </si>
  <si>
    <t>CSO, https://www.cso.ie/en/releasesandpublications/ep/p-tranom/transportomnibus2018/publictransport/</t>
  </si>
  <si>
    <t>Iarnród Éireann Freight Fleet Information</t>
  </si>
  <si>
    <t>Source: Irish rail, https://www.irishrail.ie/About-Us/Iarnrod-Eireann-Fleet/Freight-Fleet</t>
  </si>
  <si>
    <t>Ballina</t>
  </si>
  <si>
    <t>Dublin port</t>
  </si>
  <si>
    <t>Belview port</t>
  </si>
  <si>
    <t>Navan</t>
  </si>
  <si>
    <t>From</t>
  </si>
  <si>
    <t>To</t>
  </si>
  <si>
    <t>County</t>
  </si>
  <si>
    <t>Service/week</t>
  </si>
  <si>
    <t>total</t>
  </si>
  <si>
    <t>The existing trains</t>
  </si>
  <si>
    <t>*unit</t>
  </si>
  <si>
    <t>pass/vehicle</t>
  </si>
  <si>
    <t>tonne/vehicle</t>
  </si>
  <si>
    <t>*Passenger transport</t>
  </si>
  <si>
    <t>*Goods transport</t>
  </si>
  <si>
    <t>Average tonnage (ton per vehicle)</t>
  </si>
  <si>
    <t>ton/vehicle</t>
  </si>
  <si>
    <r>
      <rPr>
        <b/>
        <sz val="11"/>
        <color theme="1"/>
        <rFont val="Calibri"/>
        <family val="2"/>
        <scheme val="minor"/>
      </rPr>
      <t xml:space="preserve">Source: </t>
    </r>
    <r>
      <rPr>
        <sz val="11"/>
        <color theme="1"/>
        <rFont val="Calibri"/>
        <family val="2"/>
        <scheme val="minor"/>
      </rPr>
      <t>calculated from dividing mtkm by mvkm (both of these are from CSO)</t>
    </r>
  </si>
  <si>
    <t>2. Vehicle ocupancy rate for other passenger cars adopted from JRC_EU_TIMES model</t>
  </si>
  <si>
    <t xml:space="preserve">3. Vehicle tannage for road vehicles is dopted from CSO and for Rail is adopted from Irish TIMES 2.0 </t>
  </si>
  <si>
    <t>Navigation, Tourism &amp; Others</t>
  </si>
  <si>
    <t>Demand (PJ)</t>
  </si>
  <si>
    <t>TTURS</t>
  </si>
  <si>
    <t>International sea passenger and freight transport energy use is counted under international marine bunkers and is not considered under the national energy balance; energy use in fishing vessels is accounted for under agriculture and fisheries.</t>
  </si>
  <si>
    <t>1. Fuel tourism is defined as fuel that is bought within the State by private motorists and hauliers but consumed outside the State (SEAI).</t>
  </si>
  <si>
    <t>2. Navigation, which accounts for fuel used by watercraft or sea going vessels operating in coastal or inland waters, excluding that used for international sea transport of passengers or freight or by fishing vessels</t>
  </si>
  <si>
    <t xml:space="preserve">3. Unspecified, which accounts for the difference between the sum of the energy demand estimates for each
individual mode listed above and data from the national energy balance on the overall fuel consumption of the
transport sector. </t>
  </si>
  <si>
    <t>*Turism, Navigation &amp; Others</t>
  </si>
  <si>
    <t>*Aviation</t>
  </si>
  <si>
    <t>TAVIDOM</t>
  </si>
  <si>
    <t>TAVIINT</t>
  </si>
  <si>
    <r>
      <t xml:space="preserve">Assumptions: </t>
    </r>
    <r>
      <rPr>
        <sz val="11"/>
        <color theme="1"/>
        <rFont val="Calibri"/>
        <family val="2"/>
        <scheme val="minor"/>
      </rPr>
      <t>Total demand is from balance sheet and then allocated to regions based on population share.</t>
    </r>
  </si>
  <si>
    <t>All main airports</t>
  </si>
  <si>
    <t>Knock</t>
  </si>
  <si>
    <t>Shannon</t>
  </si>
  <si>
    <t>Passengers (Thousand)</t>
  </si>
  <si>
    <t>Freight (000 Tonnes)</t>
  </si>
  <si>
    <t>Commercial Flights (Thousand)</t>
  </si>
  <si>
    <t>Domestic Passengers, Freight and Commercial Flights</t>
  </si>
  <si>
    <t>Airports</t>
  </si>
  <si>
    <r>
      <rPr>
        <b/>
        <sz val="11"/>
        <color theme="1"/>
        <rFont val="Calibri"/>
        <family val="2"/>
        <scheme val="minor"/>
      </rPr>
      <t xml:space="preserve">Source: </t>
    </r>
    <r>
      <rPr>
        <sz val="11"/>
        <color theme="1"/>
        <rFont val="Calibri"/>
        <family val="2"/>
        <scheme val="minor"/>
      </rPr>
      <t>CSO, Table TAA03</t>
    </r>
  </si>
  <si>
    <t>Total Passengers, Freight and Commercial Flights (International &amp; Domestic)</t>
  </si>
  <si>
    <t>International Passengers, Freight and Commercial Flights</t>
  </si>
  <si>
    <t>Share of Domestic Passengers, Freight and Commercial Flights</t>
  </si>
  <si>
    <t>Calculated from above table</t>
  </si>
  <si>
    <t>Share of International Passengers, Freight and Commercial Flights</t>
  </si>
  <si>
    <t>Average share</t>
  </si>
  <si>
    <r>
      <t xml:space="preserve">Assumptions: </t>
    </r>
    <r>
      <rPr>
        <sz val="11"/>
        <color theme="1"/>
        <rFont val="Calibri"/>
        <family val="2"/>
        <scheme val="minor"/>
      </rPr>
      <t>Total demand is from balance sheet and then allocated to the regions based on average share of flights in main airports.</t>
    </r>
  </si>
  <si>
    <t>Tietge U, Mock P, Franco V, Zacharof N. From laboratory to road: Modeling the divergence between official and real-world fuel consumption and CO2 emission values in the German passenger car market for the years 2001–2014. Energy Policy. 2017 Apr 1;103:212-22.</t>
  </si>
  <si>
    <t xml:space="preserve">Source: </t>
  </si>
  <si>
    <t>Tietge U, Zacharof N, Mock P, Franco V, German J, Bandivadekar A, Ligterink N, Lambrecht U. From laboratory to road. communications. 2017;49(30):847129-102.</t>
  </si>
  <si>
    <t>https://theicct.org/sites/default/files/publications/Lab-to-road-2017_ICCT-white%20paper_06112017_vF.pdf</t>
  </si>
  <si>
    <t>HONESTJOHN.CO.UK (UNITED KINGDOM)</t>
  </si>
  <si>
    <t>ALLSTAR FUEL CARD (UNITED KINGDOM)</t>
  </si>
  <si>
    <t>HONESTJOHN.CO.UK (UK)</t>
  </si>
  <si>
    <t>ALLSTAR FUEL CARD (UK)</t>
  </si>
  <si>
    <t>All vehicle</t>
  </si>
  <si>
    <t>All data sources</t>
  </si>
  <si>
    <t>1000km/yr</t>
  </si>
  <si>
    <t>Average tonnage</t>
  </si>
  <si>
    <t>Average tonnage (second method)</t>
  </si>
  <si>
    <t>Activity from CSO THA17</t>
  </si>
  <si>
    <t>Activity from CSO TFA22</t>
  </si>
  <si>
    <t>Company cars</t>
  </si>
  <si>
    <r>
      <t xml:space="preserve">* On a national basis for motorcycle and buses, buses are the average of fuel consumption from </t>
    </r>
    <r>
      <rPr>
        <sz val="11"/>
        <color rgb="FF00B050"/>
        <rFont val="Calibri"/>
        <family val="2"/>
        <scheme val="minor"/>
      </rPr>
      <t xml:space="preserve">IRISH_TIMES 2.0, </t>
    </r>
    <r>
      <rPr>
        <sz val="11"/>
        <color theme="1"/>
        <rFont val="Calibri"/>
        <family val="2"/>
        <scheme val="minor"/>
      </rPr>
      <t xml:space="preserve">for trains and freights are taken fron </t>
    </r>
    <r>
      <rPr>
        <sz val="11"/>
        <color rgb="FF00B050"/>
        <rFont val="Calibri"/>
        <family val="2"/>
        <scheme val="minor"/>
      </rPr>
      <t>IRISH_TIMES 2.0</t>
    </r>
    <r>
      <rPr>
        <sz val="11"/>
        <color theme="1"/>
        <rFont val="Calibri"/>
        <family val="2"/>
        <scheme val="minor"/>
      </rPr>
      <t>, for cars and taxis calculated from regional vehicle stock.</t>
    </r>
  </si>
  <si>
    <t>Light Rail (LUAS)</t>
  </si>
  <si>
    <r>
      <rPr>
        <b/>
        <sz val="11"/>
        <rFont val="Calibri"/>
        <family val="2"/>
        <scheme val="minor"/>
      </rPr>
      <t xml:space="preserve">Source: </t>
    </r>
    <r>
      <rPr>
        <sz val="11"/>
        <rFont val="Calibri"/>
        <family val="2"/>
        <scheme val="minor"/>
      </rPr>
      <t>Iarnród Éireann and CSO, https://www.cso.ie/en/releasesandpublications/ep/p-tranom/transportomnibus2018/publictransport/</t>
    </r>
  </si>
  <si>
    <t>LUAS lines</t>
  </si>
  <si>
    <t>Passenger/vehicle</t>
  </si>
  <si>
    <t>4. For LUAS passenger kilometer is divided by vehicle kilometer.</t>
  </si>
  <si>
    <t>Efficiency (Mpkm/PJ)</t>
  </si>
  <si>
    <t>The Energy consumption profile of Iarnród Éireann (MWhr)</t>
  </si>
  <si>
    <t>MWh</t>
  </si>
  <si>
    <t>Efficiency</t>
  </si>
  <si>
    <t>MPkm/PJ</t>
  </si>
  <si>
    <t>Total Diesel use</t>
  </si>
  <si>
    <t>Total Electricity use</t>
  </si>
  <si>
    <t>MWh/10^4P</t>
  </si>
  <si>
    <t>Electricity use</t>
  </si>
  <si>
    <t>Diesel use</t>
  </si>
  <si>
    <t>Pass/vehicle</t>
  </si>
  <si>
    <t>Can be deleted</t>
  </si>
  <si>
    <t>Region</t>
  </si>
  <si>
    <t>*Units</t>
  </si>
  <si>
    <t>MEuro2018/PJ</t>
  </si>
  <si>
    <t>Transport Demand: Aviation international</t>
  </si>
  <si>
    <t>Transport Demand: Aviation domestic</t>
  </si>
  <si>
    <t>Transport Demand: Unspecified fuel</t>
  </si>
  <si>
    <t xml:space="preserve">Transport Demand: Navigation fuel </t>
  </si>
  <si>
    <t xml:space="preserve">Transport Demand: Turism fuel </t>
  </si>
  <si>
    <t>Transport Demand: Goods vehicle for freight</t>
  </si>
  <si>
    <t>DMD</t>
  </si>
  <si>
    <t>DEMO</t>
  </si>
  <si>
    <t>Utilization factor for different vehicles</t>
  </si>
  <si>
    <t>Calibration for demand</t>
  </si>
  <si>
    <t>Mpkm/yr</t>
  </si>
  <si>
    <t>Mtkm/yr</t>
  </si>
  <si>
    <t>*Trucks and Rail</t>
  </si>
  <si>
    <t>TRALNG</t>
  </si>
  <si>
    <t>WLK</t>
  </si>
  <si>
    <t>CYC</t>
  </si>
  <si>
    <t>PRE</t>
  </si>
  <si>
    <t>EFF</t>
  </si>
  <si>
    <t>Vehicle occupancy (passenger/tonnage per vehicle)</t>
  </si>
  <si>
    <t>EFFICIENCY</t>
  </si>
  <si>
    <t>~FI_T: Demand</t>
  </si>
  <si>
    <t>Bpkm</t>
  </si>
  <si>
    <t>BVkm/PJ</t>
  </si>
  <si>
    <t>PJa</t>
  </si>
  <si>
    <t>LIFE</t>
  </si>
  <si>
    <t>Lifetime</t>
  </si>
  <si>
    <t>Years</t>
  </si>
  <si>
    <t>V or PJa</t>
  </si>
  <si>
    <t>~FI_T: NCAP_BND~2018</t>
  </si>
  <si>
    <t>IE-CW</t>
  </si>
  <si>
    <t>IE-CN</t>
  </si>
  <si>
    <t>IE-CE</t>
  </si>
  <si>
    <t>IE-CO</t>
  </si>
  <si>
    <t>IE-DL</t>
  </si>
  <si>
    <t>IE-D</t>
  </si>
  <si>
    <t>IE-G</t>
  </si>
  <si>
    <t>IE-KY</t>
  </si>
  <si>
    <t>IE-KE</t>
  </si>
  <si>
    <t>IE-KK</t>
  </si>
  <si>
    <t>IE-LS</t>
  </si>
  <si>
    <t>IE-LM</t>
  </si>
  <si>
    <t>IE-LK</t>
  </si>
  <si>
    <t>IE-LD</t>
  </si>
  <si>
    <t>IE-LH</t>
  </si>
  <si>
    <t>IE-MO</t>
  </si>
  <si>
    <t>IE-MH</t>
  </si>
  <si>
    <t>IE-MN</t>
  </si>
  <si>
    <t>IE-OY</t>
  </si>
  <si>
    <t>IE-RN</t>
  </si>
  <si>
    <t>IE-SO</t>
  </si>
  <si>
    <t>IE-TA</t>
  </si>
  <si>
    <t>IE-WD</t>
  </si>
  <si>
    <t>IE-WH</t>
  </si>
  <si>
    <t>IE-WX</t>
  </si>
  <si>
    <t>IE-WW</t>
  </si>
  <si>
    <t>Code</t>
  </si>
  <si>
    <t>County name</t>
  </si>
  <si>
    <r>
      <rPr>
        <b/>
        <sz val="11"/>
        <color theme="1"/>
        <rFont val="Calibri"/>
        <family val="2"/>
        <scheme val="minor"/>
      </rPr>
      <t xml:space="preserve">Source: </t>
    </r>
    <r>
      <rPr>
        <sz val="11"/>
        <color theme="1"/>
        <rFont val="Calibri"/>
        <family val="2"/>
        <scheme val="minor"/>
      </rPr>
      <t>https://en.wikipedia.org/wiki/ISO_3166-2:IE</t>
    </r>
  </si>
  <si>
    <t>Single-region</t>
  </si>
  <si>
    <t>Multi-region</t>
  </si>
  <si>
    <t>Mode of travel</t>
  </si>
  <si>
    <t>Duration</t>
  </si>
  <si>
    <t>Minutes</t>
  </si>
  <si>
    <t>Private car - driver</t>
  </si>
  <si>
    <t>Private car - passenger</t>
  </si>
  <si>
    <t>Bus</t>
  </si>
  <si>
    <t>Rail / DART / Luas</t>
  </si>
  <si>
    <t>Taxi / hackney</t>
  </si>
  <si>
    <t>Lorry / motorcycle / other</t>
  </si>
  <si>
    <t>All modes of travel</t>
  </si>
  <si>
    <t>&lt; 2 kilometres</t>
  </si>
  <si>
    <t>2&lt;4 kilometres</t>
  </si>
  <si>
    <t>4&lt;6 kilometres</t>
  </si>
  <si>
    <t>6&lt;8 kilometres</t>
  </si>
  <si>
    <t>8+ kilometres</t>
  </si>
  <si>
    <t xml:space="preserve">   Rail</t>
  </si>
  <si>
    <t xml:space="preserve">   DART/Luas</t>
  </si>
  <si>
    <r>
      <t>Lorry / motorcycle / other</t>
    </r>
    <r>
      <rPr>
        <vertAlign val="superscript"/>
        <sz val="8"/>
        <color theme="1"/>
        <rFont val="Arial"/>
        <family val="2"/>
      </rPr>
      <t>1</t>
    </r>
  </si>
  <si>
    <t xml:space="preserve">   Lorry/motorcycle</t>
  </si>
  <si>
    <t xml:space="preserve">   Van</t>
  </si>
  <si>
    <r>
      <t xml:space="preserve">   Other</t>
    </r>
    <r>
      <rPr>
        <vertAlign val="superscript"/>
        <sz val="8"/>
        <color theme="1"/>
        <rFont val="Arial"/>
        <family val="2"/>
      </rPr>
      <t>2</t>
    </r>
  </si>
  <si>
    <r>
      <rPr>
        <b/>
        <sz val="8"/>
        <color theme="1"/>
        <rFont val="Arial"/>
        <family val="2"/>
      </rPr>
      <t>Source:</t>
    </r>
    <r>
      <rPr>
        <sz val="8"/>
        <color theme="1"/>
        <rFont val="Arial"/>
        <family val="2"/>
      </rPr>
      <t xml:space="preserve"> https://www.cso.ie/en/releasesandpublications/ep/p-nts/nationaltravelsurvey2019/howwetravelled/</t>
    </r>
  </si>
  <si>
    <r>
      <rPr>
        <b/>
        <sz val="8"/>
        <color theme="1"/>
        <rFont val="Arial"/>
        <family val="2"/>
      </rPr>
      <t>Source:</t>
    </r>
    <r>
      <rPr>
        <sz val="8"/>
        <color theme="1"/>
        <rFont val="Arial"/>
        <family val="2"/>
      </rPr>
      <t xml:space="preserve"> CSO (email from maureen.delamere@cso.ie, 28 August 2020)</t>
    </r>
  </si>
  <si>
    <t>County of owner</t>
  </si>
  <si>
    <t>Tractors and machinery</t>
  </si>
  <si>
    <t>Vehicles</t>
  </si>
  <si>
    <t>km
(million)</t>
  </si>
  <si>
    <t>Average
km</t>
  </si>
  <si>
    <t xml:space="preserve">Tipperary </t>
  </si>
  <si>
    <t>Travel range</t>
  </si>
  <si>
    <t>Weighting factor</t>
  </si>
  <si>
    <t>Short-range (&lt;5km)</t>
  </si>
  <si>
    <t>Road traffic volumes of national fleet by county of owner and vehicle type, 2018</t>
  </si>
  <si>
    <t>Source: https://www.cso.ie/en/releasesandpublications/ep/p-tranom/transportomnibus2018/roadtrafficvolumes/#:~:text=Transport%20Omnibus%202018,-Road%20traffic%20volumes&amp;text=Private%20cars%20accounted%20for%2077.6,travelled%2016%2C990%20kilometres%20in%202018.</t>
  </si>
  <si>
    <t>Ave. distance (km)</t>
  </si>
  <si>
    <t>Trips (share)*</t>
  </si>
  <si>
    <t>Percentage distribution of journeys by mode of travel and distance</t>
  </si>
  <si>
    <t>Average journey profile by mode of travel</t>
  </si>
  <si>
    <t>Long-range (&gt;30 km)</t>
  </si>
  <si>
    <t>Medium-range (5-30 km)</t>
  </si>
  <si>
    <t>Average distance travel for private cars (national)</t>
  </si>
  <si>
    <t>Demand (Mpkm)</t>
  </si>
  <si>
    <t>Million PKM</t>
  </si>
  <si>
    <t>Private car demand</t>
  </si>
  <si>
    <t>Average distance travel for taxis (national)</t>
  </si>
  <si>
    <t>Average distance travel for motorcycle (national)</t>
  </si>
  <si>
    <r>
      <rPr>
        <b/>
        <sz val="11"/>
        <color theme="1"/>
        <rFont val="Calibri"/>
        <family val="2"/>
        <scheme val="minor"/>
      </rPr>
      <t>Assumption:</t>
    </r>
    <r>
      <rPr>
        <sz val="11"/>
        <color theme="1"/>
        <rFont val="Calibri"/>
        <family val="2"/>
        <scheme val="minor"/>
      </rPr>
      <t xml:space="preserve"> average distance travel for short- and medium-range journeys are 4 km and 17 km.</t>
    </r>
  </si>
  <si>
    <t>Taxis demand</t>
  </si>
  <si>
    <t>Motorcycle demand</t>
  </si>
  <si>
    <t>Bus demand</t>
  </si>
  <si>
    <t>Average distance travel for Bus (national)</t>
  </si>
  <si>
    <t>TRAPS</t>
  </si>
  <si>
    <t>TRAPM</t>
  </si>
  <si>
    <t>TRAPL</t>
  </si>
  <si>
    <t>Transport Demand: Medium-range passenger travels</t>
  </si>
  <si>
    <t>Transport Demand: Long-range passenger travels</t>
  </si>
  <si>
    <t>Transport Demand: Short-range passenger travels</t>
  </si>
  <si>
    <t>Share of distance range class in passenger transport</t>
  </si>
  <si>
    <t>&lt;5km</t>
  </si>
  <si>
    <t>&gt;30 km</t>
  </si>
  <si>
    <t>Range class</t>
  </si>
  <si>
    <t>km</t>
  </si>
  <si>
    <t>Share of transport modes in short-range passenger demand in 2018</t>
  </si>
  <si>
    <t>Share of transport modes in long-range passenger demand in 2018</t>
  </si>
  <si>
    <t>Share of transport modes in medium-range passenger demand in 2018</t>
  </si>
  <si>
    <t>mVkm/PJ</t>
  </si>
  <si>
    <t>IE</t>
  </si>
  <si>
    <t>Development</t>
  </si>
  <si>
    <t>Btkm</t>
  </si>
  <si>
    <t>~FI_T: Stock~2018</t>
  </si>
  <si>
    <t>~FI_T: ACTFLO~2018</t>
  </si>
  <si>
    <t>~FI_T: AF~2018</t>
  </si>
  <si>
    <t>OILGSL</t>
  </si>
  <si>
    <t>OILDST</t>
  </si>
  <si>
    <t>GASLNG</t>
  </si>
  <si>
    <t>OILKER</t>
  </si>
  <si>
    <t>TRAGSL_BLD</t>
  </si>
  <si>
    <t>TRADST_BLD</t>
  </si>
  <si>
    <t>TRAE85_BLD</t>
  </si>
  <si>
    <t>Fuel Blending - E85</t>
  </si>
  <si>
    <t>Fuel Blending - Gasoline with Ethanol</t>
  </si>
  <si>
    <t>Fuel Blending - Diesel with Biodiesel</t>
  </si>
  <si>
    <t>TRABCNG_BLD</t>
  </si>
  <si>
    <t>Fuel Blending - CNG + BioCNG</t>
  </si>
  <si>
    <t>Share-I~2018</t>
  </si>
  <si>
    <t>Share-I~2020</t>
  </si>
  <si>
    <t>Share-I~2030</t>
  </si>
  <si>
    <t>UP</t>
  </si>
  <si>
    <t>LO</t>
  </si>
  <si>
    <t>Walking (TRA)</t>
  </si>
  <si>
    <t>Cycling (TRA)</t>
  </si>
  <si>
    <t>Gasoline (TRA)</t>
  </si>
  <si>
    <t>Diesel (TRA)</t>
  </si>
  <si>
    <t>BioEthanol (TRA)</t>
  </si>
  <si>
    <t>BioDiesel (TRA)</t>
  </si>
  <si>
    <t>CNG (TRA)</t>
  </si>
  <si>
    <t>BioCNG (TRA)</t>
  </si>
  <si>
    <t>Electricity (TRA)</t>
  </si>
  <si>
    <t>LNG (TRA)</t>
  </si>
  <si>
    <t>Hydrogen (TRA)</t>
  </si>
  <si>
    <t>Kerosene (TRA)</t>
  </si>
  <si>
    <t>T-WLK_WLK</t>
  </si>
  <si>
    <t>TRA Walking</t>
  </si>
  <si>
    <t>T-CYC_CYC</t>
  </si>
  <si>
    <t>TRA Cycling</t>
  </si>
  <si>
    <t>T-MOT-ICE_GSL00</t>
  </si>
  <si>
    <t>TRA Motorcycles: Gasoline ICEs - Existing</t>
  </si>
  <si>
    <t>T-CAR-ICE_GSL00</t>
  </si>
  <si>
    <t>TRA Cars: Gasoline ICEs - Existing</t>
  </si>
  <si>
    <t>T-CAR-ICE_DST00</t>
  </si>
  <si>
    <t>TRA Cars: Diesel ICEs - Existing</t>
  </si>
  <si>
    <t>T-CAR-ICE_DF00</t>
  </si>
  <si>
    <t>TRA Cars: Dual fuel ICEs - Existing</t>
  </si>
  <si>
    <t>T-CAR-ICE_E8500</t>
  </si>
  <si>
    <t>TRA Cars: Flex fuel ICEs - Existing</t>
  </si>
  <si>
    <t>T-CAR-HEV_GSL00</t>
  </si>
  <si>
    <t>TRA Cars: Gasoline HEV - Existing</t>
  </si>
  <si>
    <t>T-CAR-HEV_DST00</t>
  </si>
  <si>
    <t>TRA Cars: Diesel HEV - Existing</t>
  </si>
  <si>
    <t>T-CAR-PHEV_GSL00</t>
  </si>
  <si>
    <t>TRA Cars: Gasoline PHEV - Existing</t>
  </si>
  <si>
    <t>T-CAR-PHEV_DST00</t>
  </si>
  <si>
    <t>TRA Cars: Diesel PHEV - Existing</t>
  </si>
  <si>
    <t>T-CAR-BEV_ELC00</t>
  </si>
  <si>
    <t>TRA Cars: Battery Electric Vehicle - Existing</t>
  </si>
  <si>
    <t>T-TAX-ICE_GSL00</t>
  </si>
  <si>
    <t>TRA Taxis: Gasoline ICEs - Existing</t>
  </si>
  <si>
    <t>T-TAX-ICE_DST00</t>
  </si>
  <si>
    <t>TRA Taxis: Diesel ICEs - Existing</t>
  </si>
  <si>
    <t>T-TAX-HEV_GSL00</t>
  </si>
  <si>
    <t>TRA Taxis: Gasoline HEVs - Existing</t>
  </si>
  <si>
    <t>T-BUS-ICE_DST00</t>
  </si>
  <si>
    <t>TRA BUS: Diesel ICEs - Existing</t>
  </si>
  <si>
    <t>TRA Light Passenger Train: Electric - Existing</t>
  </si>
  <si>
    <t>TRA Heavy Passenger Train: Electric - Existing</t>
  </si>
  <si>
    <t>T-HPT-ICE_DST00</t>
  </si>
  <si>
    <t>TRA Heavy Passenger Train: Diesel - Existing</t>
  </si>
  <si>
    <t>T-LGT-ICE_GSL00</t>
  </si>
  <si>
    <t>TRA Light Goods Truck: Gasoline ICEs - Existing</t>
  </si>
  <si>
    <t>T-HGT-ICE_DST00</t>
  </si>
  <si>
    <t>TRA Heavy Goods Truck: Diesel ICEs - Existing</t>
  </si>
  <si>
    <t>T-GTR-ICE_DST00</t>
  </si>
  <si>
    <t>TRA Goods Train: ICE Diesel Train - Existing</t>
  </si>
  <si>
    <t>T-TUR_CON00</t>
  </si>
  <si>
    <t>TRA Tourism: Conventional Tourism Vehicles - Existing</t>
  </si>
  <si>
    <t>T-NAV_CON00</t>
  </si>
  <si>
    <t>TRA Navigation: Conventional Navigation Vehicles - Existing</t>
  </si>
  <si>
    <t>T-OTH_CON00</t>
  </si>
  <si>
    <t xml:space="preserve">TRA Unspecified: Conventional Unspecified Vehicles - Existing </t>
  </si>
  <si>
    <t>T-AVI_DOM00</t>
  </si>
  <si>
    <t>TRA Domestic Aviation: Aviation for Domestic Flights</t>
  </si>
  <si>
    <t>T-AVI_INT00</t>
  </si>
  <si>
    <t>TRA International Aviation: Aviation for International Flights</t>
  </si>
  <si>
    <t>Share-I~0</t>
  </si>
  <si>
    <t>Total available supply (Bpkm)</t>
  </si>
  <si>
    <t>Total Medium-range demand (Bpkm)</t>
  </si>
  <si>
    <t>Total Long-range demand (Bpkm)</t>
  </si>
  <si>
    <t>Total Short-range demand (Bpkm)</t>
  </si>
  <si>
    <t>Difference between supply and demand</t>
  </si>
  <si>
    <t>New occupancy rate</t>
  </si>
  <si>
    <t>Total available supply: NEW (Bpkm)</t>
  </si>
  <si>
    <t>Total available supply: Original (Bpkm)</t>
  </si>
  <si>
    <t>Difference between supply and demand (New)</t>
  </si>
  <si>
    <t>Total available supply  (Btkm)</t>
  </si>
  <si>
    <t>Goods Vehicles</t>
  </si>
  <si>
    <t>Technology</t>
  </si>
  <si>
    <t>Passenger</t>
  </si>
  <si>
    <t>Total available supply: New (Btkm)</t>
  </si>
  <si>
    <t>Total demand (Btkm)</t>
  </si>
  <si>
    <t>Trucks</t>
  </si>
  <si>
    <t>New tonnage rate (ton/vehicle)</t>
  </si>
  <si>
    <t>New supply light truck</t>
  </si>
  <si>
    <t>New supply heavy truck</t>
  </si>
  <si>
    <t>Total new supply</t>
  </si>
  <si>
    <t>Difference sup and dem</t>
  </si>
  <si>
    <t>GASNAT</t>
  </si>
  <si>
    <t>BIOGAS1G,BIOGAS2G</t>
  </si>
  <si>
    <t>BIOETH1G,BIOETH2G</t>
  </si>
  <si>
    <t>BIODST1G,BIODST2G</t>
  </si>
  <si>
    <t>Light-Duty Trucks</t>
  </si>
  <si>
    <t>Medium-Duty Trucks</t>
  </si>
  <si>
    <t>Heavy-Duty Trucks</t>
  </si>
  <si>
    <t>Classifications</t>
  </si>
  <si>
    <t>Activity (Million tonne km)</t>
  </si>
  <si>
    <t>Million tkm</t>
  </si>
  <si>
    <t>Thousand Tonnes</t>
  </si>
  <si>
    <r>
      <rPr>
        <b/>
        <sz val="11"/>
        <color theme="1"/>
        <rFont val="Calibri"/>
        <family val="2"/>
        <scheme val="minor"/>
      </rPr>
      <t xml:space="preserve">Source: </t>
    </r>
    <r>
      <rPr>
        <sz val="11"/>
        <color theme="1"/>
        <rFont val="Calibri"/>
        <family val="2"/>
        <scheme val="minor"/>
      </rPr>
      <t>CSO, TFA03</t>
    </r>
  </si>
  <si>
    <t>Activities</t>
  </si>
  <si>
    <t>0 - 5 tonnes</t>
  </si>
  <si>
    <t>5 - 10 tonnes</t>
  </si>
  <si>
    <t>Over 10 tonnes</t>
  </si>
  <si>
    <t>TRA Light Goods Truck: Diesel ICEs - Existing</t>
  </si>
  <si>
    <t>T-LGT-ICE_DST00</t>
  </si>
  <si>
    <t>T-MGT-ICE_DST00</t>
  </si>
  <si>
    <t>TRA Medium Goods Truck: Diesel ICEs - Existing</t>
  </si>
  <si>
    <t>Trucks_Light Gasoline</t>
  </si>
  <si>
    <t>Trucks_Light Diesel</t>
  </si>
  <si>
    <t>Trucks_Medium Diesel</t>
  </si>
  <si>
    <t>Trucks_Heavy Diesel</t>
  </si>
  <si>
    <t>Average tonnage (ton/vehicle)</t>
  </si>
  <si>
    <t>CSO, Table THA19</t>
  </si>
  <si>
    <t>Distance travelled in 2018</t>
  </si>
  <si>
    <t>Freight by rail</t>
  </si>
  <si>
    <t>TRAF</t>
  </si>
  <si>
    <t>T-LPT-BEV_ELC00</t>
  </si>
  <si>
    <t>T-HPT-BEV_ELC00</t>
  </si>
  <si>
    <t>Bio Jet Kerosene (TRA)</t>
  </si>
  <si>
    <t>TRABJK_BLD</t>
  </si>
  <si>
    <t>Fuel Blending - Fossil jet kerosene + Bio Jet Kerosene</t>
  </si>
  <si>
    <t>TRABJK</t>
  </si>
  <si>
    <t>BIOJKR</t>
  </si>
  <si>
    <t>Activity (share in tkm)</t>
  </si>
  <si>
    <t>Activity (billion tkm)</t>
  </si>
  <si>
    <t>FIXOM</t>
  </si>
  <si>
    <r>
      <t>M€</t>
    </r>
    <r>
      <rPr>
        <vertAlign val="subscript"/>
        <sz val="11"/>
        <rFont val="Calibri"/>
        <family val="2"/>
      </rPr>
      <t>2018</t>
    </r>
    <r>
      <rPr>
        <sz val="11"/>
        <rFont val="Calibri"/>
        <family val="2"/>
      </rPr>
      <t>/000_units</t>
    </r>
    <r>
      <rPr>
        <i/>
        <sz val="10"/>
        <rFont val="Calibri"/>
        <family val="2"/>
      </rPr>
      <t>/a</t>
    </r>
  </si>
  <si>
    <t>Average load (kg/veh)</t>
  </si>
  <si>
    <t>LGT</t>
  </si>
  <si>
    <t>MGT</t>
  </si>
  <si>
    <t>HGT</t>
  </si>
  <si>
    <t>mtkm (actual)</t>
  </si>
  <si>
    <t>mtkm (calculated)</t>
  </si>
  <si>
    <t>Calibrated load (kg/veh)</t>
  </si>
  <si>
    <t>Light-Duty trucks</t>
  </si>
  <si>
    <t>Medium-Duty trucks</t>
  </si>
  <si>
    <t>Heavy-Duty trucks</t>
  </si>
  <si>
    <t>type</t>
  </si>
  <si>
    <t xml:space="preserve">Calculated activity (mtkm) </t>
  </si>
  <si>
    <t>Calibrated load factor (tone/vehicle)</t>
  </si>
  <si>
    <t xml:space="preserve"> Refinery Feedstocks</t>
  </si>
  <si>
    <t xml:space="preserve"> Biomass</t>
  </si>
  <si>
    <t xml:space="preserve"> Renewable Waste</t>
  </si>
  <si>
    <t xml:space="preserve"> Biodiesel</t>
  </si>
  <si>
    <t xml:space="preserve"> Bioethanol</t>
  </si>
  <si>
    <t xml:space="preserve"> Solar Photovoltaic</t>
  </si>
  <si>
    <t xml:space="preserve"> Solar Thermal</t>
  </si>
  <si>
    <t xml:space="preserve"> Ambient Heat</t>
  </si>
  <si>
    <t>Construction</t>
  </si>
  <si>
    <t>41-43</t>
  </si>
  <si>
    <t>Commercial/Public Services*</t>
  </si>
  <si>
    <t>Commercial Services*</t>
  </si>
  <si>
    <t>Wholesale, Retail, and Vehicle Repair</t>
  </si>
  <si>
    <t>45-47</t>
  </si>
  <si>
    <t>Transportation and Storage</t>
  </si>
  <si>
    <t>49-53</t>
  </si>
  <si>
    <t>Accommodation and Food Services</t>
  </si>
  <si>
    <t>55-56</t>
  </si>
  <si>
    <t>Information and Communication</t>
  </si>
  <si>
    <t>58-63</t>
  </si>
  <si>
    <t>Financial, Insurance and Real Estate Activities</t>
  </si>
  <si>
    <t>64-68</t>
  </si>
  <si>
    <t>Other Services Sectors</t>
  </si>
  <si>
    <t>Public Services*</t>
  </si>
  <si>
    <t>Water Supply, Sewerage, and Waste Management</t>
  </si>
  <si>
    <t>36-39</t>
  </si>
  <si>
    <t>Public Administration</t>
  </si>
  <si>
    <t>Education</t>
  </si>
  <si>
    <t>Health, Residential Care and Social Work Activities</t>
  </si>
  <si>
    <t>86-88</t>
  </si>
  <si>
    <t>kUnits</t>
  </si>
  <si>
    <t>*Freight</t>
  </si>
  <si>
    <t>*Fuel Technology</t>
  </si>
  <si>
    <t>*National</t>
  </si>
  <si>
    <t>*Fuel Blending</t>
  </si>
  <si>
    <t>ELCD</t>
  </si>
  <si>
    <t>SUPH2GD</t>
  </si>
  <si>
    <t>* 7 percent increase for calibration</t>
  </si>
  <si>
    <t>* 8.5 percent decrease for base year calibration</t>
  </si>
  <si>
    <t>DELIV~2018</t>
  </si>
  <si>
    <t>DELIV~0</t>
  </si>
  <si>
    <t>DELIV~2050</t>
  </si>
  <si>
    <t>USD18</t>
  </si>
  <si>
    <t>=</t>
  </si>
  <si>
    <t>1 EUR18</t>
  </si>
  <si>
    <t>USD19</t>
  </si>
  <si>
    <t>1 EUR19</t>
  </si>
  <si>
    <t>Conversion factors - Other</t>
  </si>
  <si>
    <t>GJ</t>
  </si>
  <si>
    <t>1 boe</t>
  </si>
  <si>
    <t>boe</t>
  </si>
  <si>
    <t>1 toe</t>
  </si>
  <si>
    <t>1 MBtu</t>
  </si>
  <si>
    <t>1 ktoe</t>
  </si>
  <si>
    <t>Conversion factors - Energy</t>
  </si>
  <si>
    <t>TRAH2</t>
  </si>
  <si>
    <t>TIMES-Ireland Model</t>
  </si>
  <si>
    <t>Sector(s):</t>
  </si>
  <si>
    <t>Purpose:</t>
  </si>
  <si>
    <t>Original developer(s):</t>
  </si>
  <si>
    <t>Current maintainer(s):</t>
  </si>
  <si>
    <t>Part of TIM version:</t>
  </si>
  <si>
    <t>Model repository:</t>
  </si>
  <si>
    <t>https://github.com/MaREI-EPMG/TIMES-Ireland-model</t>
  </si>
  <si>
    <t>Licence:</t>
  </si>
  <si>
    <t>CC BY-NC-SA 4.0 (unless specified otherwise)</t>
  </si>
  <si>
    <t>https://creativecommons.org/licenses/by-nc-sa/4.0/</t>
  </si>
  <si>
    <t>Vahid Aryanpur (UCC, vahid.aryanpur@ucc.ie)</t>
  </si>
  <si>
    <t>Transport structure in Ireland and the base year simulation</t>
  </si>
  <si>
    <t>Transport sector (TRA)</t>
  </si>
  <si>
    <t>Base Year Template</t>
  </si>
  <si>
    <t>James Glynn (UCC, james.glynn@ucc.ie)</t>
  </si>
  <si>
    <t>Public Thermal Power Plants (Input)</t>
  </si>
  <si>
    <t>Combined Heat and Power Plants (Input)</t>
  </si>
  <si>
    <t>Pumped Storage Consumption (Input)</t>
  </si>
  <si>
    <t>Briquetting Plants (Input)</t>
  </si>
  <si>
    <t>Oil Refineries &amp; other energy sector (Input)</t>
  </si>
  <si>
    <t>Public Thermal Power Plants (Output)</t>
  </si>
  <si>
    <t>Combined Heat and Power Plants (Output)</t>
  </si>
  <si>
    <t>Pumped Storage Generation (Output)</t>
  </si>
  <si>
    <t>Briquetting Plants (Output)</t>
  </si>
  <si>
    <t>Oil Refineries &amp; other energy sector (Output)</t>
  </si>
  <si>
    <t>Electricity Exchange &amp; Transfers</t>
  </si>
  <si>
    <t>Heat Exchange &amp; Transfers</t>
  </si>
  <si>
    <t>Other Exchange &amp; Transfers</t>
  </si>
  <si>
    <t>*Industry &amp; Services sub-sectoral breakdown is based on the BEUS 2018.</t>
  </si>
  <si>
    <t>Last Updated : 1st September 2022</t>
  </si>
  <si>
    <t>DELIV~2025</t>
  </si>
  <si>
    <t>tkm</t>
  </si>
  <si>
    <t>Actual</t>
  </si>
  <si>
    <t>Primary model</t>
  </si>
  <si>
    <t>Difference</t>
  </si>
  <si>
    <t>Calibration factor</t>
  </si>
  <si>
    <t>EB2018'!U48/('EB2018'!U48+'EB2018'!AI48)</t>
  </si>
  <si>
    <t>FX</t>
  </si>
  <si>
    <t>TRACO2INT</t>
  </si>
  <si>
    <t>Carbon Dioxide - Combustion (TRA) International</t>
  </si>
  <si>
    <t>TAVIINTS</t>
  </si>
  <si>
    <t>Transport Demand: Aviation international_Short</t>
  </si>
  <si>
    <t>TAVIINTM</t>
  </si>
  <si>
    <t>Transport Demand: Aviation international_Medium</t>
  </si>
  <si>
    <t>TAVIINTL</t>
  </si>
  <si>
    <t>Transport Demand: Aviation international_Long</t>
  </si>
  <si>
    <t>PtLKER</t>
  </si>
  <si>
    <t>TRAPtLKER</t>
  </si>
  <si>
    <t>Power to Liquid, pure synthetic kerosene (TRA)</t>
  </si>
  <si>
    <t>FT-TRAPtLKER</t>
  </si>
  <si>
    <t>TRA PtL Synthetic Kerosene (TRA)</t>
  </si>
  <si>
    <t>IE,National</t>
  </si>
  <si>
    <t>TRA Aviation: Small Aircraft - Existing</t>
  </si>
  <si>
    <t>TRA Aviation: Medium Aircraft - Existing</t>
  </si>
  <si>
    <t>TRA Aviation: Large Aircraft - Existing</t>
  </si>
  <si>
    <t>T-SAVI_INT_JETK00</t>
  </si>
  <si>
    <t>T-MAVI_INT_JETK00</t>
  </si>
  <si>
    <t>T-LAVI_INT_JETK00</t>
  </si>
  <si>
    <t>*Aircraftes</t>
  </si>
  <si>
    <t>YEAR</t>
  </si>
  <si>
    <t>NCAP_Pasti</t>
  </si>
  <si>
    <t>EU</t>
  </si>
  <si>
    <t>Aircrafts</t>
  </si>
  <si>
    <t>&lt;5 years</t>
  </si>
  <si>
    <t>5-9 years</t>
  </si>
  <si>
    <t>10-14 years</t>
  </si>
  <si>
    <t>15-19 years</t>
  </si>
  <si>
    <t>&gt;20 years</t>
  </si>
  <si>
    <t>Source: https://ec.europa.eu/eurostat/web/products-eurostat-news/-/edn-20191206-1</t>
  </si>
  <si>
    <t>age</t>
  </si>
  <si>
    <t>year</t>
  </si>
  <si>
    <t>KUnits</t>
  </si>
  <si>
    <t>NCAP_Pasty</t>
  </si>
  <si>
    <t>ACTFLO</t>
  </si>
  <si>
    <t>AF</t>
  </si>
  <si>
    <t>Share-I~2050</t>
  </si>
  <si>
    <t>FI_Process</t>
  </si>
  <si>
    <t>FI_T</t>
  </si>
  <si>
    <t>FI_T: Demand</t>
  </si>
  <si>
    <t>FT-AVIBJK</t>
  </si>
  <si>
    <t>FT-AVIELC</t>
  </si>
  <si>
    <t>FT-AVIH2</t>
  </si>
  <si>
    <t>FT-AVIPtL</t>
  </si>
  <si>
    <t>FT-AVIKER</t>
  </si>
  <si>
    <t>AVIKER</t>
  </si>
  <si>
    <t>AVIBJK</t>
  </si>
  <si>
    <t>AVIELC</t>
  </si>
  <si>
    <t>AVIH2</t>
  </si>
  <si>
    <t>AVIPtL</t>
  </si>
  <si>
    <t>Kerosene for Aviation</t>
  </si>
  <si>
    <t>Biojet kerosene or SAF for Aviation</t>
  </si>
  <si>
    <t>Electricity for Aviation</t>
  </si>
  <si>
    <t>Hydrogen for Aviation</t>
  </si>
  <si>
    <t>Syntethic fuel for Aviation</t>
  </si>
  <si>
    <t>Kerosene for aviation</t>
  </si>
  <si>
    <t>SAF for aviation</t>
  </si>
  <si>
    <t>Electricity for aviation</t>
  </si>
  <si>
    <t>Hydrogen for aviation</t>
  </si>
  <si>
    <t>Synthetic fuel for aviation</t>
  </si>
  <si>
    <t>ACT_BND~2030</t>
  </si>
  <si>
    <t>Maximum</t>
  </si>
  <si>
    <t>ACT_BND~2050</t>
  </si>
  <si>
    <t>ACT_BND~2070</t>
  </si>
  <si>
    <t>ACT_BND~0</t>
  </si>
  <si>
    <t>Cset_CN</t>
  </si>
  <si>
    <t>*Description</t>
  </si>
  <si>
    <t>START</t>
  </si>
  <si>
    <t>EFF~2018</t>
  </si>
  <si>
    <t>EFF~2030</t>
  </si>
  <si>
    <t>EFF~2050</t>
  </si>
  <si>
    <t>INVCOST~2018</t>
  </si>
  <si>
    <t>AFA~2018</t>
  </si>
  <si>
    <t>ACTFLO~DEMO</t>
  </si>
  <si>
    <t>Purchase price</t>
  </si>
  <si>
    <t>Utilisation Factor</t>
  </si>
  <si>
    <t>Activity to Flo</t>
  </si>
  <si>
    <t>Capacity to Activity Factor</t>
  </si>
  <si>
    <t>BV*km/PJ</t>
  </si>
  <si>
    <r>
      <t>M€</t>
    </r>
    <r>
      <rPr>
        <vertAlign val="subscript"/>
        <sz val="11"/>
        <rFont val="Calibri"/>
        <family val="2"/>
      </rPr>
      <t>2018</t>
    </r>
    <r>
      <rPr>
        <sz val="11"/>
        <rFont val="Calibri"/>
        <family val="2"/>
      </rPr>
      <t>/000_units</t>
    </r>
  </si>
  <si>
    <t>'000 km</t>
  </si>
  <si>
    <t>Passenger or tonnage/Vehicle</t>
  </si>
  <si>
    <t>bvkm/mvkm</t>
  </si>
  <si>
    <t>T-AVI_DOM_NEW</t>
  </si>
  <si>
    <t>AVIKER,AVIBJK</t>
  </si>
  <si>
    <t>T-AVI_INT_NEW</t>
  </si>
  <si>
    <t>T-SAVI_INT_JETK_NEW</t>
  </si>
  <si>
    <t>T-MAVI_INT_JETK_NEW</t>
  </si>
  <si>
    <t>T-LAVI_INT_JETK_NEW</t>
  </si>
  <si>
    <t>T-SAVI_INT_SAF_NEW</t>
  </si>
  <si>
    <t>AVIKER,AVIBJK,AVIPtL</t>
  </si>
  <si>
    <t>T-MAVI_INT_SAF_NEW</t>
  </si>
  <si>
    <t>T-LAVI_INT_SAF_NEW</t>
  </si>
  <si>
    <t>T-SAVI_INT_SYN-FUEL_NEW</t>
  </si>
  <si>
    <t>AVIKER,AVIPtL</t>
  </si>
  <si>
    <t>T-MAVI_INT_SYN-FUEL_NEW</t>
  </si>
  <si>
    <t>T-LAVI_INT_SYN-FUEL_NEW</t>
  </si>
  <si>
    <t>T-SAVI_INT_ELC_NEW</t>
  </si>
  <si>
    <t>T-MAVI_INT_ELC_NEW</t>
  </si>
  <si>
    <t>T-SAVI_INT_H2_NEW</t>
  </si>
  <si>
    <t>T-MAVI_INT_H2_NEW</t>
  </si>
  <si>
    <t>T-LAVI_INT_H2_NEW</t>
  </si>
  <si>
    <t>*from 5% of existing fleet to 100% by 2050 for short-range flights and 50% of medium-range flights by 2070</t>
  </si>
  <si>
    <t>ACT_BND~2045</t>
  </si>
  <si>
    <t>*from 1% of existing fleet in 2045 to 25% by 2070 for all ranges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</si>
</sst>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 #,##0.0_-;\-* #,##0.0_-;_-* &quot;-&quot;??_-;_-@_-"/>
    <numFmt numFmtId="167" formatCode="0.0"/>
    <numFmt numFmtId="168" formatCode="0.0000"/>
    <numFmt numFmtId="169" formatCode="\Te\x\t"/>
    <numFmt numFmtId="170" formatCode="0.0%"/>
    <numFmt numFmtId="171" formatCode="0.000"/>
    <numFmt numFmtId="172" formatCode="dd/mm/yyyy;@"/>
    <numFmt numFmtId="173" formatCode="#,##0.0;[Red]\-#,##0.0"/>
    <numFmt numFmtId="174" formatCode="_-* #,##0.000_-;\-* #,##0.000_-;_-* &quot;-&quot;??_-;_-@_-"/>
    <numFmt numFmtId="175" formatCode="#,##0.0000;[Red]\-#,##0.0000"/>
    <numFmt numFmtId="176" formatCode="0.0000000"/>
    <numFmt numFmtId="177" formatCode="0.000000"/>
    <numFmt numFmtId="178" formatCode="_(* #,##0.0000_);_(* \(#,##0.0000\);_(* &quot;-&quot;??_);_(@_)"/>
    <numFmt numFmtId="179" formatCode="0.000000000000000000"/>
    <numFmt numFmtId="180" formatCode="0.0000000000"/>
    <numFmt numFmtId="181" formatCode="0.0000000000000000000"/>
    <numFmt numFmtId="182" formatCode="_(* #,##0.00000_);_(* \(#,##0.00000\);_(* &quot;-&quot;??_);_(@_)"/>
    <numFmt numFmtId="183" formatCode="0.000000000000000"/>
    <numFmt numFmtId="184" formatCode="_(* #,##0_);_(* \(#,##0\);_(* &quot;-&quot;??_);_(@_)"/>
    <numFmt numFmtId="185" formatCode="0.000%"/>
    <numFmt numFmtId="186" formatCode="_(* #,##0.000_);_(* \(#,##0.000\);_(* &quot;-&quot;??_);_(@_)"/>
    <numFmt numFmtId="187" formatCode="_(* #,##0.0_);_(* \(#,##0.0\);_(* &quot;-&quot;??_);_(@_)"/>
    <numFmt numFmtId="188" formatCode="_(&quot;$&quot;* #,##0.00_);_(&quot;$&quot;* \(#,##0.00\);_(&quot;$&quot;* &quot;-&quot;??_);_(@_)"/>
    <numFmt numFmtId="189" formatCode="0.00_)"/>
    <numFmt numFmtId="190" formatCode="_ * #,##0_ ;_ * \-#,##0_ ;_ * &quot;-&quot;_ ;_ @_ "/>
    <numFmt numFmtId="191" formatCode="_ * #,##0.00_ ;_ * \-#,##0.00_ ;_ * &quot;-&quot;??_ ;_ @_ "/>
    <numFmt numFmtId="192" formatCode="General_)"/>
    <numFmt numFmtId="193" formatCode="_-* #,##0.00\ _€_-;\-* #,##0.00\ _€_-;_-* &quot;-&quot;??\ _€_-;_-@_-"/>
    <numFmt numFmtId="194" formatCode="_-* #,##0.00\ [$€]_-;\-* #,##0.00\ [$€]_-;_-* &quot;-&quot;??\ [$€]_-;_-@_-"/>
    <numFmt numFmtId="195" formatCode="#.##000"/>
    <numFmt numFmtId="196" formatCode="\$#,#00"/>
    <numFmt numFmtId="197" formatCode="#."/>
    <numFmt numFmtId="198" formatCode="_([$€]* #,##0.00_);_([$€]* \(#,##0.00\);_([$€]* &quot;-&quot;??_);_(@_)"/>
    <numFmt numFmtId="199" formatCode="_-[$€]* #,##0.00_-;\-[$€]* #,##0.00_-;_-[$€]* &quot;-&quot;??_-;_-@_-"/>
    <numFmt numFmtId="200" formatCode="#,#00"/>
    <numFmt numFmtId="201" formatCode="_-* #,##0\ _€_-;\-* #,##0\ _€_-;_-* &quot;-&quot;\ _€_-;_-@_-"/>
    <numFmt numFmtId="202" formatCode="_-* #,##0.00\ _p_t_a_-;\-* #,##0.00\ _p_t_a_-;_-* &quot;-&quot;??\ _p_t_a_-;_-@_-"/>
    <numFmt numFmtId="203" formatCode="_-* #,##0.00\ _P_t_s_-;\-* #,##0.00\ _P_t_s_-;_-* &quot;-&quot;??\ _P_t_s_-;_-@_-"/>
    <numFmt numFmtId="204" formatCode="mmm"/>
    <numFmt numFmtId="205" formatCode="#,##0.000\ "/>
    <numFmt numFmtId="206" formatCode="%#,#00"/>
    <numFmt numFmtId="207" formatCode="_-&quot;$&quot;\ * #,##0.00_-;\-&quot;$&quot;\ * #,##0.00_-;_-&quot;$&quot;\ * &quot;-&quot;??_-;_-@_-"/>
    <numFmt numFmtId="208" formatCode="_-[$€-2]\ * #,##0.00_-;\-[$€-2]\ * #,##0.00_-;_-[$€-2]\ * &quot;-&quot;??_-"/>
    <numFmt numFmtId="209" formatCode="\$#,##0\ ;\(\$#,##0\)"/>
    <numFmt numFmtId="210" formatCode="_-* #,##0.00\ _P_t_a_-;\-* #,##0.00\ _P_t_a_-;_-* &quot;-&quot;??\ _P_t_a_-;_-@_-"/>
    <numFmt numFmtId="211" formatCode="_ [$€-2]\ * #,##0.00_ ;_ [$€-2]\ * \-#,##0.00_ ;_ [$€-2]\ * &quot;-&quot;??_ "/>
    <numFmt numFmtId="212" formatCode="_ &quot;$&quot;\ * #,##0.00_ ;_ &quot;$&quot;\ * \-#,##0.00_ ;_ &quot;$&quot;\ * &quot;-&quot;??_ ;_ @_ "/>
    <numFmt numFmtId="213" formatCode="[$-340A]d&quot; de &quot;mmmm&quot; de &quot;yyyy;@"/>
    <numFmt numFmtId="214" formatCode="_ * #,##0_ ;_ * \-#,##0_ ;_ * &quot;-&quot;??_ ;_ @_ "/>
  </numFmts>
  <fonts count="185">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sz val="9"/>
      <color indexed="81"/>
      <name val="Tahoma"/>
      <family val="2"/>
    </font>
    <font>
      <b/>
      <sz val="9"/>
      <color indexed="81"/>
      <name val="Tahoma"/>
      <family val="2"/>
    </font>
    <font>
      <b/>
      <sz val="8"/>
      <name val="Arial"/>
      <family val="2"/>
    </font>
    <font>
      <sz val="8"/>
      <name val="Arial"/>
      <family val="2"/>
    </font>
    <font>
      <sz val="8"/>
      <color theme="1"/>
      <name val="Arial"/>
      <family val="2"/>
    </font>
    <font>
      <sz val="10"/>
      <name val="Myriad Pro"/>
      <family val="2"/>
    </font>
    <font>
      <b/>
      <sz val="10"/>
      <name val="Myriad Pro"/>
      <family val="2"/>
    </font>
    <font>
      <b/>
      <i/>
      <sz val="11"/>
      <color theme="1"/>
      <name val="Calibri"/>
      <family val="2"/>
      <scheme val="minor"/>
    </font>
    <font>
      <sz val="10"/>
      <color theme="1"/>
      <name val="Calibri"/>
      <family val="2"/>
      <scheme val="minor"/>
    </font>
    <font>
      <sz val="11"/>
      <color theme="0"/>
      <name val="Calibri"/>
      <family val="2"/>
      <scheme val="minor"/>
    </font>
    <font>
      <b/>
      <sz val="11"/>
      <name val="Calibri"/>
      <family val="2"/>
      <scheme val="minor"/>
    </font>
    <font>
      <sz val="10"/>
      <name val="Calibri"/>
      <family val="2"/>
      <scheme val="minor"/>
    </font>
    <font>
      <sz val="16"/>
      <color theme="0"/>
      <name val="Calibri"/>
      <family val="2"/>
      <scheme val="minor"/>
    </font>
    <font>
      <b/>
      <sz val="14"/>
      <color theme="0"/>
      <name val="Calibri"/>
      <family val="2"/>
      <scheme val="minor"/>
    </font>
    <font>
      <sz val="11"/>
      <name val="Calibri"/>
      <family val="2"/>
      <scheme val="minor"/>
    </font>
    <font>
      <b/>
      <sz val="11"/>
      <name val="Myriad Pro"/>
      <family val="2"/>
    </font>
    <font>
      <b/>
      <u/>
      <sz val="11"/>
      <color theme="1"/>
      <name val="Calibri"/>
      <family val="2"/>
      <scheme val="minor"/>
    </font>
    <font>
      <sz val="11"/>
      <color rgb="FFFF0000"/>
      <name val="Calibri"/>
      <family val="2"/>
      <scheme val="minor"/>
    </font>
    <font>
      <b/>
      <u/>
      <sz val="11"/>
      <name val="Calibri"/>
      <family val="2"/>
      <scheme val="minor"/>
    </font>
    <font>
      <u/>
      <sz val="11"/>
      <color theme="10"/>
      <name val="Calibri"/>
      <family val="2"/>
      <scheme val="minor"/>
    </font>
    <font>
      <sz val="24"/>
      <name val="Calibri"/>
      <family val="2"/>
      <scheme val="minor"/>
    </font>
    <font>
      <b/>
      <sz val="11"/>
      <color theme="7" tint="-0.499984740745262"/>
      <name val="Calibri"/>
      <family val="2"/>
      <scheme val="minor"/>
    </font>
    <font>
      <sz val="11"/>
      <color theme="7" tint="-0.499984740745262"/>
      <name val="Calibri"/>
      <family val="2"/>
      <scheme val="minor"/>
    </font>
    <font>
      <sz val="12"/>
      <color theme="1"/>
      <name val="Calibri"/>
      <family val="2"/>
      <scheme val="minor"/>
    </font>
    <font>
      <sz val="10"/>
      <name val="Times New Roman"/>
      <family val="1"/>
    </font>
    <font>
      <sz val="10"/>
      <color theme="1"/>
      <name val="Arial"/>
      <family val="2"/>
    </font>
    <font>
      <b/>
      <sz val="18"/>
      <color rgb="FFFF0000"/>
      <name val="Myriad Pro"/>
      <family val="2"/>
    </font>
    <font>
      <sz val="10"/>
      <color rgb="FFFF0000"/>
      <name val="Myriad Pro"/>
      <family val="2"/>
    </font>
    <font>
      <b/>
      <sz val="10"/>
      <color rgb="FFFF0000"/>
      <name val="Myriad Pro"/>
      <family val="2"/>
    </font>
    <font>
      <b/>
      <sz val="14"/>
      <name val="Calibri"/>
      <family val="2"/>
      <scheme val="minor"/>
    </font>
    <font>
      <sz val="11"/>
      <color theme="1"/>
      <name val="Calibri"/>
      <family val="2"/>
      <scheme val="minor"/>
    </font>
    <font>
      <sz val="8"/>
      <name val="Calibri"/>
      <family val="2"/>
      <scheme val="minor"/>
    </font>
    <font>
      <b/>
      <sz val="11"/>
      <color theme="1"/>
      <name val="Times New Roman"/>
      <family val="1"/>
    </font>
    <font>
      <sz val="11"/>
      <color theme="1"/>
      <name val="Times New Roman"/>
      <family val="1"/>
    </font>
    <font>
      <b/>
      <sz val="10"/>
      <name val="Times New Roman"/>
      <family val="1"/>
    </font>
    <font>
      <sz val="10"/>
      <color theme="1"/>
      <name val="Times New Roman"/>
      <family val="1"/>
    </font>
    <font>
      <b/>
      <sz val="12"/>
      <color theme="1"/>
      <name val="Calibri"/>
      <family val="2"/>
      <scheme val="minor"/>
    </font>
    <font>
      <b/>
      <sz val="14"/>
      <color theme="1"/>
      <name val="Calibri"/>
      <family val="2"/>
      <scheme val="minor"/>
    </font>
    <font>
      <vertAlign val="superscript"/>
      <sz val="11"/>
      <color theme="1"/>
      <name val="Calibri"/>
      <family val="2"/>
      <scheme val="minor"/>
    </font>
    <font>
      <b/>
      <sz val="11"/>
      <color rgb="FFFF0000"/>
      <name val="Calibri"/>
      <family val="2"/>
      <scheme val="minor"/>
    </font>
    <font>
      <sz val="11"/>
      <color rgb="FF00B050"/>
      <name val="Calibri"/>
      <family val="2"/>
      <scheme val="minor"/>
    </font>
    <font>
      <vertAlign val="superscript"/>
      <sz val="11"/>
      <color rgb="FFFF0000"/>
      <name val="Calibri"/>
      <family val="2"/>
      <scheme val="minor"/>
    </font>
    <font>
      <b/>
      <sz val="11"/>
      <color rgb="FF00B050"/>
      <name val="Calibri"/>
      <family val="2"/>
      <scheme val="minor"/>
    </font>
    <font>
      <sz val="11"/>
      <color theme="1"/>
      <name val="Calibri"/>
      <family val="2"/>
    </font>
    <font>
      <sz val="14"/>
      <color rgb="FF384350"/>
      <name val="Arial"/>
      <family val="2"/>
    </font>
    <font>
      <b/>
      <sz val="11"/>
      <color rgb="FFFFFFFF"/>
      <name val="Arial"/>
      <family val="2"/>
    </font>
    <font>
      <sz val="18"/>
      <color rgb="FF2A2B2F"/>
      <name val="Arial"/>
      <family val="2"/>
    </font>
    <font>
      <sz val="10"/>
      <color rgb="FF000000"/>
      <name val="Inherit"/>
    </font>
    <font>
      <b/>
      <sz val="9"/>
      <color theme="1"/>
      <name val="Arial"/>
      <family val="2"/>
    </font>
    <font>
      <sz val="10"/>
      <color rgb="FFFFFFFF"/>
      <name val="Inherit"/>
    </font>
    <font>
      <sz val="11"/>
      <color rgb="FF00B050"/>
      <name val="Calibri"/>
      <family val="2"/>
    </font>
    <font>
      <sz val="8"/>
      <color rgb="FF222222"/>
      <name val="Arial"/>
      <family val="2"/>
    </font>
    <font>
      <b/>
      <sz val="10"/>
      <color indexed="12"/>
      <name val="Arial"/>
      <family val="2"/>
    </font>
    <font>
      <sz val="12"/>
      <color rgb="FFFF0000"/>
      <name val="Calibri"/>
      <family val="2"/>
      <scheme val="minor"/>
    </font>
    <font>
      <sz val="14"/>
      <color rgb="FFFF0000"/>
      <name val="Calibri"/>
      <family val="2"/>
      <scheme val="minor"/>
    </font>
    <font>
      <b/>
      <sz val="8"/>
      <color theme="1"/>
      <name val="Arial"/>
      <family val="2"/>
    </font>
    <font>
      <vertAlign val="superscript"/>
      <sz val="8"/>
      <color theme="1"/>
      <name val="Arial"/>
      <family val="2"/>
    </font>
    <font>
      <sz val="11"/>
      <name val="Calibri"/>
      <family val="2"/>
    </font>
    <font>
      <sz val="11"/>
      <color rgb="FF000000"/>
      <name val="Calibri"/>
      <family val="2"/>
    </font>
    <font>
      <sz val="10"/>
      <color theme="0"/>
      <name val="Calibri"/>
      <family val="2"/>
      <scheme val="minor"/>
    </font>
    <font>
      <vertAlign val="subscript"/>
      <sz val="11"/>
      <name val="Calibri"/>
      <family val="2"/>
    </font>
    <font>
      <i/>
      <sz val="10"/>
      <name val="Calibri"/>
      <family val="2"/>
    </font>
    <font>
      <sz val="12"/>
      <color rgb="FF0070C0"/>
      <name val="Calibri"/>
      <family val="2"/>
      <scheme val="minor"/>
    </font>
    <font>
      <b/>
      <sz val="10"/>
      <color theme="1"/>
      <name val="Arial"/>
      <family val="2"/>
    </font>
    <font>
      <b/>
      <sz val="10"/>
      <color rgb="FFFF0000"/>
      <name val="Arial"/>
      <family val="2"/>
    </font>
    <font>
      <sz val="10"/>
      <color rgb="FF00B0F0"/>
      <name val="Myriad Pro"/>
      <family val="2"/>
    </font>
    <font>
      <sz val="10"/>
      <color rgb="FF0070C0"/>
      <name val="Myriad Pro"/>
      <family val="2"/>
    </font>
    <font>
      <sz val="10"/>
      <color rgb="FF7030A0"/>
      <name val="Myriad Pro"/>
      <family val="2"/>
    </font>
    <font>
      <sz val="10"/>
      <name val="MS Sans Serif"/>
      <family val="2"/>
    </font>
    <font>
      <sz val="10"/>
      <name val="Arial"/>
    </font>
    <font>
      <sz val="10"/>
      <color rgb="FFFF0000"/>
      <name val="Arial"/>
      <family val="2"/>
    </font>
    <font>
      <sz val="11"/>
      <color rgb="FF00B0F0"/>
      <name val="Calibri"/>
      <family val="2"/>
      <scheme val="minor"/>
    </font>
    <font>
      <sz val="12"/>
      <name val="Arial"/>
      <family val="2"/>
    </font>
    <font>
      <sz val="11"/>
      <color rgb="FF9C6500"/>
      <name val="Calibri"/>
      <family val="2"/>
      <scheme val="minor"/>
    </font>
    <font>
      <b/>
      <sz val="18"/>
      <color theme="3"/>
      <name val="Calibri Light"/>
      <family val="2"/>
      <scheme val="major"/>
    </font>
    <font>
      <sz val="10"/>
      <color rgb="FF00B0F0"/>
      <name val="Arial"/>
      <family val="2"/>
    </font>
    <font>
      <sz val="11"/>
      <color rgb="FF00B0F0"/>
      <name val="Calibri"/>
      <family val="2"/>
    </font>
    <font>
      <u/>
      <sz val="11"/>
      <color theme="10"/>
      <name val="Calibri"/>
      <family val="2"/>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1"/>
      <name val="Calibri"/>
      <family val="2"/>
      <charset val="134"/>
      <scheme val="minor"/>
    </font>
    <font>
      <sz val="11"/>
      <color theme="0"/>
      <name val="Calibri"/>
      <family val="2"/>
      <charset val="134"/>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indexed="8"/>
      <name val="Calibri"/>
      <family val="2"/>
    </font>
    <font>
      <sz val="11"/>
      <color indexed="8"/>
      <name val="Calibri"/>
      <family val="2"/>
    </font>
    <font>
      <sz val="11"/>
      <color rgb="FF000000"/>
      <name val="Calibri"/>
    </font>
    <font>
      <sz val="9"/>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Courier"/>
      <family val="3"/>
    </font>
    <font>
      <sz val="10"/>
      <color indexed="9"/>
      <name val="Arial"/>
      <family val="2"/>
    </font>
    <font>
      <sz val="10"/>
      <name val="Bookman Old Style"/>
      <family val="1"/>
    </font>
    <font>
      <sz val="10"/>
      <color indexed="60"/>
      <name val="Arial"/>
      <family val="2"/>
    </font>
    <font>
      <b/>
      <sz val="10"/>
      <color indexed="8"/>
      <name val="Arial"/>
      <family val="2"/>
    </font>
    <font>
      <b/>
      <sz val="10"/>
      <color indexed="9"/>
      <name val="Arial"/>
      <family val="2"/>
    </font>
    <font>
      <b/>
      <sz val="12"/>
      <name val="Arial"/>
      <family val="2"/>
    </font>
    <font>
      <sz val="10"/>
      <color indexed="8"/>
      <name val="Arial"/>
      <family val="2"/>
    </font>
    <font>
      <sz val="10"/>
      <color indexed="17"/>
      <name val="Arial"/>
      <family val="2"/>
    </font>
    <font>
      <b/>
      <sz val="10"/>
      <color indexed="52"/>
      <name val="Arial"/>
      <family val="2"/>
    </font>
    <font>
      <sz val="10"/>
      <color indexed="52"/>
      <name val="Arial"/>
      <family val="2"/>
    </font>
    <font>
      <sz val="1"/>
      <color indexed="8"/>
      <name val="Courier"/>
      <family val="3"/>
    </font>
    <font>
      <sz val="1"/>
      <color indexed="16"/>
      <name val="Courier"/>
      <family val="3"/>
    </font>
    <font>
      <b/>
      <sz val="1"/>
      <color indexed="8"/>
      <name val="Courier"/>
      <family val="3"/>
    </font>
    <font>
      <b/>
      <sz val="11"/>
      <color indexed="56"/>
      <name val="Arial"/>
      <family val="2"/>
    </font>
    <font>
      <sz val="10"/>
      <color indexed="62"/>
      <name val="Arial"/>
      <family val="2"/>
    </font>
    <font>
      <b/>
      <sz val="1"/>
      <color indexed="16"/>
      <name val="Courier"/>
      <family val="3"/>
    </font>
    <font>
      <sz val="10"/>
      <color indexed="20"/>
      <name val="Arial"/>
      <family val="2"/>
    </font>
    <font>
      <b/>
      <sz val="12"/>
      <color indexed="43"/>
      <name val="Verdana"/>
      <family val="2"/>
    </font>
    <font>
      <b/>
      <sz val="10"/>
      <color indexed="63"/>
      <name val="Arial"/>
      <family val="2"/>
    </font>
    <font>
      <sz val="10"/>
      <color indexed="10"/>
      <name val="Arial"/>
      <family val="2"/>
    </font>
    <font>
      <i/>
      <sz val="10"/>
      <color indexed="23"/>
      <name val="Arial"/>
      <family val="2"/>
    </font>
    <font>
      <b/>
      <sz val="15"/>
      <color indexed="56"/>
      <name val="Arial"/>
      <family val="2"/>
    </font>
    <font>
      <b/>
      <sz val="13"/>
      <color indexed="56"/>
      <name val="Arial"/>
      <family val="2"/>
    </font>
    <font>
      <b/>
      <sz val="11"/>
      <color indexed="51"/>
      <name val="Calibri"/>
      <family val="2"/>
    </font>
    <font>
      <sz val="11"/>
      <color indexed="51"/>
      <name val="Calibri"/>
      <family val="2"/>
    </font>
    <font>
      <b/>
      <sz val="11"/>
      <color indexed="61"/>
      <name val="Calibri"/>
      <family val="2"/>
    </font>
    <font>
      <sz val="11"/>
      <color indexed="61"/>
      <name val="Calibri"/>
      <family val="2"/>
    </font>
    <font>
      <sz val="11"/>
      <color indexed="59"/>
      <name val="Calibri"/>
      <family val="2"/>
    </font>
    <font>
      <b/>
      <sz val="11"/>
      <color indexed="62"/>
      <name val="Calibri"/>
      <family val="2"/>
    </font>
    <font>
      <b/>
      <sz val="18"/>
      <color indexed="61"/>
      <name val="Cambria"/>
      <family val="2"/>
    </font>
    <font>
      <b/>
      <sz val="15"/>
      <color indexed="61"/>
      <name val="Calibri"/>
      <family val="2"/>
    </font>
    <font>
      <b/>
      <sz val="13"/>
      <color indexed="61"/>
      <name val="Calibri"/>
      <family val="2"/>
    </font>
    <font>
      <b/>
      <sz val="18"/>
      <color indexed="22"/>
      <name val="Arial"/>
      <family val="2"/>
    </font>
    <font>
      <b/>
      <sz val="12"/>
      <color indexed="22"/>
      <name val="Arial"/>
      <family val="2"/>
    </font>
    <font>
      <sz val="10"/>
      <color indexed="22"/>
      <name val="Arial"/>
      <family val="2"/>
    </font>
    <font>
      <sz val="10"/>
      <name val="Courier New"/>
      <family val="3"/>
    </font>
    <font>
      <sz val="10"/>
      <name val="Century Gothic"/>
      <family val="2"/>
    </font>
    <font>
      <sz val="10"/>
      <name val="Arial"/>
      <family val="2"/>
      <charset val="1"/>
    </font>
    <font>
      <sz val="12"/>
      <color indexed="8"/>
      <name val="Arial"/>
      <family val="2"/>
    </font>
    <font>
      <b/>
      <sz val="10"/>
      <color indexed="32"/>
      <name val="Arial"/>
      <family val="2"/>
    </font>
    <font>
      <u/>
      <sz val="7.5"/>
      <color indexed="12"/>
      <name val="Arial"/>
      <family val="2"/>
    </font>
    <font>
      <b/>
      <sz val="12"/>
      <color indexed="8"/>
      <name val="Times New Roman"/>
      <family val="1"/>
    </font>
    <font>
      <sz val="11"/>
      <color indexed="19"/>
      <name val="Calibri"/>
      <family val="2"/>
    </font>
    <font>
      <sz val="12"/>
      <name val="Helv"/>
    </font>
    <font>
      <b/>
      <u/>
      <sz val="12"/>
      <name val="Arial"/>
      <family val="2"/>
    </font>
    <font>
      <b/>
      <sz val="15"/>
      <color indexed="62"/>
      <name val="Calibri"/>
      <family val="2"/>
    </font>
    <font>
      <b/>
      <sz val="13"/>
      <color indexed="62"/>
      <name val="Calibri"/>
      <family val="2"/>
    </font>
    <font>
      <b/>
      <sz val="18"/>
      <color indexed="62"/>
      <name val="Cambria"/>
      <family val="2"/>
    </font>
    <font>
      <sz val="10"/>
      <color indexed="32"/>
      <name val="Arial"/>
      <family val="2"/>
    </font>
    <font>
      <u/>
      <sz val="10"/>
      <color theme="10"/>
      <name val="Arial"/>
      <family val="2"/>
    </font>
    <font>
      <sz val="11"/>
      <color theme="1"/>
      <name val="Aharoni"/>
      <family val="2"/>
    </font>
    <font>
      <sz val="12"/>
      <color theme="1"/>
      <name val="Arial"/>
      <family val="2"/>
    </font>
    <font>
      <sz val="11"/>
      <color rgb="FF7030A0"/>
      <name val="Calibri"/>
      <family val="2"/>
    </font>
    <font>
      <i/>
      <sz val="10"/>
      <name val="Calibri"/>
      <family val="2"/>
      <scheme val="minor"/>
    </font>
  </fonts>
  <fills count="104">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indexed="42"/>
        <bgColor indexed="64"/>
      </patternFill>
    </fill>
    <fill>
      <patternFill patternType="solid">
        <fgColor indexed="9"/>
        <bgColor indexed="64"/>
      </patternFill>
    </fill>
    <fill>
      <patternFill patternType="solid">
        <fgColor rgb="FFFFFF99"/>
        <bgColor indexed="64"/>
      </patternFill>
    </fill>
    <fill>
      <patternFill patternType="solid">
        <fgColor rgb="FFFF0000"/>
        <bgColor indexed="64"/>
      </patternFill>
    </fill>
    <fill>
      <patternFill patternType="solid">
        <fgColor theme="4"/>
      </patternFill>
    </fill>
    <fill>
      <patternFill patternType="solid">
        <fgColor rgb="FFFFFFCC"/>
        <bgColor indexed="64"/>
      </patternFill>
    </fill>
    <fill>
      <patternFill patternType="solid">
        <fgColor theme="4"/>
        <bgColor indexed="64"/>
      </patternFill>
    </fill>
    <fill>
      <patternFill patternType="solid">
        <fgColor indexed="43"/>
        <bgColor indexed="64"/>
      </patternFill>
    </fill>
    <fill>
      <patternFill patternType="solid">
        <fgColor rgb="FFFFFF00"/>
        <bgColor indexed="64"/>
      </patternFill>
    </fill>
    <fill>
      <patternFill patternType="solid">
        <fgColor rgb="FFFFFFFF"/>
        <bgColor indexed="64"/>
      </patternFill>
    </fill>
    <fill>
      <patternFill patternType="solid">
        <fgColor rgb="FFF9F9FA"/>
        <bgColor indexed="64"/>
      </patternFill>
    </fill>
    <fill>
      <patternFill patternType="solid">
        <fgColor rgb="FF5C5C5D"/>
        <bgColor indexed="64"/>
      </patternFill>
    </fill>
    <fill>
      <patternFill patternType="solid">
        <fgColor theme="2"/>
        <bgColor indexed="64"/>
      </patternFill>
    </fill>
    <fill>
      <patternFill patternType="solid">
        <fgColor theme="3" tint="0.79998168889431442"/>
        <bgColor indexed="64"/>
      </patternFill>
    </fill>
    <fill>
      <patternFill patternType="solid">
        <fgColor rgb="FFFFC000"/>
        <bgColor indexed="64"/>
      </patternFill>
    </fill>
    <fill>
      <patternFill patternType="solid">
        <fgColor theme="5"/>
        <bgColor indexed="64"/>
      </patternFill>
    </fill>
    <fill>
      <patternFill patternType="solid">
        <fgColor rgb="FF7030A0"/>
        <bgColor indexed="64"/>
      </patternFill>
    </fill>
    <fill>
      <patternFill patternType="solid">
        <fgColor theme="9"/>
        <bgColor indexed="64"/>
      </patternFill>
    </fill>
    <fill>
      <patternFill patternType="solid">
        <fgColor theme="7" tint="0.39997558519241921"/>
        <bgColor indexed="64"/>
      </patternFill>
    </fill>
    <fill>
      <patternFill patternType="solid">
        <fgColor rgb="FFC0C0C0"/>
        <bgColor indexed="64"/>
      </patternFill>
    </fill>
    <fill>
      <patternFill patternType="solid">
        <fgColor rgb="FF92D050"/>
        <bgColor indexed="64"/>
      </patternFill>
    </fill>
    <fill>
      <patternFill patternType="solid">
        <fgColor rgb="FF00B0F0"/>
        <bgColor indexed="64"/>
      </patternFill>
    </fill>
    <fill>
      <patternFill patternType="solid">
        <fgColor rgb="FFEFF6EA"/>
        <bgColor indexed="64"/>
      </patternFill>
    </fill>
    <fill>
      <patternFill patternType="solid">
        <fgColor rgb="FFFF3300"/>
        <bgColor indexed="64"/>
      </patternFill>
    </fill>
    <fill>
      <patternFill patternType="solid">
        <fgColor rgb="FFB889DB"/>
        <bgColor indexed="64"/>
      </patternFill>
    </fill>
    <fill>
      <patternFill patternType="solid">
        <fgColor rgb="FF2A2B2F"/>
        <bgColor indexed="64"/>
      </patternFill>
    </fill>
    <fill>
      <patternFill patternType="solid">
        <fgColor rgb="FFF0F0F1"/>
        <bgColor indexed="64"/>
      </patternFill>
    </fill>
    <fill>
      <patternFill patternType="solid">
        <fgColor theme="8" tint="0.79998168889431442"/>
        <bgColor indexed="65"/>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FFEB9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patternFill>
    </fill>
    <fill>
      <patternFill patternType="solid">
        <fgColor indexed="22"/>
        <bgColor indexed="1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22"/>
        <bgColor indexed="64"/>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9"/>
      </patternFill>
    </fill>
    <fill>
      <patternFill patternType="solid">
        <fgColor indexed="55"/>
      </patternFill>
    </fill>
    <fill>
      <patternFill patternType="solid">
        <fgColor indexed="63"/>
      </patternFill>
    </fill>
    <fill>
      <patternFill patternType="solid">
        <fgColor indexed="56"/>
      </patternFill>
    </fill>
    <fill>
      <patternFill patternType="solid">
        <fgColor indexed="54"/>
      </patternFill>
    </fill>
    <fill>
      <patternFill patternType="solid">
        <fgColor indexed="16"/>
        <bgColor indexed="64"/>
      </patternFill>
    </fill>
    <fill>
      <patternFill patternType="solid">
        <fgColor indexed="9"/>
        <bgColor indexed="19"/>
      </patternFill>
    </fill>
  </fills>
  <borders count="201">
    <border>
      <left/>
      <right/>
      <top/>
      <bottom/>
      <diagonal/>
    </border>
    <border>
      <left style="medium">
        <color indexed="64"/>
      </left>
      <right style="thin">
        <color indexed="64"/>
      </right>
      <top style="thin">
        <color indexed="64"/>
      </top>
      <bottom style="medium">
        <color indexed="64"/>
      </bottom>
      <diagonal/>
    </border>
    <border>
      <left/>
      <right style="thin">
        <color auto="1"/>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rgb="FFEAEAEA"/>
      </left>
      <right style="medium">
        <color rgb="FFEAEAEA"/>
      </right>
      <top style="medium">
        <color rgb="FFEAEAEA"/>
      </top>
      <bottom style="medium">
        <color rgb="FFEAEAEA"/>
      </bottom>
      <diagonal/>
    </border>
    <border>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medium">
        <color indexed="64"/>
      </left>
      <right/>
      <top style="hair">
        <color indexed="64"/>
      </top>
      <bottom/>
      <diagonal/>
    </border>
    <border>
      <left style="thin">
        <color indexed="64"/>
      </left>
      <right style="medium">
        <color indexed="64"/>
      </right>
      <top/>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style="medium">
        <color indexed="64"/>
      </left>
      <right/>
      <top/>
      <bottom/>
      <diagonal/>
    </border>
    <border>
      <left/>
      <right/>
      <top/>
      <bottom style="hair">
        <color indexed="64"/>
      </bottom>
      <diagonal/>
    </border>
    <border>
      <left style="thin">
        <color indexed="64"/>
      </left>
      <right style="medium">
        <color indexed="64"/>
      </right>
      <top/>
      <bottom style="hair">
        <color indexed="64"/>
      </bottom>
      <diagonal/>
    </border>
    <border>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top style="hair">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hair">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hair">
        <color indexed="64"/>
      </left>
      <right style="hair">
        <color indexed="64"/>
      </right>
      <top style="medium">
        <color indexed="64"/>
      </top>
      <bottom/>
      <diagonal/>
    </border>
    <border>
      <left style="thin">
        <color indexed="64"/>
      </left>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hair">
        <color indexed="64"/>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hair">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hair">
        <color indexed="64"/>
      </right>
      <top style="thin">
        <color indexed="64"/>
      </top>
      <bottom style="medium">
        <color indexed="64"/>
      </bottom>
      <diagonal/>
    </border>
    <border>
      <left style="medium">
        <color indexed="64"/>
      </left>
      <right/>
      <top style="thin">
        <color indexed="64"/>
      </top>
      <bottom style="medium">
        <color indexed="64"/>
      </bottom>
      <diagonal/>
    </border>
    <border>
      <left style="hair">
        <color indexed="64"/>
      </left>
      <right/>
      <top style="medium">
        <color indexed="64"/>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bottom style="hair">
        <color indexed="64"/>
      </bottom>
      <diagonal/>
    </border>
    <border>
      <left style="hair">
        <color indexed="64"/>
      </left>
      <right style="hair">
        <color indexed="64"/>
      </right>
      <top/>
      <bottom style="hair">
        <color indexed="64"/>
      </bottom>
      <diagonal/>
    </border>
    <border>
      <left/>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hair">
        <color indexed="64"/>
      </top>
      <bottom style="thin">
        <color indexed="64"/>
      </bottom>
      <diagonal/>
    </border>
    <border>
      <left style="thin">
        <color indexed="64"/>
      </left>
      <right/>
      <top/>
      <bottom/>
      <diagonal/>
    </border>
    <border>
      <left style="hair">
        <color indexed="64"/>
      </left>
      <right style="hair">
        <color indexed="64"/>
      </right>
      <top style="thin">
        <color indexed="64"/>
      </top>
      <bottom style="thin">
        <color indexed="64"/>
      </bottom>
      <diagonal/>
    </border>
    <border>
      <left style="medium">
        <color indexed="64"/>
      </left>
      <right/>
      <top style="thin">
        <color indexed="64"/>
      </top>
      <bottom style="hair">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diagonal/>
    </border>
    <border>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hair">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hair">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top/>
      <bottom style="hair">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auto="1"/>
      </right>
      <top/>
      <bottom style="thin">
        <color auto="1"/>
      </bottom>
      <diagonal/>
    </border>
    <border>
      <left/>
      <right style="thin">
        <color auto="1"/>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medium">
        <color rgb="FFD1D4D5"/>
      </left>
      <right style="medium">
        <color rgb="FFD1D4D5"/>
      </right>
      <top style="medium">
        <color rgb="FFD1D4D5"/>
      </top>
      <bottom style="medium">
        <color rgb="FFD1D4D5"/>
      </bottom>
      <diagonal/>
    </border>
    <border>
      <left style="thin">
        <color indexed="64"/>
      </left>
      <right/>
      <top style="thin">
        <color indexed="64"/>
      </top>
      <bottom/>
      <diagonal/>
    </border>
    <border>
      <left style="hair">
        <color indexed="64"/>
      </left>
      <right style="thin">
        <color indexed="64"/>
      </right>
      <top style="medium">
        <color indexed="64"/>
      </top>
      <bottom style="thin">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medium">
        <color indexed="64"/>
      </left>
      <right style="thin">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rgb="FFD1D4D5"/>
      </left>
      <right/>
      <top/>
      <bottom style="medium">
        <color rgb="FFD1D4D5"/>
      </bottom>
      <diagonal/>
    </border>
    <border>
      <left/>
      <right/>
      <top/>
      <bottom style="medium">
        <color rgb="FFD1D4D5"/>
      </bottom>
      <diagonal/>
    </border>
    <border>
      <left style="thin">
        <color indexed="64"/>
      </left>
      <right style="hair">
        <color indexed="64"/>
      </right>
      <top/>
      <bottom/>
      <diagonal/>
    </border>
    <border>
      <left style="thin">
        <color indexed="64"/>
      </left>
      <right style="hair">
        <color indexed="64"/>
      </right>
      <top style="hair">
        <color indexed="64"/>
      </top>
      <bottom style="medium">
        <color indexed="64"/>
      </bottom>
      <diagonal/>
    </border>
    <border>
      <left style="hair">
        <color indexed="64"/>
      </left>
      <right/>
      <top style="medium">
        <color indexed="64"/>
      </top>
      <bottom style="thin">
        <color indexed="64"/>
      </bottom>
      <diagonal/>
    </border>
    <border>
      <left/>
      <right style="thin">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62"/>
      </left>
      <right style="double">
        <color indexed="62"/>
      </right>
      <top style="double">
        <color indexed="62"/>
      </top>
      <bottom style="double">
        <color indexed="62"/>
      </bottom>
      <diagonal/>
    </border>
    <border>
      <left/>
      <right/>
      <top/>
      <bottom style="double">
        <color indexed="52"/>
      </bottom>
      <diagonal/>
    </border>
    <border>
      <left/>
      <right/>
      <top/>
      <bottom style="double">
        <color indexed="10"/>
      </bottom>
      <diagonal/>
    </border>
    <border>
      <left/>
      <right/>
      <top/>
      <bottom style="double">
        <color indexed="5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ck">
        <color indexed="51"/>
      </left>
      <right style="thick">
        <color indexed="51"/>
      </right>
      <top style="thick">
        <color indexed="51"/>
      </top>
      <bottom style="thick">
        <color indexed="51"/>
      </bottom>
      <diagonal/>
    </border>
    <border>
      <left style="thin">
        <color indexed="9"/>
      </left>
      <right style="thin">
        <color indexed="9"/>
      </right>
      <top style="thin">
        <color indexed="9"/>
      </top>
      <bottom style="thin">
        <color indexed="9"/>
      </bottom>
      <diagonal/>
    </border>
    <border>
      <left style="thin">
        <color indexed="62"/>
      </left>
      <right style="thin">
        <color indexed="62"/>
      </right>
      <top style="thin">
        <color indexed="62"/>
      </top>
      <bottom style="thin">
        <color indexed="62"/>
      </bottom>
      <diagonal/>
    </border>
    <border>
      <left/>
      <right/>
      <top/>
      <bottom style="thick">
        <color indexed="56"/>
      </bottom>
      <diagonal/>
    </border>
    <border>
      <left/>
      <right/>
      <top/>
      <bottom style="thick">
        <color indexed="48"/>
      </bottom>
      <diagonal/>
    </border>
    <border>
      <left/>
      <right/>
      <top/>
      <bottom style="thick">
        <color indexed="27"/>
      </bottom>
      <diagonal/>
    </border>
    <border>
      <left/>
      <right/>
      <top/>
      <bottom style="medium">
        <color indexed="48"/>
      </bottom>
      <diagonal/>
    </border>
    <border>
      <left/>
      <right/>
      <top/>
      <bottom style="medium">
        <color indexed="27"/>
      </bottom>
      <diagonal/>
    </border>
    <border>
      <left/>
      <right/>
      <top style="thin">
        <color indexed="62"/>
      </top>
      <bottom style="double">
        <color indexed="62"/>
      </bottom>
      <diagonal/>
    </border>
    <border>
      <left/>
      <right/>
      <top style="thin">
        <color indexed="48"/>
      </top>
      <bottom style="double">
        <color indexed="48"/>
      </bottom>
      <diagonal/>
    </border>
    <border>
      <left/>
      <right/>
      <top style="thin">
        <color auto="1"/>
      </top>
      <bottom style="medium">
        <color auto="1"/>
      </bottom>
      <diagonal/>
    </border>
  </borders>
  <cellStyleXfs count="4569">
    <xf numFmtId="0" fontId="0" fillId="0" borderId="0"/>
    <xf numFmtId="164" fontId="1" fillId="0" borderId="0" applyFont="0" applyFill="0" applyBorder="0" applyAlignment="0" applyProtection="0"/>
    <xf numFmtId="9" fontId="1" fillId="0" borderId="0" applyFont="0" applyFill="0" applyBorder="0" applyAlignment="0" applyProtection="0"/>
    <xf numFmtId="0" fontId="14" fillId="15" borderId="0" applyNumberFormat="0" applyBorder="0" applyAlignment="0" applyProtection="0"/>
    <xf numFmtId="0" fontId="24" fillId="0" borderId="0" applyNumberFormat="0" applyFill="0" applyBorder="0" applyAlignment="0" applyProtection="0"/>
    <xf numFmtId="0" fontId="1" fillId="38" borderId="0" applyNumberFormat="0" applyBorder="0" applyAlignment="0" applyProtection="0"/>
    <xf numFmtId="0" fontId="4" fillId="0" borderId="0"/>
    <xf numFmtId="0" fontId="73" fillId="0" borderId="0"/>
    <xf numFmtId="0" fontId="8" fillId="0" borderId="0"/>
    <xf numFmtId="43" fontId="1" fillId="0" borderId="0" applyFont="0" applyFill="0" applyBorder="0" applyAlignment="0" applyProtection="0"/>
    <xf numFmtId="0" fontId="74" fillId="0" borderId="0"/>
    <xf numFmtId="43" fontId="4" fillId="0" borderId="0" applyFont="0" applyFill="0" applyBorder="0" applyAlignment="0" applyProtection="0"/>
    <xf numFmtId="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9" fontId="4" fillId="0" borderId="0"/>
    <xf numFmtId="189" fontId="4" fillId="0" borderId="0"/>
    <xf numFmtId="0" fontId="4" fillId="0" borderId="0"/>
    <xf numFmtId="0" fontId="77" fillId="0" borderId="0"/>
    <xf numFmtId="0" fontId="77" fillId="0" borderId="0"/>
    <xf numFmtId="0" fontId="7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3" fillId="0" borderId="0"/>
    <xf numFmtId="0" fontId="73"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73" fillId="0" borderId="0"/>
    <xf numFmtId="0" fontId="73"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4" fillId="39" borderId="0" applyNumberFormat="0" applyBorder="0" applyAlignment="0" applyProtection="0"/>
    <xf numFmtId="0" fontId="14" fillId="40" borderId="0" applyNumberFormat="0" applyBorder="0" applyAlignment="0" applyProtection="0"/>
    <xf numFmtId="0" fontId="14" fillId="29" borderId="0" applyNumberFormat="0" applyBorder="0" applyAlignment="0" applyProtection="0"/>
    <xf numFmtId="0" fontId="14" fillId="41" borderId="0" applyNumberFormat="0" applyBorder="0" applyAlignment="0" applyProtection="0"/>
    <xf numFmtId="0" fontId="14" fillId="8" borderId="0" applyNumberFormat="0" applyBorder="0" applyAlignment="0" applyProtection="0"/>
    <xf numFmtId="0" fontId="14" fillId="42" borderId="0" applyNumberFormat="0" applyBorder="0" applyAlignment="0" applyProtection="0"/>
    <xf numFmtId="0" fontId="78" fillId="43" borderId="0" applyNumberFormat="0" applyBorder="0" applyAlignment="0" applyProtection="0"/>
    <xf numFmtId="0" fontId="79"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4" fillId="0" borderId="0"/>
    <xf numFmtId="43" fontId="74" fillId="0" borderId="0" applyFont="0" applyFill="0" applyBorder="0" applyAlignment="0" applyProtection="0"/>
    <xf numFmtId="0" fontId="1" fillId="0" borderId="0"/>
    <xf numFmtId="0" fontId="24" fillId="0" borderId="0" applyNumberFormat="0" applyFill="0" applyBorder="0" applyAlignment="0" applyProtection="0"/>
    <xf numFmtId="0" fontId="1" fillId="38" borderId="0" applyNumberFormat="0" applyBorder="0" applyAlignment="0" applyProtection="0"/>
    <xf numFmtId="0" fontId="1" fillId="0" borderId="0"/>
    <xf numFmtId="43" fontId="74"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0" fontId="73" fillId="0" borderId="0"/>
    <xf numFmtId="0" fontId="4" fillId="0" borderId="0"/>
    <xf numFmtId="43" fontId="1" fillId="0" borderId="0" applyFont="0" applyFill="0" applyBorder="0" applyAlignment="0" applyProtection="0"/>
    <xf numFmtId="0" fontId="98" fillId="71" borderId="0" applyNumberFormat="0" applyBorder="0" applyAlignment="0" applyProtection="0">
      <alignment vertical="center"/>
    </xf>
    <xf numFmtId="0" fontId="98" fillId="70" borderId="0" applyNumberFormat="0" applyBorder="0" applyAlignment="0" applyProtection="0">
      <alignment vertical="center"/>
    </xf>
    <xf numFmtId="0" fontId="98" fillId="69" borderId="0" applyNumberFormat="0" applyBorder="0" applyAlignment="0" applyProtection="0">
      <alignment vertical="center"/>
    </xf>
    <xf numFmtId="0" fontId="99" fillId="68" borderId="0" applyNumberFormat="0" applyBorder="0" applyAlignment="0" applyProtection="0">
      <alignment vertical="center"/>
    </xf>
    <xf numFmtId="0" fontId="98" fillId="67" borderId="0" applyNumberFormat="0" applyBorder="0" applyAlignment="0" applyProtection="0">
      <alignment vertical="center"/>
    </xf>
    <xf numFmtId="0" fontId="98" fillId="66" borderId="0" applyNumberFormat="0" applyBorder="0" applyAlignment="0" applyProtection="0">
      <alignment vertical="center"/>
    </xf>
    <xf numFmtId="0" fontId="98" fillId="38" borderId="0" applyNumberFormat="0" applyBorder="0" applyAlignment="0" applyProtection="0">
      <alignment vertical="center"/>
    </xf>
    <xf numFmtId="0" fontId="99" fillId="65" borderId="0" applyNumberFormat="0" applyBorder="0" applyAlignment="0" applyProtection="0">
      <alignment vertical="center"/>
    </xf>
    <xf numFmtId="0" fontId="98" fillId="64" borderId="0" applyNumberFormat="0" applyBorder="0" applyAlignment="0" applyProtection="0">
      <alignment vertical="center"/>
    </xf>
    <xf numFmtId="0" fontId="98" fillId="63" borderId="0" applyNumberFormat="0" applyBorder="0" applyAlignment="0" applyProtection="0">
      <alignment vertical="center"/>
    </xf>
    <xf numFmtId="0" fontId="98" fillId="62" borderId="0" applyNumberFormat="0" applyBorder="0" applyAlignment="0" applyProtection="0">
      <alignment vertical="center"/>
    </xf>
    <xf numFmtId="0" fontId="99" fillId="61" borderId="0" applyNumberFormat="0" applyBorder="0" applyAlignment="0" applyProtection="0">
      <alignment vertical="center"/>
    </xf>
    <xf numFmtId="0" fontId="98" fillId="60" borderId="0" applyNumberFormat="0" applyBorder="0" applyAlignment="0" applyProtection="0">
      <alignment vertical="center"/>
    </xf>
    <xf numFmtId="0" fontId="98" fillId="59" borderId="0" applyNumberFormat="0" applyBorder="0" applyAlignment="0" applyProtection="0">
      <alignment vertical="center"/>
    </xf>
    <xf numFmtId="0" fontId="98" fillId="58" borderId="0" applyNumberFormat="0" applyBorder="0" applyAlignment="0" applyProtection="0">
      <alignment vertical="center"/>
    </xf>
    <xf numFmtId="0" fontId="99" fillId="57" borderId="0" applyNumberFormat="0" applyBorder="0" applyAlignment="0" applyProtection="0">
      <alignment vertical="center"/>
    </xf>
    <xf numFmtId="0" fontId="98" fillId="56" borderId="0" applyNumberFormat="0" applyBorder="0" applyAlignment="0" applyProtection="0">
      <alignment vertical="center"/>
    </xf>
    <xf numFmtId="0" fontId="98" fillId="55" borderId="0" applyNumberFormat="0" applyBorder="0" applyAlignment="0" applyProtection="0">
      <alignment vertical="center"/>
    </xf>
    <xf numFmtId="0" fontId="98" fillId="54" borderId="0" applyNumberFormat="0" applyBorder="0" applyAlignment="0" applyProtection="0">
      <alignment vertical="center"/>
    </xf>
    <xf numFmtId="0" fontId="99" fillId="53" borderId="0" applyNumberFormat="0" applyBorder="0" applyAlignment="0" applyProtection="0">
      <alignment vertical="center"/>
    </xf>
    <xf numFmtId="0" fontId="98" fillId="52" borderId="0" applyNumberFormat="0" applyBorder="0" applyAlignment="0" applyProtection="0">
      <alignment vertical="center"/>
    </xf>
    <xf numFmtId="0" fontId="98" fillId="51" borderId="0" applyNumberFormat="0" applyBorder="0" applyAlignment="0" applyProtection="0">
      <alignment vertical="center"/>
    </xf>
    <xf numFmtId="0" fontId="98" fillId="50" borderId="0" applyNumberFormat="0" applyBorder="0" applyAlignment="0" applyProtection="0">
      <alignment vertical="center"/>
    </xf>
    <xf numFmtId="0" fontId="97" fillId="0" borderId="177" applyNumberFormat="0" applyFill="0" applyAlignment="0" applyProtection="0">
      <alignment vertical="center"/>
    </xf>
    <xf numFmtId="0" fontId="96"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4" fillId="49" borderId="176" applyNumberFormat="0" applyAlignment="0" applyProtection="0">
      <alignment vertical="center"/>
    </xf>
    <xf numFmtId="0" fontId="93" fillId="0" borderId="175" applyNumberFormat="0" applyFill="0" applyAlignment="0" applyProtection="0">
      <alignment vertical="center"/>
    </xf>
    <xf numFmtId="0" fontId="92" fillId="48" borderId="173" applyNumberFormat="0" applyAlignment="0" applyProtection="0">
      <alignment vertical="center"/>
    </xf>
    <xf numFmtId="0" fontId="91" fillId="48" borderId="174" applyNumberFormat="0" applyAlignment="0" applyProtection="0">
      <alignment vertical="center"/>
    </xf>
    <xf numFmtId="0" fontId="90" fillId="47" borderId="173" applyNumberFormat="0" applyAlignment="0" applyProtection="0">
      <alignment vertical="center"/>
    </xf>
    <xf numFmtId="0" fontId="89" fillId="46" borderId="0" applyNumberFormat="0" applyBorder="0" applyAlignment="0" applyProtection="0">
      <alignment vertical="center"/>
    </xf>
    <xf numFmtId="0" fontId="88" fillId="45" borderId="0" applyNumberFormat="0" applyBorder="0" applyAlignment="0" applyProtection="0">
      <alignment vertical="center"/>
    </xf>
    <xf numFmtId="0" fontId="87" fillId="44" borderId="0" applyNumberFormat="0" applyBorder="0" applyAlignment="0" applyProtection="0">
      <alignment vertical="center"/>
    </xf>
    <xf numFmtId="0" fontId="86" fillId="0" borderId="0" applyNumberFormat="0" applyFill="0" applyBorder="0" applyAlignment="0" applyProtection="0">
      <alignment vertical="center"/>
    </xf>
    <xf numFmtId="0" fontId="86" fillId="0" borderId="172" applyNumberFormat="0" applyFill="0" applyAlignment="0" applyProtection="0">
      <alignment vertical="center"/>
    </xf>
    <xf numFmtId="0" fontId="85" fillId="0" borderId="171" applyNumberFormat="0" applyFill="0" applyAlignment="0" applyProtection="0">
      <alignment vertical="center"/>
    </xf>
    <xf numFmtId="0" fontId="84" fillId="0" borderId="170" applyNumberFormat="0" applyFill="0" applyAlignment="0" applyProtection="0">
      <alignment vertical="center"/>
    </xf>
    <xf numFmtId="43" fontId="74" fillId="0" borderId="0" applyFont="0" applyFill="0" applyBorder="0" applyAlignment="0" applyProtection="0"/>
    <xf numFmtId="0" fontId="7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3" fillId="0" borderId="0" applyBorder="0"/>
    <xf numFmtId="9" fontId="63" fillId="0" borderId="0" applyFont="0" applyFill="0" applyBorder="0" applyAlignment="0" applyProtection="0"/>
    <xf numFmtId="43" fontId="63" fillId="0" borderId="0" applyFont="0" applyFill="0" applyBorder="0" applyAlignment="0" applyProtection="0"/>
    <xf numFmtId="0" fontId="1" fillId="0" borderId="0"/>
    <xf numFmtId="0" fontId="63" fillId="0" borderId="0" applyBorder="0"/>
    <xf numFmtId="43" fontId="63" fillId="0" borderId="0" applyFont="0" applyFill="0" applyBorder="0" applyAlignment="0" applyProtection="0"/>
    <xf numFmtId="0" fontId="63" fillId="0" borderId="0" applyBorder="0"/>
    <xf numFmtId="0" fontId="4" fillId="0" borderId="0"/>
    <xf numFmtId="0" fontId="63" fillId="0" borderId="0" applyBorder="0"/>
    <xf numFmtId="43" fontId="63" fillId="0" borderId="0" applyFont="0" applyFill="0" applyBorder="0" applyAlignment="0" applyProtection="0"/>
    <xf numFmtId="0" fontId="82" fillId="0" borderId="0" applyNumberForma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63" fillId="0" borderId="0" applyFont="0" applyFill="0" applyBorder="0" applyAlignment="0" applyProtection="0"/>
    <xf numFmtId="0" fontId="63" fillId="0" borderId="0" applyBorder="0"/>
    <xf numFmtId="43" fontId="63" fillId="0" borderId="0" applyFont="0" applyFill="0" applyBorder="0" applyAlignment="0" applyProtection="0"/>
    <xf numFmtId="0" fontId="63" fillId="0" borderId="0" applyBorder="0"/>
    <xf numFmtId="43" fontId="63" fillId="0" borderId="0" applyFont="0" applyFill="0" applyBorder="0" applyAlignment="0" applyProtection="0"/>
    <xf numFmtId="0" fontId="1" fillId="0" borderId="0"/>
    <xf numFmtId="0" fontId="83" fillId="0" borderId="0" applyNumberFormat="0" applyFill="0" applyBorder="0" applyAlignment="0" applyProtection="0">
      <alignment vertical="center"/>
    </xf>
    <xf numFmtId="0" fontId="74" fillId="0" borderId="0"/>
    <xf numFmtId="43" fontId="4" fillId="0" borderId="0" applyFont="0" applyFill="0" applyBorder="0" applyAlignment="0" applyProtection="0"/>
    <xf numFmtId="0" fontId="100" fillId="0" borderId="170" applyNumberFormat="0" applyFill="0" applyAlignment="0" applyProtection="0"/>
    <xf numFmtId="0" fontId="101" fillId="0" borderId="171" applyNumberFormat="0" applyFill="0" applyAlignment="0" applyProtection="0"/>
    <xf numFmtId="0" fontId="102" fillId="0" borderId="172" applyNumberFormat="0" applyFill="0" applyAlignment="0" applyProtection="0"/>
    <xf numFmtId="0" fontId="102" fillId="0" borderId="0" applyNumberFormat="0" applyFill="0" applyBorder="0" applyAlignment="0" applyProtection="0"/>
    <xf numFmtId="0" fontId="103" fillId="44" borderId="0" applyNumberFormat="0" applyBorder="0" applyAlignment="0" applyProtection="0"/>
    <xf numFmtId="0" fontId="104" fillId="45" borderId="0" applyNumberFormat="0" applyBorder="0" applyAlignment="0" applyProtection="0"/>
    <xf numFmtId="0" fontId="105" fillId="47" borderId="173" applyNumberFormat="0" applyAlignment="0" applyProtection="0"/>
    <xf numFmtId="0" fontId="106" fillId="48" borderId="174" applyNumberFormat="0" applyAlignment="0" applyProtection="0"/>
    <xf numFmtId="0" fontId="107" fillId="48" borderId="173" applyNumberFormat="0" applyAlignment="0" applyProtection="0"/>
    <xf numFmtId="0" fontId="108" fillId="0" borderId="175" applyNumberFormat="0" applyFill="0" applyAlignment="0" applyProtection="0"/>
    <xf numFmtId="0" fontId="109" fillId="49" borderId="176" applyNumberFormat="0" applyAlignment="0" applyProtection="0"/>
    <xf numFmtId="0" fontId="22" fillId="0" borderId="0" applyNumberFormat="0" applyFill="0" applyBorder="0" applyAlignment="0" applyProtection="0"/>
    <xf numFmtId="0" fontId="110" fillId="0" borderId="0" applyNumberFormat="0" applyFill="0" applyBorder="0" applyAlignment="0" applyProtection="0"/>
    <xf numFmtId="0" fontId="2" fillId="0" borderId="177" applyNumberFormat="0" applyFill="0" applyAlignment="0" applyProtection="0"/>
    <xf numFmtId="0" fontId="1" fillId="50" borderId="0" applyNumberFormat="0" applyBorder="0" applyAlignment="0" applyProtection="0"/>
    <xf numFmtId="0" fontId="1" fillId="51" borderId="0" applyNumberFormat="0" applyBorder="0" applyAlignment="0" applyProtection="0"/>
    <xf numFmtId="0" fontId="14"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4" fillId="57" borderId="0" applyNumberFormat="0" applyBorder="0" applyAlignment="0" applyProtection="0"/>
    <xf numFmtId="0" fontId="1" fillId="58" borderId="0" applyNumberFormat="0" applyBorder="0" applyAlignment="0" applyProtection="0"/>
    <xf numFmtId="0" fontId="1" fillId="59" borderId="0" applyNumberFormat="0" applyBorder="0" applyAlignment="0" applyProtection="0"/>
    <xf numFmtId="0" fontId="14" fillId="61" borderId="0" applyNumberFormat="0" applyBorder="0" applyAlignment="0" applyProtection="0"/>
    <xf numFmtId="0" fontId="1" fillId="62" borderId="0" applyNumberFormat="0" applyBorder="0" applyAlignment="0" applyProtection="0"/>
    <xf numFmtId="0" fontId="1" fillId="63" borderId="0" applyNumberFormat="0" applyBorder="0" applyAlignment="0" applyProtection="0"/>
    <xf numFmtId="0" fontId="14" fillId="65" borderId="0" applyNumberFormat="0" applyBorder="0" applyAlignment="0" applyProtection="0"/>
    <xf numFmtId="0" fontId="1" fillId="66" borderId="0" applyNumberFormat="0" applyBorder="0" applyAlignment="0" applyProtection="0"/>
    <xf numFmtId="0" fontId="14" fillId="68" borderId="0" applyNumberFormat="0" applyBorder="0" applyAlignment="0" applyProtection="0"/>
    <xf numFmtId="0" fontId="1" fillId="69" borderId="0" applyNumberFormat="0" applyBorder="0" applyAlignment="0" applyProtection="0"/>
    <xf numFmtId="0" fontId="1" fillId="70" borderId="0" applyNumberFormat="0" applyBorder="0" applyAlignment="0" applyProtection="0"/>
    <xf numFmtId="43" fontId="1" fillId="0" borderId="0" applyFont="0" applyFill="0" applyBorder="0" applyAlignment="0" applyProtection="0"/>
    <xf numFmtId="9" fontId="4" fillId="0" borderId="0" applyFont="0" applyFill="0" applyBorder="0" applyAlignment="0" applyProtection="0"/>
    <xf numFmtId="43" fontId="7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7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0" fontId="74"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3" fillId="0" borderId="0"/>
    <xf numFmtId="0" fontId="63" fillId="0" borderId="0"/>
    <xf numFmtId="0" fontId="74" fillId="0" borderId="0"/>
    <xf numFmtId="49" fontId="114" fillId="0" borderId="146" applyNumberFormat="0" applyFont="0" applyFill="0" applyBorder="0" applyProtection="0">
      <alignment horizontal="left" vertical="center" indent="2"/>
    </xf>
    <xf numFmtId="43" fontId="4" fillId="0" borderId="0" applyFont="0" applyFill="0" applyBorder="0" applyAlignment="0" applyProtection="0"/>
    <xf numFmtId="0" fontId="63" fillId="0" borderId="0" applyBorder="0"/>
    <xf numFmtId="0" fontId="74" fillId="0" borderId="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83" fillId="0" borderId="0" applyNumberFormat="0" applyFill="0" applyBorder="0" applyAlignment="0" applyProtection="0">
      <alignment vertical="center"/>
    </xf>
    <xf numFmtId="0" fontId="89" fillId="46" borderId="0" applyNumberFormat="0" applyBorder="0" applyAlignment="0" applyProtection="0">
      <alignment vertical="center"/>
    </xf>
    <xf numFmtId="0" fontId="98" fillId="52" borderId="0" applyNumberFormat="0" applyBorder="0" applyAlignment="0" applyProtection="0">
      <alignment vertical="center"/>
    </xf>
    <xf numFmtId="0" fontId="98" fillId="56" borderId="0" applyNumberFormat="0" applyBorder="0" applyAlignment="0" applyProtection="0">
      <alignment vertical="center"/>
    </xf>
    <xf numFmtId="0" fontId="98" fillId="60" borderId="0" applyNumberFormat="0" applyBorder="0" applyAlignment="0" applyProtection="0">
      <alignment vertical="center"/>
    </xf>
    <xf numFmtId="0" fontId="98" fillId="64" borderId="0" applyNumberFormat="0" applyBorder="0" applyAlignment="0" applyProtection="0">
      <alignment vertical="center"/>
    </xf>
    <xf numFmtId="0" fontId="98" fillId="38" borderId="0" applyNumberFormat="0" applyBorder="0" applyAlignment="0" applyProtection="0">
      <alignment vertical="center"/>
    </xf>
    <xf numFmtId="0" fontId="98" fillId="67" borderId="0" applyNumberFormat="0" applyBorder="0" applyAlignment="0" applyProtection="0">
      <alignment vertical="center"/>
    </xf>
    <xf numFmtId="0" fontId="98" fillId="71" borderId="0" applyNumberFormat="0" applyBorder="0" applyAlignment="0" applyProtection="0">
      <alignment vertical="center"/>
    </xf>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9" fillId="0" borderId="0" applyNumberFormat="0" applyFill="0" applyBorder="0" applyAlignment="0" applyProtection="0"/>
    <xf numFmtId="0" fontId="78" fillId="46" borderId="0" applyNumberFormat="0" applyBorder="0" applyAlignment="0" applyProtection="0"/>
    <xf numFmtId="0" fontId="14" fillId="52" borderId="0" applyNumberFormat="0" applyBorder="0" applyAlignment="0" applyProtection="0"/>
    <xf numFmtId="0" fontId="14" fillId="56" borderId="0" applyNumberFormat="0" applyBorder="0" applyAlignment="0" applyProtection="0"/>
    <xf numFmtId="0" fontId="14" fillId="60" borderId="0" applyNumberFormat="0" applyBorder="0" applyAlignment="0" applyProtection="0"/>
    <xf numFmtId="0" fontId="14" fillId="64" borderId="0" applyNumberFormat="0" applyBorder="0" applyAlignment="0" applyProtection="0"/>
    <xf numFmtId="0" fontId="14" fillId="67" borderId="0" applyNumberFormat="0" applyBorder="0" applyAlignment="0" applyProtection="0"/>
    <xf numFmtId="0" fontId="14" fillId="71" borderId="0" applyNumberFormat="0" applyBorder="0" applyAlignment="0" applyProtection="0"/>
    <xf numFmtId="0" fontId="4" fillId="0" borderId="0"/>
    <xf numFmtId="3" fontId="169" fillId="73" borderId="0">
      <alignment horizontal="left"/>
    </xf>
    <xf numFmtId="0" fontId="112" fillId="74" borderId="0" applyNumberFormat="0" applyBorder="0" applyAlignment="0" applyProtection="0"/>
    <xf numFmtId="0" fontId="112" fillId="75" borderId="0" applyNumberFormat="0" applyBorder="0" applyAlignment="0" applyProtection="0"/>
    <xf numFmtId="0" fontId="112" fillId="76" borderId="0" applyNumberFormat="0" applyBorder="0" applyAlignment="0" applyProtection="0"/>
    <xf numFmtId="0" fontId="112" fillId="77" borderId="0" applyNumberFormat="0" applyBorder="0" applyAlignment="0" applyProtection="0"/>
    <xf numFmtId="0" fontId="112" fillId="78" borderId="0" applyNumberFormat="0" applyBorder="0" applyAlignment="0" applyProtection="0"/>
    <xf numFmtId="0" fontId="112" fillId="79"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37" fillId="74" borderId="0" applyNumberFormat="0" applyBorder="0" applyAlignment="0" applyProtection="0"/>
    <xf numFmtId="0" fontId="1" fillId="50"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12" fillId="80" borderId="0" applyNumberFormat="0" applyBorder="0" applyAlignment="0" applyProtection="0"/>
    <xf numFmtId="0" fontId="112" fillId="79" borderId="0" applyNumberFormat="0" applyBorder="0" applyAlignment="0" applyProtection="0"/>
    <xf numFmtId="0" fontId="137" fillId="74" borderId="0" applyNumberFormat="0" applyBorder="0" applyAlignment="0" applyProtection="0"/>
    <xf numFmtId="0" fontId="1" fillId="50"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 fillId="50"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4"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37" fillId="75" borderId="0" applyNumberFormat="0" applyBorder="0" applyAlignment="0" applyProtection="0"/>
    <xf numFmtId="0" fontId="1" fillId="54"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12" fillId="81" borderId="0" applyNumberFormat="0" applyBorder="0" applyAlignment="0" applyProtection="0"/>
    <xf numFmtId="0" fontId="137" fillId="75" borderId="0" applyNumberFormat="0" applyBorder="0" applyAlignment="0" applyProtection="0"/>
    <xf numFmtId="0" fontId="1" fillId="54"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 fillId="54"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5"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37" fillId="76" borderId="0" applyNumberFormat="0" applyBorder="0" applyAlignment="0" applyProtection="0"/>
    <xf numFmtId="0" fontId="1" fillId="58"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12" fillId="82" borderId="0" applyNumberFormat="0" applyBorder="0" applyAlignment="0" applyProtection="0"/>
    <xf numFmtId="0" fontId="137" fillId="76" borderId="0" applyNumberFormat="0" applyBorder="0" applyAlignment="0" applyProtection="0"/>
    <xf numFmtId="0" fontId="1" fillId="58"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 fillId="58"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6"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37" fillId="77" borderId="0" applyNumberFormat="0" applyBorder="0" applyAlignment="0" applyProtection="0"/>
    <xf numFmtId="0" fontId="1" fillId="62"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 fillId="62" borderId="0" applyNumberFormat="0" applyBorder="0" applyAlignment="0" applyProtection="0"/>
    <xf numFmtId="0" fontId="112" fillId="79" borderId="0" applyNumberFormat="0" applyBorder="0" applyAlignment="0" applyProtection="0"/>
    <xf numFmtId="0" fontId="137" fillId="77" borderId="0" applyNumberFormat="0" applyBorder="0" applyAlignment="0" applyProtection="0"/>
    <xf numFmtId="0" fontId="1" fillId="62"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 fillId="62"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37" fillId="7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37" fillId="7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 fillId="38" borderId="0" applyNumberFormat="0" applyBorder="0" applyAlignment="0" applyProtection="0"/>
    <xf numFmtId="0" fontId="112" fillId="78"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37" fillId="79" borderId="0" applyNumberFormat="0" applyBorder="0" applyAlignment="0" applyProtection="0"/>
    <xf numFmtId="0" fontId="1" fillId="6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12" fillId="82" borderId="0" applyNumberFormat="0" applyBorder="0" applyAlignment="0" applyProtection="0"/>
    <xf numFmtId="0" fontId="137" fillId="79" borderId="0" applyNumberFormat="0" applyBorder="0" applyAlignment="0" applyProtection="0"/>
    <xf numFmtId="0" fontId="1" fillId="6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 fillId="6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0" fontId="112" fillId="79" borderId="0" applyNumberFormat="0" applyBorder="0" applyAlignment="0" applyProtection="0"/>
    <xf numFmtId="3" fontId="134" fillId="83" borderId="0"/>
    <xf numFmtId="0" fontId="112" fillId="80" borderId="0" applyNumberFormat="0" applyBorder="0" applyAlignment="0" applyProtection="0"/>
    <xf numFmtId="0" fontId="112" fillId="81" borderId="0" applyNumberFormat="0" applyBorder="0" applyAlignment="0" applyProtection="0"/>
    <xf numFmtId="0" fontId="112" fillId="84" borderId="0" applyNumberFormat="0" applyBorder="0" applyAlignment="0" applyProtection="0"/>
    <xf numFmtId="0" fontId="112" fillId="77" borderId="0" applyNumberFormat="0" applyBorder="0" applyAlignment="0" applyProtection="0"/>
    <xf numFmtId="0" fontId="112" fillId="80" borderId="0" applyNumberFormat="0" applyBorder="0" applyAlignment="0" applyProtection="0"/>
    <xf numFmtId="0" fontId="112" fillId="85"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37" fillId="80" borderId="0" applyNumberFormat="0" applyBorder="0" applyAlignment="0" applyProtection="0"/>
    <xf numFmtId="0" fontId="1" fillId="51"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12" fillId="78" borderId="0" applyNumberFormat="0" applyBorder="0" applyAlignment="0" applyProtection="0"/>
    <xf numFmtId="0" fontId="112" fillId="86" borderId="0" applyNumberFormat="0" applyBorder="0" applyAlignment="0" applyProtection="0"/>
    <xf numFmtId="0" fontId="137" fillId="80" borderId="0" applyNumberFormat="0" applyBorder="0" applyAlignment="0" applyProtection="0"/>
    <xf numFmtId="0" fontId="1" fillId="51"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 fillId="51"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12" fillId="80" borderId="0" applyNumberFormat="0" applyBorder="0" applyAlignment="0" applyProtection="0"/>
    <xf numFmtId="0" fontId="137" fillId="8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37" fillId="81"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12" fillId="81"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37" fillId="84" borderId="0" applyNumberFormat="0" applyBorder="0" applyAlignment="0" applyProtection="0"/>
    <xf numFmtId="0" fontId="1" fillId="59"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0" fontId="112" fillId="87" borderId="0" applyNumberFormat="0" applyBorder="0" applyAlignment="0" applyProtection="0"/>
    <xf numFmtId="0" fontId="137" fillId="84" borderId="0" applyNumberFormat="0" applyBorder="0" applyAlignment="0" applyProtection="0"/>
    <xf numFmtId="0" fontId="1" fillId="59"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 fillId="59"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84"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37" fillId="77" borderId="0" applyNumberFormat="0" applyBorder="0" applyAlignment="0" applyProtection="0"/>
    <xf numFmtId="0" fontId="1" fillId="63"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 fillId="63" borderId="0" applyNumberFormat="0" applyBorder="0" applyAlignment="0" applyProtection="0"/>
    <xf numFmtId="0" fontId="112" fillId="75" borderId="0" applyNumberFormat="0" applyBorder="0" applyAlignment="0" applyProtection="0"/>
    <xf numFmtId="0" fontId="112" fillId="86" borderId="0" applyNumberFormat="0" applyBorder="0" applyAlignment="0" applyProtection="0"/>
    <xf numFmtId="0" fontId="137" fillId="77" borderId="0" applyNumberFormat="0" applyBorder="0" applyAlignment="0" applyProtection="0"/>
    <xf numFmtId="0" fontId="1" fillId="63"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 fillId="63"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12" fillId="77" borderId="0" applyNumberFormat="0" applyBorder="0" applyAlignment="0" applyProtection="0"/>
    <xf numFmtId="0" fontId="137" fillId="80"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37" fillId="80"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 fillId="66" borderId="0" applyNumberFormat="0" applyBorder="0" applyAlignment="0" applyProtection="0"/>
    <xf numFmtId="0" fontId="112" fillId="78" borderId="0" applyNumberFormat="0" applyBorder="0" applyAlignment="0" applyProtection="0"/>
    <xf numFmtId="0" fontId="112" fillId="80"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37" fillId="85" borderId="0" applyNumberFormat="0" applyBorder="0" applyAlignment="0" applyProtection="0"/>
    <xf numFmtId="0" fontId="1" fillId="70"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 fillId="70" borderId="0" applyNumberFormat="0" applyBorder="0" applyAlignment="0" applyProtection="0"/>
    <xf numFmtId="0" fontId="112" fillId="82" borderId="0" applyNumberFormat="0" applyBorder="0" applyAlignment="0" applyProtection="0"/>
    <xf numFmtId="0" fontId="112" fillId="87" borderId="0" applyNumberFormat="0" applyBorder="0" applyAlignment="0" applyProtection="0"/>
    <xf numFmtId="0" fontId="137" fillId="85" borderId="0" applyNumberFormat="0" applyBorder="0" applyAlignment="0" applyProtection="0"/>
    <xf numFmtId="0" fontId="1" fillId="70"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 fillId="70"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2" fillId="85" borderId="0" applyNumberFormat="0" applyBorder="0" applyAlignment="0" applyProtection="0"/>
    <xf numFmtId="0" fontId="115" fillId="88" borderId="0" applyNumberFormat="0" applyBorder="0" applyAlignment="0" applyProtection="0"/>
    <xf numFmtId="0" fontId="115" fillId="81" borderId="0" applyNumberFormat="0" applyBorder="0" applyAlignment="0" applyProtection="0"/>
    <xf numFmtId="0" fontId="115" fillId="84" borderId="0" applyNumberFormat="0" applyBorder="0" applyAlignment="0" applyProtection="0"/>
    <xf numFmtId="0" fontId="115" fillId="89" borderId="0" applyNumberFormat="0" applyBorder="0" applyAlignment="0" applyProtection="0"/>
    <xf numFmtId="0" fontId="115" fillId="90" borderId="0" applyNumberFormat="0" applyBorder="0" applyAlignment="0" applyProtection="0"/>
    <xf numFmtId="0" fontId="115" fillId="91"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31"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4" fillId="52" borderId="0" applyNumberFormat="0" applyBorder="0" applyAlignment="0" applyProtection="0"/>
    <xf numFmtId="0" fontId="115" fillId="78" borderId="0" applyNumberFormat="0" applyBorder="0" applyAlignment="0" applyProtection="0"/>
    <xf numFmtId="0" fontId="115" fillId="92" borderId="0" applyNumberFormat="0" applyBorder="0" applyAlignment="0" applyProtection="0"/>
    <xf numFmtId="0" fontId="131"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15" fillId="88" borderId="0" applyNumberFormat="0" applyBorder="0" applyAlignment="0" applyProtection="0"/>
    <xf numFmtId="0" fontId="131" fillId="81" borderId="0" applyNumberFormat="0" applyBorder="0" applyAlignment="0" applyProtection="0"/>
    <xf numFmtId="0" fontId="14" fillId="56" borderId="0" applyNumberFormat="0" applyBorder="0" applyAlignment="0" applyProtection="0"/>
    <xf numFmtId="0" fontId="131" fillId="81" borderId="0" applyNumberFormat="0" applyBorder="0" applyAlignment="0" applyProtection="0"/>
    <xf numFmtId="0" fontId="115" fillId="93" borderId="0" applyNumberFormat="0" applyBorder="0" applyAlignment="0" applyProtection="0"/>
    <xf numFmtId="0" fontId="115" fillId="81"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31"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4" fillId="60" borderId="0" applyNumberFormat="0" applyBorder="0" applyAlignment="0" applyProtection="0"/>
    <xf numFmtId="0" fontId="115" fillId="85" borderId="0" applyNumberFormat="0" applyBorder="0" applyAlignment="0" applyProtection="0"/>
    <xf numFmtId="0" fontId="115" fillId="87" borderId="0" applyNumberFormat="0" applyBorder="0" applyAlignment="0" applyProtection="0"/>
    <xf numFmtId="0" fontId="131"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4"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31"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4" fillId="64" borderId="0" applyNumberFormat="0" applyBorder="0" applyAlignment="0" applyProtection="0"/>
    <xf numFmtId="0" fontId="115" fillId="75" borderId="0" applyNumberFormat="0" applyBorder="0" applyAlignment="0" applyProtection="0"/>
    <xf numFmtId="0" fontId="115" fillId="86" borderId="0" applyNumberFormat="0" applyBorder="0" applyAlignment="0" applyProtection="0"/>
    <xf numFmtId="0" fontId="131"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31"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4" fillId="67" borderId="0" applyNumberFormat="0" applyBorder="0" applyAlignment="0" applyProtection="0"/>
    <xf numFmtId="0" fontId="115" fillId="78" borderId="0" applyNumberFormat="0" applyBorder="0" applyAlignment="0" applyProtection="0"/>
    <xf numFmtId="0" fontId="115" fillId="92" borderId="0" applyNumberFormat="0" applyBorder="0" applyAlignment="0" applyProtection="0"/>
    <xf numFmtId="0" fontId="131"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31"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4" fillId="71" borderId="0" applyNumberFormat="0" applyBorder="0" applyAlignment="0" applyProtection="0"/>
    <xf numFmtId="0" fontId="115" fillId="81" borderId="0" applyNumberFormat="0" applyBorder="0" applyAlignment="0" applyProtection="0"/>
    <xf numFmtId="0" fontId="131"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15" fillId="91" borderId="0" applyNumberFormat="0" applyBorder="0" applyAlignment="0" applyProtection="0"/>
    <xf numFmtId="0" fontId="170" fillId="83" borderId="0">
      <alignment horizontal="left"/>
    </xf>
    <xf numFmtId="0" fontId="130" fillId="0" borderId="0"/>
    <xf numFmtId="0" fontId="4" fillId="0" borderId="0"/>
    <xf numFmtId="0" fontId="13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5" fillId="94" borderId="0" applyNumberFormat="0" applyBorder="0" applyAlignment="0" applyProtection="0"/>
    <xf numFmtId="0" fontId="115" fillId="95" borderId="0" applyNumberFormat="0" applyBorder="0" applyAlignment="0" applyProtection="0"/>
    <xf numFmtId="0" fontId="115" fillId="96" borderId="0" applyNumberFormat="0" applyBorder="0" applyAlignment="0" applyProtection="0"/>
    <xf numFmtId="0" fontId="115" fillId="89" borderId="0" applyNumberFormat="0" applyBorder="0" applyAlignment="0" applyProtection="0"/>
    <xf numFmtId="0" fontId="115" fillId="90" borderId="0" applyNumberFormat="0" applyBorder="0" applyAlignment="0" applyProtection="0"/>
    <xf numFmtId="0" fontId="115" fillId="93" borderId="0" applyNumberFormat="0" applyBorder="0" applyAlignment="0" applyProtection="0"/>
    <xf numFmtId="0" fontId="116" fillId="75" borderId="0" applyNumberFormat="0" applyBorder="0" applyAlignment="0" applyProtection="0"/>
    <xf numFmtId="0" fontId="138" fillId="76" borderId="0" applyNumberFormat="0" applyBorder="0" applyAlignment="0" applyProtection="0"/>
    <xf numFmtId="0" fontId="103" fillId="44" borderId="0" applyNumberFormat="0" applyBorder="0" applyAlignment="0" applyProtection="0"/>
    <xf numFmtId="0" fontId="138" fillId="76" borderId="0" applyNumberFormat="0" applyBorder="0" applyAlignment="0" applyProtection="0"/>
    <xf numFmtId="0" fontId="120" fillId="78" borderId="0" applyNumberFormat="0" applyBorder="0" applyAlignment="0" applyProtection="0"/>
    <xf numFmtId="0" fontId="120" fillId="76" borderId="0" applyNumberFormat="0" applyBorder="0" applyAlignment="0" applyProtection="0"/>
    <xf numFmtId="0" fontId="163" fillId="0" borderId="0" applyNumberFormat="0" applyFill="0" applyBorder="0" applyAlignment="0" applyProtection="0"/>
    <xf numFmtId="0" fontId="164" fillId="0" borderId="0" applyNumberFormat="0" applyFill="0" applyBorder="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39"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07" fillId="48" borderId="173"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54" fillId="97" borderId="179" applyNumberFormat="0" applyAlignment="0" applyProtection="0"/>
    <xf numFmtId="0" fontId="139"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7" fillId="86" borderId="179"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35"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09" fillId="49" borderId="176" applyNumberFormat="0" applyAlignment="0" applyProtection="0"/>
    <xf numFmtId="0" fontId="118" fillId="99" borderId="181" applyNumberFormat="0" applyAlignment="0" applyProtection="0"/>
    <xf numFmtId="0" fontId="135"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18" fillId="98" borderId="180" applyNumberFormat="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40"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08" fillId="0" borderId="175" applyNumberFormat="0" applyFill="0" applyAlignment="0" applyProtection="0"/>
    <xf numFmtId="0" fontId="129" fillId="0" borderId="183" applyNumberFormat="0" applyFill="0" applyAlignment="0" applyProtection="0"/>
    <xf numFmtId="0" fontId="155" fillId="0" borderId="184" applyNumberFormat="0" applyFill="0" applyAlignment="0" applyProtection="0"/>
    <xf numFmtId="0" fontId="140"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25" fillId="0" borderId="182" applyNumberFormat="0" applyFill="0" applyAlignment="0" applyProtection="0"/>
    <xf numFmtId="0" fontId="118" fillId="98" borderId="180" applyNumberFormat="0" applyAlignment="0" applyProtection="0"/>
    <xf numFmtId="195" fontId="141" fillId="0" borderId="0">
      <protection locked="0"/>
    </xf>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3" fontId="4" fillId="0" borderId="0" applyFont="0" applyFill="0" applyBorder="0" applyAlignment="0" applyProtection="0"/>
    <xf numFmtId="196" fontId="141" fillId="0" borderId="0">
      <protection locked="0"/>
    </xf>
    <xf numFmtId="0" fontId="4" fillId="0" borderId="0" applyFont="0" applyFill="0" applyBorder="0" applyAlignment="0" applyProtection="0"/>
    <xf numFmtId="197" fontId="142" fillId="0" borderId="0">
      <protection locked="0"/>
    </xf>
    <xf numFmtId="0" fontId="141" fillId="0" borderId="0">
      <protection locked="0"/>
    </xf>
    <xf numFmtId="0" fontId="141" fillId="0" borderId="0">
      <protection locked="0"/>
    </xf>
    <xf numFmtId="0" fontId="143" fillId="0" borderId="0">
      <protection locked="0"/>
    </xf>
    <xf numFmtId="0" fontId="143" fillId="0" borderId="0">
      <protection locked="0"/>
    </xf>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44"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02" fillId="0" borderId="0" applyNumberFormat="0" applyFill="0" applyBorder="0" applyAlignment="0" applyProtection="0"/>
    <xf numFmtId="0" fontId="159" fillId="0" borderId="0" applyNumberFormat="0" applyFill="0" applyBorder="0" applyAlignment="0" applyProtection="0"/>
    <xf numFmtId="0" fontId="156" fillId="0" borderId="0" applyNumberFormat="0" applyFill="0" applyBorder="0" applyAlignment="0" applyProtection="0"/>
    <xf numFmtId="0" fontId="128" fillId="0" borderId="0" applyNumberFormat="0" applyFill="0" applyBorder="0" applyAlignment="0" applyProtection="0"/>
    <xf numFmtId="0" fontId="144"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23" fillId="0" borderId="0" applyNumberFormat="0" applyFill="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31"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4" fillId="15" borderId="0" applyNumberFormat="0" applyBorder="0" applyAlignment="0" applyProtection="0"/>
    <xf numFmtId="0" fontId="115" fillId="100" borderId="0" applyNumberFormat="0" applyBorder="0" applyAlignment="0" applyProtection="0"/>
    <xf numFmtId="0" fontId="115" fillId="92" borderId="0" applyNumberFormat="0" applyBorder="0" applyAlignment="0" applyProtection="0"/>
    <xf numFmtId="0" fontId="131"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15" fillId="94" borderId="0" applyNumberFormat="0" applyBorder="0" applyAlignment="0" applyProtection="0"/>
    <xf numFmtId="0" fontId="131" fillId="95" borderId="0" applyNumberFormat="0" applyBorder="0" applyAlignment="0" applyProtection="0"/>
    <xf numFmtId="0" fontId="14" fillId="53" borderId="0" applyNumberFormat="0" applyBorder="0" applyAlignment="0" applyProtection="0"/>
    <xf numFmtId="0" fontId="131" fillId="95" borderId="0" applyNumberFormat="0" applyBorder="0" applyAlignment="0" applyProtection="0"/>
    <xf numFmtId="0" fontId="115" fillId="93" borderId="0" applyNumberFormat="0" applyBorder="0" applyAlignment="0" applyProtection="0"/>
    <xf numFmtId="0" fontId="115" fillId="95"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31"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4" fillId="57" borderId="0" applyNumberFormat="0" applyBorder="0" applyAlignment="0" applyProtection="0"/>
    <xf numFmtId="0" fontId="115" fillId="85" borderId="0" applyNumberFormat="0" applyBorder="0" applyAlignment="0" applyProtection="0"/>
    <xf numFmtId="0" fontId="115" fillId="100" borderId="0" applyNumberFormat="0" applyBorder="0" applyAlignment="0" applyProtection="0"/>
    <xf numFmtId="0" fontId="131"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96"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31"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4" fillId="61" borderId="0" applyNumberFormat="0" applyBorder="0" applyAlignment="0" applyProtection="0"/>
    <xf numFmtId="0" fontId="115" fillId="101" borderId="0" applyNumberFormat="0" applyBorder="0" applyAlignment="0" applyProtection="0"/>
    <xf numFmtId="0" fontId="115" fillId="93" borderId="0" applyNumberFormat="0" applyBorder="0" applyAlignment="0" applyProtection="0"/>
    <xf numFmtId="0" fontId="131"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89"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31"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4" fillId="65" borderId="0" applyNumberFormat="0" applyBorder="0" applyAlignment="0" applyProtection="0"/>
    <xf numFmtId="0" fontId="115" fillId="92" borderId="0" applyNumberFormat="0" applyBorder="0" applyAlignment="0" applyProtection="0"/>
    <xf numFmtId="0" fontId="131"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0"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31"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4" fillId="68" borderId="0" applyNumberFormat="0" applyBorder="0" applyAlignment="0" applyProtection="0"/>
    <xf numFmtId="0" fontId="115" fillId="95" borderId="0" applyNumberFormat="0" applyBorder="0" applyAlignment="0" applyProtection="0"/>
    <xf numFmtId="0" fontId="115" fillId="91" borderId="0" applyNumberFormat="0" applyBorder="0" applyAlignment="0" applyProtection="0"/>
    <xf numFmtId="0" fontId="131"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15" fillId="93" borderId="0" applyNumberFormat="0" applyBorder="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45"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05" fillId="47" borderId="173"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57" fillId="87" borderId="179" applyNumberFormat="0" applyAlignment="0" applyProtection="0"/>
    <xf numFmtId="0" fontId="145"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124" fillId="79" borderId="179" applyNumberFormat="0" applyAlignment="0" applyProtection="0"/>
    <xf numFmtId="0" fontId="4" fillId="0" borderId="0"/>
    <xf numFmtId="194"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9" fontId="4" fillId="0" borderId="0" applyFont="0" applyFill="0" applyBorder="0" applyAlignment="0" applyProtection="0"/>
    <xf numFmtId="211" fontId="4" fillId="0" borderId="0" applyFont="0" applyFill="0" applyBorder="0" applyAlignment="0" applyProtection="0"/>
    <xf numFmtId="211" fontId="4" fillId="0" borderId="0" applyFont="0" applyFill="0" applyBorder="0" applyAlignment="0" applyProtection="0"/>
    <xf numFmtId="194"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8" fontId="4" fillId="0" borderId="0" applyFont="0" applyFill="0" applyBorder="0" applyAlignment="0" applyProtection="0"/>
    <xf numFmtId="211" fontId="4" fillId="0" borderId="0" applyFont="0" applyFill="0" applyBorder="0" applyAlignment="0" applyProtection="0"/>
    <xf numFmtId="211" fontId="4" fillId="0" borderId="0" applyFont="0" applyFill="0" applyBorder="0" applyAlignment="0" applyProtection="0"/>
    <xf numFmtId="194"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130"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211"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211" fontId="4" fillId="0" borderId="0" applyFont="0" applyFill="0" applyBorder="0" applyAlignment="0" applyProtection="0"/>
    <xf numFmtId="211"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211"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8" fontId="4" fillId="0" borderId="0" applyFont="0" applyFill="0" applyBorder="0" applyAlignment="0" applyProtection="0"/>
    <xf numFmtId="208" fontId="130"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119" fillId="0" borderId="0" applyNumberFormat="0" applyFill="0" applyBorder="0" applyAlignment="0" applyProtection="0"/>
    <xf numFmtId="0" fontId="77" fillId="0" borderId="0" applyFont="0" applyFill="0" applyBorder="0" applyAlignment="0" applyProtection="0"/>
    <xf numFmtId="0" fontId="141" fillId="0" borderId="0">
      <protection locked="0"/>
    </xf>
    <xf numFmtId="0" fontId="77" fillId="0" borderId="0" applyFont="0" applyFill="0" applyBorder="0" applyAlignment="0" applyProtection="0"/>
    <xf numFmtId="0" fontId="141" fillId="0" borderId="0">
      <protection locked="0"/>
    </xf>
    <xf numFmtId="0" fontId="77" fillId="0" borderId="0" applyFont="0" applyFill="0" applyBorder="0" applyAlignment="0" applyProtection="0"/>
    <xf numFmtId="0" fontId="141" fillId="0" borderId="0">
      <protection locked="0"/>
    </xf>
    <xf numFmtId="0" fontId="77" fillId="0" borderId="0" applyFont="0" applyFill="0" applyBorder="0" applyAlignment="0" applyProtection="0"/>
    <xf numFmtId="0" fontId="141" fillId="0" borderId="0">
      <protection locked="0"/>
    </xf>
    <xf numFmtId="0" fontId="77" fillId="0" borderId="0" applyFont="0" applyFill="0" applyBorder="0" applyAlignment="0" applyProtection="0"/>
    <xf numFmtId="0" fontId="141" fillId="0" borderId="0">
      <protection locked="0"/>
    </xf>
    <xf numFmtId="0" fontId="77" fillId="0" borderId="0" applyFont="0" applyFill="0" applyBorder="0" applyAlignment="0" applyProtection="0"/>
    <xf numFmtId="0" fontId="141" fillId="0" borderId="0">
      <protection locked="0"/>
    </xf>
    <xf numFmtId="0" fontId="77" fillId="0" borderId="0" applyFont="0" applyFill="0" applyBorder="0" applyAlignment="0" applyProtection="0"/>
    <xf numFmtId="0" fontId="141" fillId="0" borderId="0">
      <protection locked="0"/>
    </xf>
    <xf numFmtId="0" fontId="165" fillId="0" borderId="0" applyFont="0" applyFill="0" applyBorder="0" applyAlignment="0" applyProtection="0"/>
    <xf numFmtId="200" fontId="141" fillId="0" borderId="0">
      <protection locked="0"/>
    </xf>
    <xf numFmtId="2" fontId="165" fillId="0" borderId="0" applyFont="0" applyFill="0" applyBorder="0" applyAlignment="0" applyProtection="0"/>
    <xf numFmtId="195" fontId="141" fillId="0" borderId="0">
      <protection locked="0"/>
    </xf>
    <xf numFmtId="197" fontId="142" fillId="0" borderId="0">
      <protection locked="0"/>
    </xf>
    <xf numFmtId="200" fontId="141" fillId="0" borderId="0">
      <protection locked="0"/>
    </xf>
    <xf numFmtId="0" fontId="120" fillId="76" borderId="0" applyNumberFormat="0" applyBorder="0" applyAlignment="0" applyProtection="0"/>
    <xf numFmtId="0" fontId="121" fillId="0" borderId="185" applyNumberFormat="0" applyFill="0" applyAlignment="0" applyProtection="0"/>
    <xf numFmtId="0" fontId="122" fillId="0" borderId="186" applyNumberFormat="0" applyFill="0" applyAlignment="0" applyProtection="0"/>
    <xf numFmtId="0" fontId="123" fillId="0" borderId="187" applyNumberFormat="0" applyFill="0" applyAlignment="0" applyProtection="0"/>
    <xf numFmtId="0" fontId="123" fillId="0" borderId="0" applyNumberFormat="0" applyFill="0" applyBorder="0" applyAlignment="0" applyProtection="0"/>
    <xf numFmtId="197" fontId="146" fillId="0" borderId="0">
      <protection locked="0"/>
    </xf>
    <xf numFmtId="0" fontId="143" fillId="0" borderId="0">
      <protection locked="0"/>
    </xf>
    <xf numFmtId="197" fontId="146" fillId="0" borderId="0">
      <protection locked="0"/>
    </xf>
    <xf numFmtId="0" fontId="143" fillId="0" borderId="0">
      <protection locked="0"/>
    </xf>
    <xf numFmtId="0" fontId="24" fillId="0" borderId="0" applyNumberFormat="0" applyFill="0" applyBorder="0" applyAlignment="0" applyProtection="0"/>
    <xf numFmtId="0" fontId="180"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47" fillId="75" borderId="0" applyNumberFormat="0" applyBorder="0" applyAlignment="0" applyProtection="0"/>
    <xf numFmtId="0" fontId="104" fillId="45" borderId="0" applyNumberFormat="0" applyBorder="0" applyAlignment="0" applyProtection="0"/>
    <xf numFmtId="0" fontId="147" fillId="75" borderId="0" applyNumberFormat="0" applyBorder="0" applyAlignment="0" applyProtection="0"/>
    <xf numFmtId="0" fontId="116" fillId="77" borderId="0" applyNumberFormat="0" applyBorder="0" applyAlignment="0" applyProtection="0"/>
    <xf numFmtId="0" fontId="116" fillId="75" borderId="0" applyNumberFormat="0" applyBorder="0" applyAlignment="0" applyProtection="0"/>
    <xf numFmtId="0" fontId="124" fillId="79" borderId="179" applyNumberFormat="0" applyAlignment="0" applyProtection="0"/>
    <xf numFmtId="0" fontId="125" fillId="0" borderId="182" applyNumberFormat="0" applyFill="0" applyAlignment="0" applyProtection="0"/>
    <xf numFmtId="190" fontId="4" fillId="0" borderId="0" applyFont="0" applyFill="0" applyBorder="0" applyAlignment="0" applyProtection="0"/>
    <xf numFmtId="41" fontId="112" fillId="0" borderId="0" applyFont="0" applyFill="0" applyBorder="0" applyAlignment="0" applyProtection="0"/>
    <xf numFmtId="201" fontId="4"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0" fontId="4"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41" fontId="112"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02" fontId="4" fillId="0" borderId="0" applyFont="0" applyFill="0" applyBorder="0" applyAlignment="0" applyProtection="0"/>
    <xf numFmtId="210" fontId="166" fillId="0" borderId="0" applyFont="0" applyFill="0" applyBorder="0" applyAlignment="0" applyProtection="0"/>
    <xf numFmtId="170" fontId="4"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210" fontId="166"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43" fontId="4" fillId="0" borderId="0" applyFont="0" applyFill="0" applyBorder="0" applyAlignment="0" applyProtection="0"/>
    <xf numFmtId="210" fontId="166" fillId="0" borderId="0" applyFont="0" applyFill="0" applyBorder="0" applyAlignment="0" applyProtection="0"/>
    <xf numFmtId="43" fontId="4" fillId="0" borderId="0" applyFont="0" applyFill="0" applyBorder="0" applyAlignment="0" applyProtection="0"/>
    <xf numFmtId="210" fontId="166"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0" fontId="4" fillId="0" borderId="0" applyFont="0" applyFill="0" applyBorder="0" applyAlignment="0" applyProtection="0"/>
    <xf numFmtId="43" fontId="4" fillId="0" borderId="0" applyFont="0" applyFill="0" applyBorder="0" applyAlignment="0" applyProtection="0"/>
    <xf numFmtId="210" fontId="166" fillId="0" borderId="0" applyFont="0" applyFill="0" applyBorder="0" applyAlignment="0" applyProtection="0"/>
    <xf numFmtId="0" fontId="4" fillId="0" borderId="0" applyFont="0" applyFill="0" applyBorder="0" applyAlignment="0" applyProtection="0"/>
    <xf numFmtId="43" fontId="73" fillId="0" borderId="0" applyFont="0" applyFill="0" applyBorder="0" applyAlignment="0" applyProtection="0"/>
    <xf numFmtId="203" fontId="4" fillId="0" borderId="0" applyFont="0" applyFill="0" applyBorder="0" applyAlignment="0" applyProtection="0"/>
    <xf numFmtId="210" fontId="166" fillId="0" borderId="0" applyFont="0" applyFill="0" applyBorder="0" applyAlignment="0" applyProtection="0"/>
    <xf numFmtId="43" fontId="112" fillId="0" borderId="0" applyFont="0" applyFill="0" applyBorder="0" applyAlignment="0" applyProtection="0"/>
    <xf numFmtId="43" fontId="4" fillId="0" borderId="0" applyFont="0" applyFill="0" applyBorder="0" applyAlignment="0" applyProtection="0"/>
    <xf numFmtId="191" fontId="4" fillId="0" borderId="0" applyFont="0" applyFill="0" applyBorder="0" applyAlignment="0" applyProtection="0"/>
    <xf numFmtId="43" fontId="4" fillId="0" borderId="0" applyFont="0" applyFill="0" applyBorder="0" applyAlignment="0" applyProtection="0"/>
    <xf numFmtId="210" fontId="166" fillId="0" borderId="0" applyFont="0" applyFill="0" applyBorder="0" applyAlignment="0" applyProtection="0"/>
    <xf numFmtId="43" fontId="4" fillId="0" borderId="0" applyFont="0" applyFill="0" applyBorder="0" applyAlignment="0" applyProtection="0"/>
    <xf numFmtId="210" fontId="166" fillId="0" borderId="0" applyFont="0" applyFill="0" applyBorder="0" applyAlignment="0" applyProtection="0"/>
    <xf numFmtId="191" fontId="112" fillId="0" borderId="0" applyFont="0" applyFill="0" applyBorder="0" applyAlignment="0" applyProtection="0"/>
    <xf numFmtId="210" fontId="166"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0" fontId="4"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197" fontId="4" fillId="0" borderId="0" applyFont="0" applyFill="0" applyBorder="0" applyAlignment="0" applyProtection="0"/>
    <xf numFmtId="210" fontId="166"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73"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210" fontId="166"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204"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210" fontId="16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205" fontId="4" fillId="0" borderId="0" applyFont="0" applyFill="0" applyBorder="0" applyAlignment="0" applyProtection="0"/>
    <xf numFmtId="205" fontId="4" fillId="0" borderId="0" applyFont="0" applyFill="0" applyBorder="0" applyAlignment="0" applyProtection="0"/>
    <xf numFmtId="43" fontId="112" fillId="0" borderId="0" applyFont="0" applyFill="0" applyBorder="0" applyAlignment="0" applyProtection="0"/>
    <xf numFmtId="210" fontId="166"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204" fontId="4"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210" fontId="166"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4" fillId="0" borderId="0" applyFont="0" applyFill="0" applyBorder="0" applyAlignment="0" applyProtection="0"/>
    <xf numFmtId="19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193" fontId="112" fillId="0" borderId="0" applyFont="0" applyFill="0" applyBorder="0" applyAlignment="0" applyProtection="0"/>
    <xf numFmtId="43" fontId="112" fillId="0" borderId="0" applyFont="0" applyFill="0" applyBorder="0" applyAlignment="0" applyProtection="0"/>
    <xf numFmtId="193" fontId="112" fillId="0" borderId="0" applyFont="0" applyFill="0" applyBorder="0" applyAlignment="0" applyProtection="0"/>
    <xf numFmtId="4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4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43" fontId="112" fillId="0" borderId="0" applyFont="0" applyFill="0" applyBorder="0" applyAlignment="0" applyProtection="0"/>
    <xf numFmtId="193" fontId="112" fillId="0" borderId="0" applyFont="0" applyFill="0" applyBorder="0" applyAlignment="0" applyProtection="0"/>
    <xf numFmtId="19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193" fontId="112" fillId="0" borderId="0" applyFont="0" applyFill="0" applyBorder="0" applyAlignment="0" applyProtection="0"/>
    <xf numFmtId="43" fontId="4"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210" fontId="166"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68" fillId="0" borderId="0" applyFont="0" applyFill="0" applyBorder="0" applyAlignment="0" applyProtection="0"/>
    <xf numFmtId="210" fontId="16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02" fontId="4" fillId="0" borderId="0" applyFont="0" applyFill="0" applyBorder="0" applyAlignment="0" applyProtection="0"/>
    <xf numFmtId="214" fontId="4" fillId="0" borderId="0" applyFont="0" applyFill="0" applyBorder="0" applyAlignment="0" applyProtection="0"/>
    <xf numFmtId="210" fontId="166" fillId="0" borderId="0" applyFont="0" applyFill="0" applyBorder="0" applyAlignment="0" applyProtection="0"/>
    <xf numFmtId="191" fontId="112" fillId="0" borderId="0" applyFont="0" applyFill="0" applyBorder="0" applyAlignment="0" applyProtection="0"/>
    <xf numFmtId="191" fontId="11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07" fontId="4" fillId="0" borderId="0" applyFont="0" applyFill="0" applyBorder="0" applyAlignment="0" applyProtection="0"/>
    <xf numFmtId="207" fontId="4" fillId="0" borderId="0" applyFont="0" applyFill="0" applyBorder="0" applyAlignment="0" applyProtection="0"/>
    <xf numFmtId="212" fontId="4" fillId="0" borderId="0" applyFont="0" applyFill="0" applyBorder="0" applyAlignment="0" applyProtection="0"/>
    <xf numFmtId="212" fontId="4"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207" fontId="112" fillId="0" borderId="0" applyFont="0" applyFill="0" applyBorder="0" applyAlignment="0" applyProtection="0"/>
    <xf numFmtId="196" fontId="141" fillId="0" borderId="0">
      <protection locked="0"/>
    </xf>
    <xf numFmtId="209" fontId="165" fillId="0" borderId="0" applyFont="0" applyFill="0" applyBorder="0" applyAlignment="0" applyProtection="0"/>
    <xf numFmtId="3" fontId="172" fillId="73" borderId="140">
      <alignment horizontal="center"/>
    </xf>
    <xf numFmtId="0" fontId="133"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33"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78" fillId="46" borderId="0" applyNumberFormat="0" applyBorder="0" applyAlignment="0" applyProtection="0"/>
    <xf numFmtId="0" fontId="173" fillId="87" borderId="0" applyNumberFormat="0" applyBorder="0" applyAlignment="0" applyProtection="0"/>
    <xf numFmtId="0" fontId="158" fillId="87" borderId="0" applyNumberFormat="0" applyBorder="0" applyAlignment="0" applyProtection="0"/>
    <xf numFmtId="0" fontId="133"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26" fillId="87"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8" fillId="0" borderId="0">
      <alignment wrapText="1"/>
    </xf>
    <xf numFmtId="0" fontId="4" fillId="0" borderId="0"/>
    <xf numFmtId="0" fontId="4" fillId="0" borderId="0"/>
    <xf numFmtId="0" fontId="4" fillId="0" borderId="0"/>
    <xf numFmtId="0" fontId="4" fillId="0" borderId="0"/>
    <xf numFmtId="0" fontId="4" fillId="0" borderId="0"/>
    <xf numFmtId="0" fontId="4" fillId="0" borderId="0"/>
    <xf numFmtId="0" fontId="8"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167" fillId="0" borderId="0"/>
    <xf numFmtId="0" fontId="1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2" fontId="130" fillId="0" borderId="0"/>
    <xf numFmtId="0" fontId="4" fillId="0" borderId="0"/>
    <xf numFmtId="0" fontId="4" fillId="0" borderId="0"/>
    <xf numFmtId="0" fontId="8" fillId="0" borderId="0" applyNumberFormat="0" applyFill="0" applyBorder="0" applyAlignment="0" applyProtection="0"/>
    <xf numFmtId="192" fontId="17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applyNumberFormat="0" applyFill="0" applyBorder="0" applyAlignment="0" applyProtection="0"/>
    <xf numFmtId="0" fontId="4" fillId="0" borderId="0"/>
    <xf numFmtId="0" fontId="1" fillId="0" borderId="0"/>
    <xf numFmtId="0" fontId="4" fillId="0" borderId="0"/>
    <xf numFmtId="0" fontId="132"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0" fillId="0" borderId="0"/>
    <xf numFmtId="0" fontId="4" fillId="0" borderId="0"/>
    <xf numFmtId="0" fontId="130" fillId="0" borderId="0">
      <alignment vertical="center"/>
    </xf>
    <xf numFmtId="0" fontId="4" fillId="0" borderId="0"/>
    <xf numFmtId="0" fontId="8" fillId="0" borderId="0"/>
    <xf numFmtId="0" fontId="4" fillId="0" borderId="0"/>
    <xf numFmtId="0" fontId="1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2" fillId="0" borderId="0"/>
    <xf numFmtId="0" fontId="1" fillId="0" borderId="0"/>
    <xf numFmtId="0" fontId="1" fillId="0" borderId="0"/>
    <xf numFmtId="0" fontId="1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73" fillId="0" borderId="0"/>
    <xf numFmtId="0" fontId="4" fillId="0" borderId="0"/>
    <xf numFmtId="0" fontId="29" fillId="0" borderId="0"/>
    <xf numFmtId="0" fontId="1"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4" fillId="0" borderId="0"/>
    <xf numFmtId="0" fontId="4" fillId="0" borderId="0"/>
    <xf numFmtId="0" fontId="4" fillId="0" borderId="0"/>
    <xf numFmtId="0" fontId="1" fillId="0" borderId="0"/>
    <xf numFmtId="0" fontId="112" fillId="0" borderId="0"/>
    <xf numFmtId="0" fontId="4" fillId="0" borderId="0"/>
    <xf numFmtId="0" fontId="1" fillId="0" borderId="0"/>
    <xf numFmtId="0" fontId="73" fillId="0" borderId="0"/>
    <xf numFmtId="0" fontId="4" fillId="0" borderId="0"/>
    <xf numFmtId="0" fontId="29" fillId="0" borderId="0"/>
    <xf numFmtId="0" fontId="112"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0" fontId="29" fillId="0" borderId="0"/>
    <xf numFmtId="0" fontId="1" fillId="0" borderId="0"/>
    <xf numFmtId="0" fontId="1" fillId="0" borderId="0"/>
    <xf numFmtId="0" fontId="181"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73" fillId="0" borderId="0"/>
    <xf numFmtId="0" fontId="4" fillId="0" borderId="0"/>
    <xf numFmtId="0" fontId="29" fillId="0" borderId="0"/>
    <xf numFmtId="0" fontId="1" fillId="0" borderId="0"/>
    <xf numFmtId="0" fontId="1" fillId="0" borderId="0"/>
    <xf numFmtId="0" fontId="1" fillId="0" borderId="0"/>
    <xf numFmtId="0" fontId="1" fillId="0" borderId="0"/>
    <xf numFmtId="0" fontId="1" fillId="0" borderId="0"/>
    <xf numFmtId="0" fontId="182" fillId="0" borderId="0"/>
    <xf numFmtId="0" fontId="1" fillId="0" borderId="0"/>
    <xf numFmtId="0" fontId="1" fillId="0" borderId="0"/>
    <xf numFmtId="0" fontId="8" fillId="0" borderId="0" applyNumberFormat="0" applyFill="0" applyBorder="0" applyAlignment="0" applyProtection="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182" fillId="0" borderId="0"/>
    <xf numFmtId="0" fontId="1" fillId="0" borderId="0"/>
    <xf numFmtId="0" fontId="168" fillId="0" borderId="0">
      <alignment wrapText="1"/>
    </xf>
    <xf numFmtId="0" fontId="29" fillId="0" borderId="0"/>
    <xf numFmtId="0" fontId="1" fillId="0" borderId="0"/>
    <xf numFmtId="0" fontId="4"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68" fillId="0" borderId="0">
      <alignment wrapText="1"/>
    </xf>
    <xf numFmtId="0" fontId="112" fillId="0" borderId="0" applyFill="0" applyProtection="0"/>
    <xf numFmtId="213" fontId="30" fillId="0" borderId="0"/>
    <xf numFmtId="0" fontId="112" fillId="0" borderId="0" applyFill="0" applyProtection="0"/>
    <xf numFmtId="0" fontId="112" fillId="0" borderId="0" applyFill="0" applyProtection="0"/>
    <xf numFmtId="0" fontId="112" fillId="0" borderId="0"/>
    <xf numFmtId="0" fontId="112" fillId="0" borderId="0"/>
    <xf numFmtId="0" fontId="112" fillId="0" borderId="0"/>
    <xf numFmtId="0" fontId="4" fillId="0" borderId="0"/>
    <xf numFmtId="0" fontId="4" fillId="0" borderId="0"/>
    <xf numFmtId="0" fontId="112" fillId="0" borderId="0"/>
    <xf numFmtId="0" fontId="112" fillId="0" borderId="0"/>
    <xf numFmtId="0" fontId="1" fillId="0" borderId="0"/>
    <xf numFmtId="0" fontId="4" fillId="0" borderId="0"/>
    <xf numFmtId="0" fontId="1" fillId="0" borderId="0"/>
    <xf numFmtId="0" fontId="4"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4" fillId="0" borderId="0"/>
    <xf numFmtId="0" fontId="1" fillId="0" borderId="0"/>
    <xf numFmtId="0" fontId="1" fillId="0" borderId="0"/>
    <xf numFmtId="0" fontId="1" fillId="0" borderId="0"/>
    <xf numFmtId="0" fontId="4" fillId="0" borderId="0"/>
    <xf numFmtId="0" fontId="1" fillId="0" borderId="0"/>
    <xf numFmtId="0" fontId="4" fillId="0" borderId="0"/>
    <xf numFmtId="0" fontId="4" fillId="0" borderId="0"/>
    <xf numFmtId="0" fontId="1" fillId="0" borderId="0"/>
    <xf numFmtId="0" fontId="1" fillId="0" borderId="0"/>
    <xf numFmtId="0" fontId="130" fillId="0" borderId="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112" fillId="72" borderId="17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4" fillId="82" borderId="188" applyNumberFormat="0" applyFont="0" applyAlignment="0" applyProtection="0"/>
    <xf numFmtId="0" fontId="112" fillId="82" borderId="188" applyNumberFormat="0" applyFont="0" applyAlignment="0" applyProtection="0"/>
    <xf numFmtId="0" fontId="127" fillId="86" borderId="189" applyNumberFormat="0" applyAlignment="0" applyProtection="0"/>
    <xf numFmtId="0" fontId="148" fillId="102" borderId="190">
      <alignment horizontal="center" vertical="center"/>
    </xf>
    <xf numFmtId="0" fontId="136" fillId="0" borderId="191">
      <alignment horizontal="center"/>
    </xf>
    <xf numFmtId="206" fontId="141" fillId="0" borderId="0">
      <protection locked="0"/>
    </xf>
    <xf numFmtId="9" fontId="29"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9"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66"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3" fontId="4" fillId="0" borderId="0" applyFont="0" applyFill="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66"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6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6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66"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4" fillId="0" borderId="0" applyFont="0" applyFill="0" applyBorder="0" applyAlignment="0" applyProtection="0"/>
    <xf numFmtId="3" fontId="165" fillId="0" borderId="0" applyFont="0" applyFill="0" applyBorder="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49"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59" fillId="97" borderId="192" applyNumberFormat="0" applyAlignment="0" applyProtection="0"/>
    <xf numFmtId="0" fontId="159" fillId="97" borderId="192" applyNumberFormat="0" applyAlignment="0" applyProtection="0"/>
    <xf numFmtId="0" fontId="159" fillId="97" borderId="192" applyNumberFormat="0" applyAlignment="0" applyProtection="0"/>
    <xf numFmtId="0" fontId="159" fillId="97" borderId="192" applyNumberFormat="0" applyAlignment="0" applyProtection="0"/>
    <xf numFmtId="0" fontId="159" fillId="97" borderId="192" applyNumberFormat="0" applyAlignment="0" applyProtection="0"/>
    <xf numFmtId="0" fontId="159" fillId="97" borderId="192"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06" fillId="48" borderId="174" applyNumberFormat="0" applyAlignment="0" applyProtection="0"/>
    <xf numFmtId="0" fontId="159" fillId="97" borderId="192" applyNumberFormat="0" applyAlignment="0" applyProtection="0"/>
    <xf numFmtId="0" fontId="159" fillId="97" borderId="192" applyNumberFormat="0" applyAlignment="0" applyProtection="0"/>
    <xf numFmtId="0" fontId="159" fillId="97" borderId="192" applyNumberFormat="0" applyAlignment="0" applyProtection="0"/>
    <xf numFmtId="0" fontId="149"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0" fontId="127" fillId="86" borderId="189" applyNumberFormat="0" applyAlignment="0" applyProtection="0"/>
    <xf numFmtId="3" fontId="170" fillId="103" borderId="0">
      <alignment horizontal="left"/>
    </xf>
    <xf numFmtId="0" fontId="4" fillId="0" borderId="0"/>
    <xf numFmtId="3" fontId="169" fillId="103" borderId="0">
      <alignment horizontal="left"/>
    </xf>
    <xf numFmtId="0" fontId="150" fillId="0" borderId="0" applyNumberFormat="0" applyFill="0" applyBorder="0" applyAlignment="0" applyProtection="0"/>
    <xf numFmtId="0" fontId="22" fillId="0" borderId="0" applyNumberFormat="0" applyFill="0" applyBorder="0" applyAlignment="0" applyProtection="0"/>
    <xf numFmtId="0" fontId="150" fillId="0" borderId="0" applyNumberFormat="0" applyFill="0" applyBorder="0" applyAlignment="0" applyProtection="0"/>
    <xf numFmtId="0" fontId="129" fillId="0" borderId="0" applyNumberFormat="0" applyFill="0" applyBorder="0" applyAlignment="0" applyProtection="0"/>
    <xf numFmtId="0" fontId="151" fillId="0" borderId="0" applyNumberFormat="0" applyFill="0" applyBorder="0" applyAlignment="0" applyProtection="0"/>
    <xf numFmtId="0" fontId="110" fillId="0" borderId="0" applyNumberFormat="0" applyFill="0" applyBorder="0" applyAlignment="0" applyProtection="0"/>
    <xf numFmtId="0" fontId="151" fillId="0" borderId="0" applyNumberFormat="0" applyFill="0" applyBorder="0" applyAlignment="0" applyProtection="0"/>
    <xf numFmtId="0" fontId="119" fillId="0" borderId="0" applyNumberFormat="0" applyFill="0" applyBorder="0" applyAlignment="0" applyProtection="0"/>
    <xf numFmtId="0" fontId="128" fillId="0" borderId="0" applyNumberFormat="0" applyFill="0" applyBorder="0" applyAlignment="0" applyProtection="0"/>
    <xf numFmtId="3" fontId="175" fillId="103" borderId="0">
      <alignment horizontal="center"/>
    </xf>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52"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00" fillId="0" borderId="170" applyNumberFormat="0" applyFill="0" applyAlignment="0" applyProtection="0"/>
    <xf numFmtId="0" fontId="176" fillId="0" borderId="193" applyNumberFormat="0" applyFill="0" applyAlignment="0" applyProtection="0"/>
    <xf numFmtId="0" fontId="161" fillId="0" borderId="194" applyNumberFormat="0" applyFill="0" applyAlignment="0" applyProtection="0"/>
    <xf numFmtId="0" fontId="152"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1" fillId="0" borderId="185" applyNumberFormat="0" applyFill="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53"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01" fillId="0" borderId="171" applyNumberFormat="0" applyFill="0" applyAlignment="0" applyProtection="0"/>
    <xf numFmtId="0" fontId="177" fillId="0" borderId="195" applyNumberFormat="0" applyFill="0" applyAlignment="0" applyProtection="0"/>
    <xf numFmtId="0" fontId="162" fillId="0" borderId="186" applyNumberFormat="0" applyFill="0" applyAlignment="0" applyProtection="0"/>
    <xf numFmtId="0" fontId="153"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2" fillId="0" borderId="186" applyNumberFormat="0" applyFill="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79" fillId="0" borderId="0" applyNumberFormat="0" applyFill="0" applyBorder="0" applyAlignment="0" applyProtection="0"/>
    <xf numFmtId="0" fontId="178" fillId="0" borderId="0" applyNumberFormat="0" applyFill="0" applyBorder="0" applyAlignment="0" applyProtection="0"/>
    <xf numFmtId="0" fontId="160" fillId="0" borderId="0" applyNumberFormat="0" applyFill="0" applyBorder="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44"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56" fillId="0" borderId="196"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02" fillId="0" borderId="172" applyNumberFormat="0" applyFill="0" applyAlignment="0" applyProtection="0"/>
    <xf numFmtId="0" fontId="159" fillId="0" borderId="197" applyNumberFormat="0" applyFill="0" applyAlignment="0" applyProtection="0"/>
    <xf numFmtId="0" fontId="159" fillId="0" borderId="197" applyNumberFormat="0" applyFill="0" applyAlignment="0" applyProtection="0"/>
    <xf numFmtId="0" fontId="159" fillId="0" borderId="197" applyNumberFormat="0" applyFill="0" applyAlignment="0" applyProtection="0"/>
    <xf numFmtId="0" fontId="156" fillId="0" borderId="196" applyNumberFormat="0" applyFill="0" applyAlignment="0" applyProtection="0"/>
    <xf numFmtId="0" fontId="144"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3" fillId="0" borderId="187" applyNumberFormat="0" applyFill="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0" fontId="128" fillId="0" borderId="0" applyNumberFormat="0" applyFill="0" applyBorder="0" applyAlignment="0" applyProtection="0"/>
    <xf numFmtId="3" fontId="172" fillId="12" borderId="140">
      <alignment horizontal="center" vertical="center"/>
    </xf>
    <xf numFmtId="3" fontId="179" fillId="103" borderId="0">
      <alignment horizontal="left"/>
    </xf>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34" fillId="0" borderId="198" applyNumberFormat="0" applyFill="0" applyAlignment="0" applyProtection="0"/>
    <xf numFmtId="0" fontId="134"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2" fillId="0" borderId="177"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11" fillId="0" borderId="199" applyNumberFormat="0" applyFill="0" applyAlignment="0" applyProtection="0"/>
    <xf numFmtId="0" fontId="134"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11" fillId="0" borderId="19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3" fillId="0" borderId="0" applyBorder="0"/>
    <xf numFmtId="43" fontId="63" fillId="0" borderId="0" applyFont="0" applyFill="0" applyBorder="0" applyAlignment="0" applyProtection="0"/>
    <xf numFmtId="43" fontId="1"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0" fontId="74" fillId="0" borderId="0"/>
    <xf numFmtId="43" fontId="7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38" borderId="0" applyNumberFormat="0" applyBorder="0" applyAlignment="0" applyProtection="0"/>
    <xf numFmtId="43" fontId="1" fillId="0" borderId="0" applyFont="0" applyFill="0" applyBorder="0" applyAlignment="0" applyProtection="0"/>
    <xf numFmtId="0" fontId="74" fillId="0" borderId="0"/>
    <xf numFmtId="43" fontId="4" fillId="0" borderId="0" applyFont="0" applyFill="0" applyBorder="0" applyAlignment="0" applyProtection="0"/>
    <xf numFmtId="189" fontId="4" fillId="0" borderId="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4" fillId="0" borderId="0" applyFont="0" applyFill="0" applyBorder="0" applyAlignment="0" applyProtection="0"/>
    <xf numFmtId="0" fontId="1" fillId="38" borderId="0" applyNumberFormat="0" applyBorder="0" applyAlignment="0" applyProtection="0"/>
    <xf numFmtId="43" fontId="74" fillId="0" borderId="0" applyFont="0" applyFill="0" applyBorder="0" applyAlignment="0" applyProtection="0"/>
    <xf numFmtId="0" fontId="1" fillId="0" borderId="0"/>
    <xf numFmtId="9"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7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3" fillId="0" borderId="0" applyFont="0" applyFill="0" applyBorder="0" applyAlignment="0" applyProtection="0"/>
    <xf numFmtId="0" fontId="1" fillId="0" borderId="0"/>
    <xf numFmtId="43" fontId="63" fillId="0" borderId="0" applyFont="0" applyFill="0" applyBorder="0" applyAlignment="0" applyProtection="0"/>
    <xf numFmtId="43" fontId="63"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43" fontId="63" fillId="0" borderId="0" applyFont="0" applyFill="0" applyBorder="0" applyAlignment="0" applyProtection="0"/>
    <xf numFmtId="0" fontId="1" fillId="0" borderId="0"/>
    <xf numFmtId="43" fontId="4" fillId="0" borderId="0" applyFont="0" applyFill="0" applyBorder="0" applyAlignment="0" applyProtection="0"/>
  </cellStyleXfs>
  <cellXfs count="781">
    <xf numFmtId="0" fontId="0" fillId="0" borderId="0" xfId="0"/>
    <xf numFmtId="0" fontId="30" fillId="0" borderId="0" xfId="0" applyFont="1" applyAlignment="1">
      <alignment vertical="center"/>
    </xf>
    <xf numFmtId="1" fontId="0" fillId="0" borderId="0" xfId="0" applyNumberFormat="1"/>
    <xf numFmtId="0" fontId="0" fillId="0" borderId="0" xfId="0" applyAlignment="1">
      <alignment horizontal="center" vertical="center"/>
    </xf>
    <xf numFmtId="9" fontId="0" fillId="0" borderId="0" xfId="2" applyFont="1" applyBorder="1"/>
    <xf numFmtId="2" fontId="0" fillId="0" borderId="0" xfId="0" applyNumberFormat="1"/>
    <xf numFmtId="167" fontId="0" fillId="0" borderId="0" xfId="0" applyNumberFormat="1"/>
    <xf numFmtId="9" fontId="0" fillId="0" borderId="0" xfId="0" applyNumberFormat="1"/>
    <xf numFmtId="164" fontId="0" fillId="0" borderId="0" xfId="0" applyNumberFormat="1"/>
    <xf numFmtId="165" fontId="0" fillId="0" borderId="0" xfId="0" applyNumberFormat="1"/>
    <xf numFmtId="168" fontId="0" fillId="0" borderId="0" xfId="0" applyNumberFormat="1"/>
    <xf numFmtId="3" fontId="8" fillId="0" borderId="0" xfId="0" applyNumberFormat="1" applyFont="1"/>
    <xf numFmtId="0" fontId="8" fillId="0" borderId="0" xfId="0" applyFont="1"/>
    <xf numFmtId="9" fontId="12" fillId="0" borderId="0" xfId="0" applyNumberFormat="1" applyFont="1"/>
    <xf numFmtId="0" fontId="0" fillId="0" borderId="4" xfId="0" applyBorder="1"/>
    <xf numFmtId="0" fontId="0" fillId="0" borderId="3" xfId="0" applyBorder="1"/>
    <xf numFmtId="9" fontId="12" fillId="0" borderId="3" xfId="0" applyNumberFormat="1" applyFont="1" applyBorder="1"/>
    <xf numFmtId="4" fontId="0" fillId="0" borderId="0" xfId="0" applyNumberFormat="1"/>
    <xf numFmtId="0" fontId="13" fillId="0" borderId="0" xfId="0" applyFont="1"/>
    <xf numFmtId="0" fontId="0" fillId="17" borderId="0" xfId="0" applyFill="1"/>
    <xf numFmtId="0" fontId="17" fillId="17" borderId="0" xfId="0" applyFont="1" applyFill="1"/>
    <xf numFmtId="169" fontId="14" fillId="15" borderId="0" xfId="3" applyNumberFormat="1"/>
    <xf numFmtId="169" fontId="0" fillId="0" borderId="0" xfId="0" applyNumberFormat="1"/>
    <xf numFmtId="0" fontId="1" fillId="0" borderId="0" xfId="0" applyFont="1" applyAlignment="1">
      <alignment vertical="center"/>
    </xf>
    <xf numFmtId="0" fontId="15" fillId="18" borderId="6" xfId="0" applyFont="1" applyFill="1" applyBorder="1" applyAlignment="1">
      <alignment vertical="center"/>
    </xf>
    <xf numFmtId="0" fontId="15" fillId="18" borderId="6" xfId="0" applyFont="1" applyFill="1" applyBorder="1" applyAlignment="1">
      <alignment horizontal="center" vertical="center"/>
    </xf>
    <xf numFmtId="0" fontId="15" fillId="18" borderId="6" xfId="0" applyFont="1" applyFill="1" applyBorder="1" applyAlignment="1">
      <alignment horizontal="left" vertical="center"/>
    </xf>
    <xf numFmtId="170" fontId="0" fillId="0" borderId="0" xfId="0" applyNumberFormat="1"/>
    <xf numFmtId="170" fontId="0" fillId="0" borderId="0" xfId="2" applyNumberFormat="1" applyFont="1" applyBorder="1"/>
    <xf numFmtId="10" fontId="0" fillId="0" borderId="0" xfId="2" applyNumberFormat="1" applyFont="1"/>
    <xf numFmtId="165" fontId="0" fillId="0" borderId="0" xfId="1" applyNumberFormat="1" applyFont="1"/>
    <xf numFmtId="165" fontId="0" fillId="0" borderId="0" xfId="1" applyNumberFormat="1" applyFont="1" applyBorder="1"/>
    <xf numFmtId="171" fontId="0" fillId="0" borderId="0" xfId="0" applyNumberFormat="1"/>
    <xf numFmtId="0" fontId="0" fillId="0" borderId="0" xfId="0" applyAlignment="1">
      <alignment horizontal="right"/>
    </xf>
    <xf numFmtId="169" fontId="0" fillId="0" borderId="0" xfId="0" applyNumberFormat="1" applyAlignment="1">
      <alignment vertical="center"/>
    </xf>
    <xf numFmtId="0" fontId="15" fillId="16" borderId="38" xfId="0" applyFont="1" applyFill="1" applyBorder="1" applyAlignment="1">
      <alignment vertical="center"/>
    </xf>
    <xf numFmtId="0" fontId="0" fillId="19" borderId="0" xfId="0" applyFill="1"/>
    <xf numFmtId="0" fontId="0" fillId="0" borderId="0" xfId="0" applyAlignment="1">
      <alignment vertical="center"/>
    </xf>
    <xf numFmtId="38" fontId="10" fillId="0" borderId="0" xfId="0" applyNumberFormat="1" applyFont="1"/>
    <xf numFmtId="38" fontId="31" fillId="7" borderId="0" xfId="0" applyNumberFormat="1" applyFont="1" applyFill="1"/>
    <xf numFmtId="38" fontId="32" fillId="7" borderId="0" xfId="0" applyNumberFormat="1" applyFont="1" applyFill="1"/>
    <xf numFmtId="38" fontId="33" fillId="7" borderId="0" xfId="0" applyNumberFormat="1" applyFont="1" applyFill="1"/>
    <xf numFmtId="38" fontId="11" fillId="0" borderId="0" xfId="0" applyNumberFormat="1" applyFont="1"/>
    <xf numFmtId="38" fontId="10" fillId="0" borderId="0" xfId="0" applyNumberFormat="1" applyFont="1" applyAlignment="1">
      <alignment horizontal="left"/>
    </xf>
    <xf numFmtId="38" fontId="11" fillId="0" borderId="0" xfId="0" applyNumberFormat="1" applyFont="1" applyAlignment="1">
      <alignment horizontal="center"/>
    </xf>
    <xf numFmtId="38" fontId="10" fillId="0" borderId="0" xfId="0" applyNumberFormat="1" applyFont="1" applyAlignment="1">
      <alignment horizontal="center"/>
    </xf>
    <xf numFmtId="0" fontId="34" fillId="25" borderId="134" xfId="0" applyFont="1" applyFill="1" applyBorder="1" applyAlignment="1">
      <alignment vertical="center"/>
    </xf>
    <xf numFmtId="0" fontId="34" fillId="25" borderId="142" xfId="0" applyFont="1" applyFill="1" applyBorder="1" applyAlignment="1">
      <alignment vertical="center"/>
    </xf>
    <xf numFmtId="0" fontId="1" fillId="0" borderId="0" xfId="0" applyFont="1"/>
    <xf numFmtId="0" fontId="16" fillId="0" borderId="107" xfId="0" applyFont="1" applyBorder="1" applyAlignment="1">
      <alignment vertical="center"/>
    </xf>
    <xf numFmtId="0" fontId="16" fillId="0" borderId="22" xfId="0" applyFont="1" applyBorder="1" applyAlignment="1">
      <alignment vertical="center"/>
    </xf>
    <xf numFmtId="0" fontId="16" fillId="0" borderId="136" xfId="0" applyFont="1" applyBorder="1" applyAlignment="1">
      <alignment vertical="center"/>
    </xf>
    <xf numFmtId="0" fontId="2" fillId="0" borderId="0" xfId="0" applyFont="1"/>
    <xf numFmtId="0" fontId="21" fillId="0" borderId="0" xfId="0" applyFont="1"/>
    <xf numFmtId="0" fontId="34" fillId="8" borderId="108" xfId="0" applyFont="1" applyFill="1" applyBorder="1" applyAlignment="1">
      <alignment vertical="center"/>
    </xf>
    <xf numFmtId="0" fontId="34" fillId="8" borderId="137" xfId="0" applyFont="1" applyFill="1" applyBorder="1" applyAlignment="1">
      <alignment vertical="center"/>
    </xf>
    <xf numFmtId="0" fontId="2" fillId="0" borderId="107" xfId="0" applyFont="1" applyBorder="1"/>
    <xf numFmtId="0" fontId="2" fillId="0" borderId="22" xfId="0" applyFont="1" applyBorder="1"/>
    <xf numFmtId="0" fontId="1" fillId="0" borderId="2" xfId="0" applyFont="1" applyBorder="1"/>
    <xf numFmtId="0" fontId="2" fillId="0" borderId="136" xfId="0" applyFont="1" applyBorder="1"/>
    <xf numFmtId="0" fontId="1" fillId="0" borderId="139" xfId="0" applyFont="1" applyBorder="1" applyAlignment="1">
      <alignment horizontal="left"/>
    </xf>
    <xf numFmtId="0" fontId="0" fillId="0" borderId="137" xfId="0" applyBorder="1"/>
    <xf numFmtId="0" fontId="1" fillId="0" borderId="107" xfId="0" applyFont="1" applyBorder="1"/>
    <xf numFmtId="0" fontId="21" fillId="17" borderId="22" xfId="0" applyFont="1" applyFill="1" applyBorder="1"/>
    <xf numFmtId="0" fontId="21" fillId="27" borderId="22" xfId="0" applyFont="1" applyFill="1" applyBorder="1"/>
    <xf numFmtId="0" fontId="21" fillId="26" borderId="22" xfId="0" applyFont="1" applyFill="1" applyBorder="1"/>
    <xf numFmtId="0" fontId="21" fillId="14" borderId="22" xfId="0" applyFont="1" applyFill="1" applyBorder="1"/>
    <xf numFmtId="0" fontId="21" fillId="29" borderId="22" xfId="0" applyFont="1" applyFill="1" applyBorder="1"/>
    <xf numFmtId="0" fontId="21" fillId="28" borderId="136" xfId="0" applyFont="1" applyFill="1" applyBorder="1"/>
    <xf numFmtId="0" fontId="0" fillId="0" borderId="107" xfId="0" applyBorder="1"/>
    <xf numFmtId="0" fontId="0" fillId="0" borderId="22" xfId="0" applyBorder="1"/>
    <xf numFmtId="0" fontId="0" fillId="0" borderId="136" xfId="0" applyBorder="1"/>
    <xf numFmtId="0" fontId="15" fillId="0" borderId="108" xfId="0" applyFont="1" applyBorder="1" applyAlignment="1">
      <alignment vertical="center"/>
    </xf>
    <xf numFmtId="0" fontId="15" fillId="0" borderId="137" xfId="0" applyFont="1" applyBorder="1" applyAlignment="1">
      <alignment vertical="center"/>
    </xf>
    <xf numFmtId="0" fontId="16" fillId="0" borderId="137" xfId="0" applyFont="1" applyBorder="1" applyAlignment="1">
      <alignment vertical="center"/>
    </xf>
    <xf numFmtId="0" fontId="16" fillId="0" borderId="2" xfId="0" applyFont="1" applyBorder="1" applyAlignment="1">
      <alignment vertical="center"/>
    </xf>
    <xf numFmtId="0" fontId="16" fillId="0" borderId="139" xfId="0" applyFont="1" applyBorder="1" applyAlignment="1">
      <alignment vertical="center"/>
    </xf>
    <xf numFmtId="0" fontId="35" fillId="0" borderId="0" xfId="0" applyFont="1"/>
    <xf numFmtId="0" fontId="19" fillId="0" borderId="0" xfId="0" applyFont="1"/>
    <xf numFmtId="0" fontId="0" fillId="0" borderId="140" xfId="0" applyBorder="1"/>
    <xf numFmtId="0" fontId="2" fillId="23" borderId="140" xfId="0" applyFont="1" applyFill="1" applyBorder="1" applyAlignment="1" applyProtection="1">
      <alignment horizontal="right" vertical="center"/>
      <protection locked="0"/>
    </xf>
    <xf numFmtId="0" fontId="2" fillId="23" borderId="140" xfId="0" applyFont="1" applyFill="1" applyBorder="1" applyAlignment="1" applyProtection="1">
      <alignment horizontal="center" vertical="center"/>
      <protection locked="0"/>
    </xf>
    <xf numFmtId="0" fontId="2" fillId="23" borderId="140" xfId="0" applyFont="1" applyFill="1" applyBorder="1" applyAlignment="1" applyProtection="1">
      <alignment horizontal="left" vertical="center"/>
      <protection locked="0"/>
    </xf>
    <xf numFmtId="3" fontId="0" fillId="0" borderId="0" xfId="0" applyNumberFormat="1"/>
    <xf numFmtId="0" fontId="2" fillId="0" borderId="140" xfId="0" applyFont="1" applyBorder="1"/>
    <xf numFmtId="0" fontId="8" fillId="0" borderId="0" xfId="0" applyFont="1" applyAlignment="1">
      <alignment horizontal="right"/>
    </xf>
    <xf numFmtId="9" fontId="0" fillId="0" borderId="0" xfId="2" applyFont="1"/>
    <xf numFmtId="38" fontId="0" fillId="0" borderId="0" xfId="0" applyNumberFormat="1"/>
    <xf numFmtId="38" fontId="10" fillId="30" borderId="0" xfId="0" applyNumberFormat="1" applyFont="1" applyFill="1" applyAlignment="1">
      <alignment horizontal="left"/>
    </xf>
    <xf numFmtId="38" fontId="0" fillId="12" borderId="0" xfId="0" applyNumberFormat="1" applyFill="1"/>
    <xf numFmtId="0" fontId="0" fillId="0" borderId="146" xfId="0" applyBorder="1"/>
    <xf numFmtId="0" fontId="0" fillId="0" borderId="146" xfId="0" applyBorder="1" applyAlignment="1">
      <alignment horizontal="center" vertical="center"/>
    </xf>
    <xf numFmtId="0" fontId="2" fillId="0" borderId="146" xfId="0" applyFont="1" applyBorder="1" applyAlignment="1">
      <alignment horizontal="center" vertical="center"/>
    </xf>
    <xf numFmtId="170" fontId="0" fillId="0" borderId="0" xfId="2" applyNumberFormat="1" applyFont="1"/>
    <xf numFmtId="0" fontId="24" fillId="0" borderId="0" xfId="4"/>
    <xf numFmtId="0" fontId="0" fillId="0" borderId="2" xfId="0" applyBorder="1"/>
    <xf numFmtId="165" fontId="0" fillId="0" borderId="0" xfId="0" applyNumberFormat="1" applyAlignment="1">
      <alignment horizontal="right"/>
    </xf>
    <xf numFmtId="170" fontId="0" fillId="0" borderId="140" xfId="2" applyNumberFormat="1" applyFont="1" applyBorder="1"/>
    <xf numFmtId="166" fontId="0" fillId="0" borderId="0" xfId="0" applyNumberFormat="1"/>
    <xf numFmtId="165" fontId="2" fillId="0" borderId="140" xfId="1" applyNumberFormat="1" applyFont="1" applyBorder="1"/>
    <xf numFmtId="165" fontId="2" fillId="0" borderId="140" xfId="0" applyNumberFormat="1" applyFont="1" applyBorder="1"/>
    <xf numFmtId="0" fontId="28" fillId="0" borderId="0" xfId="0" applyFont="1"/>
    <xf numFmtId="9" fontId="0" fillId="0" borderId="140" xfId="2" applyFont="1" applyBorder="1"/>
    <xf numFmtId="0" fontId="0" fillId="0" borderId="0" xfId="0" applyAlignment="1">
      <alignment horizontal="left" vertical="center"/>
    </xf>
    <xf numFmtId="9" fontId="0" fillId="0" borderId="140" xfId="0" applyNumberFormat="1" applyBorder="1"/>
    <xf numFmtId="0" fontId="2" fillId="0" borderId="0" xfId="0" applyFont="1" applyAlignment="1" applyProtection="1">
      <alignment horizontal="left" vertical="center"/>
      <protection locked="0"/>
    </xf>
    <xf numFmtId="0" fontId="2" fillId="23" borderId="0" xfId="0" applyFont="1" applyFill="1" applyAlignment="1" applyProtection="1">
      <alignment horizontal="right" vertical="center"/>
      <protection locked="0"/>
    </xf>
    <xf numFmtId="0" fontId="2" fillId="0" borderId="140" xfId="0" applyFont="1" applyBorder="1" applyAlignment="1">
      <alignment horizontal="center"/>
    </xf>
    <xf numFmtId="0" fontId="0" fillId="0" borderId="0" xfId="0" applyAlignment="1">
      <alignment horizontal="left"/>
    </xf>
    <xf numFmtId="10" fontId="0" fillId="0" borderId="146" xfId="2" applyNumberFormat="1" applyFont="1" applyBorder="1" applyAlignment="1">
      <alignment horizontal="center" vertical="center"/>
    </xf>
    <xf numFmtId="2" fontId="2" fillId="0" borderId="146" xfId="0" applyNumberFormat="1" applyFont="1" applyBorder="1" applyAlignment="1">
      <alignment horizontal="center" vertical="center"/>
    </xf>
    <xf numFmtId="0" fontId="2" fillId="0" borderId="146" xfId="0" applyFont="1" applyBorder="1" applyAlignment="1">
      <alignment horizontal="center" vertical="center" wrapText="1"/>
    </xf>
    <xf numFmtId="2" fontId="0" fillId="0" borderId="146" xfId="0" applyNumberFormat="1" applyBorder="1" applyAlignment="1">
      <alignment horizontal="center" vertical="center"/>
    </xf>
    <xf numFmtId="0" fontId="2" fillId="23" borderId="146" xfId="0" applyFont="1" applyFill="1" applyBorder="1" applyAlignment="1">
      <alignment horizontal="center" vertical="center"/>
    </xf>
    <xf numFmtId="0" fontId="0" fillId="0" borderId="136" xfId="0" applyBorder="1" applyAlignment="1">
      <alignment horizontal="center" vertical="center"/>
    </xf>
    <xf numFmtId="0" fontId="0" fillId="0" borderId="136" xfId="0" applyBorder="1" applyAlignment="1">
      <alignment horizontal="center" vertical="center" wrapText="1"/>
    </xf>
    <xf numFmtId="0" fontId="2" fillId="23" borderId="140" xfId="0" applyFont="1" applyFill="1" applyBorder="1" applyAlignment="1">
      <alignment horizontal="center" vertical="center"/>
    </xf>
    <xf numFmtId="0" fontId="2" fillId="23" borderId="145" xfId="0" applyFont="1" applyFill="1" applyBorder="1" applyAlignment="1">
      <alignment horizontal="center" vertical="center"/>
    </xf>
    <xf numFmtId="0" fontId="2" fillId="23" borderId="134" xfId="0" applyFont="1" applyFill="1" applyBorder="1" applyAlignment="1">
      <alignment horizontal="center" vertical="center"/>
    </xf>
    <xf numFmtId="0" fontId="2" fillId="23" borderId="142" xfId="0" applyFont="1" applyFill="1" applyBorder="1" applyAlignment="1">
      <alignment horizontal="center" vertical="center"/>
    </xf>
    <xf numFmtId="0" fontId="2" fillId="23" borderId="138" xfId="0" applyFont="1" applyFill="1" applyBorder="1" applyAlignment="1">
      <alignment horizontal="center" vertical="center"/>
    </xf>
    <xf numFmtId="0" fontId="2" fillId="23" borderId="139" xfId="0" applyFont="1" applyFill="1" applyBorder="1" applyAlignment="1">
      <alignment horizontal="center" vertical="center"/>
    </xf>
    <xf numFmtId="0" fontId="2" fillId="0" borderId="0" xfId="0" applyFont="1" applyAlignment="1">
      <alignment vertical="center"/>
    </xf>
    <xf numFmtId="0" fontId="15" fillId="16" borderId="145" xfId="0" applyFont="1" applyFill="1" applyBorder="1" applyAlignment="1">
      <alignment vertical="center"/>
    </xf>
    <xf numFmtId="0" fontId="0" fillId="0" borderId="140" xfId="0" applyBorder="1" applyAlignment="1">
      <alignment vertical="center"/>
    </xf>
    <xf numFmtId="0" fontId="0" fillId="0" borderId="41" xfId="0" applyBorder="1"/>
    <xf numFmtId="0" fontId="0" fillId="0" borderId="41" xfId="0" applyBorder="1" applyAlignment="1">
      <alignment vertical="center"/>
    </xf>
    <xf numFmtId="0" fontId="37" fillId="0" borderId="0" xfId="0" applyFont="1" applyAlignment="1">
      <alignment horizontal="left"/>
    </xf>
    <xf numFmtId="4" fontId="38" fillId="0" borderId="0" xfId="0" applyNumberFormat="1" applyFont="1"/>
    <xf numFmtId="0" fontId="37" fillId="0" borderId="146" xfId="0" applyFont="1" applyBorder="1" applyAlignment="1">
      <alignment horizontal="center"/>
    </xf>
    <xf numFmtId="0" fontId="39" fillId="0" borderId="146" xfId="0" applyFont="1" applyBorder="1" applyAlignment="1">
      <alignment horizontal="center" vertical="center"/>
    </xf>
    <xf numFmtId="0" fontId="29" fillId="0" borderId="146" xfId="0" applyFont="1" applyBorder="1" applyAlignment="1">
      <alignment horizontal="center" vertical="center"/>
    </xf>
    <xf numFmtId="3" fontId="38" fillId="0" borderId="146" xfId="0" applyNumberFormat="1" applyFont="1" applyBorder="1" applyAlignment="1">
      <alignment horizontal="center" vertical="center"/>
    </xf>
    <xf numFmtId="0" fontId="38" fillId="0" borderId="146" xfId="0" applyFont="1" applyBorder="1" applyAlignment="1">
      <alignment horizontal="center"/>
    </xf>
    <xf numFmtId="3" fontId="38" fillId="0" borderId="146" xfId="0" applyNumberFormat="1" applyFont="1" applyBorder="1" applyAlignment="1">
      <alignment horizontal="center"/>
    </xf>
    <xf numFmtId="0" fontId="40" fillId="0" borderId="148" xfId="0" applyFont="1" applyBorder="1" applyAlignment="1">
      <alignment horizontal="left"/>
    </xf>
    <xf numFmtId="10" fontId="38" fillId="0" borderId="146" xfId="2" applyNumberFormat="1" applyFont="1" applyBorder="1" applyAlignment="1">
      <alignment horizontal="center" vertical="center"/>
    </xf>
    <xf numFmtId="0" fontId="41" fillId="0" borderId="0" xfId="0" applyFont="1"/>
    <xf numFmtId="165" fontId="2" fillId="0" borderId="0" xfId="1" applyNumberFormat="1" applyFont="1" applyBorder="1"/>
    <xf numFmtId="0" fontId="8" fillId="0" borderId="140" xfId="0" applyFont="1" applyBorder="1"/>
    <xf numFmtId="0" fontId="24" fillId="0" borderId="0" xfId="4" applyAlignment="1">
      <alignment horizontal="left" vertical="center" wrapText="1" indent="1"/>
    </xf>
    <xf numFmtId="0" fontId="14" fillId="15" borderId="0" xfId="3"/>
    <xf numFmtId="0" fontId="28" fillId="6" borderId="0" xfId="0" applyFont="1" applyFill="1"/>
    <xf numFmtId="0" fontId="2" fillId="6" borderId="0" xfId="0" applyFont="1" applyFill="1"/>
    <xf numFmtId="1" fontId="15" fillId="10" borderId="38" xfId="0" applyNumberFormat="1" applyFont="1" applyFill="1" applyBorder="1" applyAlignment="1">
      <alignment horizontal="right" vertical="center"/>
    </xf>
    <xf numFmtId="0" fontId="0" fillId="0" borderId="140" xfId="0" applyBorder="1" applyAlignment="1">
      <alignment horizontal="right"/>
    </xf>
    <xf numFmtId="1" fontId="15" fillId="10" borderId="38" xfId="0" applyNumberFormat="1" applyFont="1" applyFill="1" applyBorder="1" applyAlignment="1">
      <alignment vertical="center"/>
    </xf>
    <xf numFmtId="0" fontId="22" fillId="0" borderId="0" xfId="0" applyFont="1"/>
    <xf numFmtId="165" fontId="0" fillId="0" borderId="0" xfId="1" applyNumberFormat="1" applyFont="1" applyAlignment="1">
      <alignment horizontal="right" vertical="center"/>
    </xf>
    <xf numFmtId="0" fontId="2" fillId="0" borderId="0" xfId="0" applyFont="1" applyAlignment="1">
      <alignment horizontal="left"/>
    </xf>
    <xf numFmtId="165" fontId="2" fillId="0" borderId="0" xfId="0" applyNumberFormat="1" applyFont="1"/>
    <xf numFmtId="9" fontId="0" fillId="0" borderId="140" xfId="2" applyFont="1" applyBorder="1" applyAlignment="1">
      <alignment horizontal="right"/>
    </xf>
    <xf numFmtId="0" fontId="22" fillId="0" borderId="0" xfId="0" applyFont="1" applyAlignment="1">
      <alignment horizontal="left"/>
    </xf>
    <xf numFmtId="165" fontId="0" fillId="0" borderId="0" xfId="1" applyNumberFormat="1" applyFont="1" applyAlignment="1">
      <alignment horizontal="right"/>
    </xf>
    <xf numFmtId="166" fontId="2" fillId="0" borderId="0" xfId="0" applyNumberFormat="1" applyFont="1" applyAlignment="1">
      <alignment horizontal="left" vertical="center"/>
    </xf>
    <xf numFmtId="0" fontId="2" fillId="6" borderId="0" xfId="0" applyFont="1" applyFill="1" applyAlignment="1">
      <alignment wrapText="1"/>
    </xf>
    <xf numFmtId="0" fontId="36" fillId="0" borderId="0" xfId="0" applyFont="1"/>
    <xf numFmtId="0" fontId="19" fillId="0" borderId="145" xfId="0" applyFont="1" applyBorder="1"/>
    <xf numFmtId="0" fontId="19" fillId="0" borderId="4" xfId="0" applyFont="1" applyBorder="1" applyAlignment="1">
      <alignment vertical="center"/>
    </xf>
    <xf numFmtId="2" fontId="19" fillId="0" borderId="0" xfId="0" applyNumberFormat="1" applyFont="1" applyAlignment="1">
      <alignment horizontal="right"/>
    </xf>
    <xf numFmtId="0" fontId="19" fillId="0" borderId="0" xfId="0" applyFont="1" applyAlignment="1">
      <alignment horizontal="right"/>
    </xf>
    <xf numFmtId="0" fontId="19" fillId="0" borderId="0" xfId="0" applyFont="1" applyAlignment="1">
      <alignment horizontal="left" indent="1"/>
    </xf>
    <xf numFmtId="3" fontId="19" fillId="0" borderId="0" xfId="0" applyNumberFormat="1" applyFont="1"/>
    <xf numFmtId="3" fontId="19" fillId="0" borderId="0" xfId="0" applyNumberFormat="1" applyFont="1" applyAlignment="1">
      <alignment horizontal="right"/>
    </xf>
    <xf numFmtId="3" fontId="22" fillId="0" borderId="0" xfId="0" applyNumberFormat="1" applyFont="1" applyAlignment="1">
      <alignment horizontal="right"/>
    </xf>
    <xf numFmtId="3" fontId="45" fillId="0" borderId="0" xfId="0" applyNumberFormat="1" applyFont="1" applyAlignment="1">
      <alignment horizontal="right"/>
    </xf>
    <xf numFmtId="170" fontId="22" fillId="0" borderId="0" xfId="0" applyNumberFormat="1" applyFont="1" applyAlignment="1">
      <alignment horizontal="right"/>
    </xf>
    <xf numFmtId="170" fontId="45" fillId="0" borderId="0" xfId="0" applyNumberFormat="1" applyFont="1" applyAlignment="1">
      <alignment horizontal="right"/>
    </xf>
    <xf numFmtId="0" fontId="19" fillId="0" borderId="140" xfId="0" applyFont="1" applyBorder="1"/>
    <xf numFmtId="3" fontId="19" fillId="0" borderId="140" xfId="0" applyNumberFormat="1" applyFont="1" applyBorder="1"/>
    <xf numFmtId="0" fontId="22" fillId="0" borderId="0" xfId="0" applyFont="1" applyAlignment="1">
      <alignment horizontal="right"/>
    </xf>
    <xf numFmtId="0" fontId="45" fillId="0" borderId="0" xfId="0" applyFont="1" applyAlignment="1">
      <alignment horizontal="right"/>
    </xf>
    <xf numFmtId="0" fontId="19" fillId="0" borderId="0" xfId="0" applyFont="1" applyAlignment="1">
      <alignment horizontal="left"/>
    </xf>
    <xf numFmtId="10" fontId="19" fillId="0" borderId="140" xfId="0" applyNumberFormat="1" applyFont="1" applyBorder="1" applyAlignment="1">
      <alignment horizontal="right"/>
    </xf>
    <xf numFmtId="0" fontId="44" fillId="0" borderId="145" xfId="0" applyFont="1" applyBorder="1" applyAlignment="1">
      <alignment horizontal="right"/>
    </xf>
    <xf numFmtId="0" fontId="47" fillId="0" borderId="145" xfId="0" applyFont="1" applyBorder="1" applyAlignment="1">
      <alignment horizontal="right"/>
    </xf>
    <xf numFmtId="165" fontId="0" fillId="0" borderId="140" xfId="1" applyNumberFormat="1" applyFont="1" applyBorder="1"/>
    <xf numFmtId="168" fontId="0" fillId="0" borderId="0" xfId="2" applyNumberFormat="1" applyFont="1"/>
    <xf numFmtId="168" fontId="0" fillId="0" borderId="140" xfId="2" applyNumberFormat="1" applyFont="1" applyBorder="1"/>
    <xf numFmtId="0" fontId="0" fillId="0" borderId="141" xfId="0" applyBorder="1"/>
    <xf numFmtId="1" fontId="0" fillId="0" borderId="140" xfId="0" applyNumberFormat="1" applyBorder="1"/>
    <xf numFmtId="168" fontId="48" fillId="0" borderId="0" xfId="2" applyNumberFormat="1" applyFont="1" applyFill="1" applyBorder="1"/>
    <xf numFmtId="0" fontId="0" fillId="2" borderId="0" xfId="0" applyFill="1"/>
    <xf numFmtId="165" fontId="48" fillId="0" borderId="0" xfId="0" applyNumberFormat="1" applyFont="1"/>
    <xf numFmtId="165" fontId="48" fillId="0" borderId="0" xfId="1" applyNumberFormat="1" applyFont="1" applyAlignment="1">
      <alignment horizontal="right" vertical="center"/>
    </xf>
    <xf numFmtId="168" fontId="48" fillId="0" borderId="140" xfId="2" applyNumberFormat="1" applyFont="1" applyFill="1" applyBorder="1"/>
    <xf numFmtId="0" fontId="0" fillId="0" borderId="0" xfId="2" applyNumberFormat="1" applyFont="1"/>
    <xf numFmtId="167" fontId="0" fillId="0" borderId="140" xfId="0" applyNumberFormat="1" applyBorder="1"/>
    <xf numFmtId="174" fontId="0" fillId="0" borderId="0" xfId="0" applyNumberFormat="1"/>
    <xf numFmtId="0" fontId="7" fillId="0" borderId="0" xfId="0" applyFont="1" applyAlignment="1">
      <alignment horizontal="left"/>
    </xf>
    <xf numFmtId="0" fontId="0" fillId="10" borderId="0" xfId="0" applyFill="1"/>
    <xf numFmtId="9" fontId="0" fillId="10" borderId="0" xfId="0" applyNumberFormat="1" applyFill="1"/>
    <xf numFmtId="0" fontId="42" fillId="10" borderId="0" xfId="0" applyFont="1" applyFill="1"/>
    <xf numFmtId="0" fontId="2" fillId="0" borderId="140" xfId="0" applyFont="1" applyBorder="1" applyAlignment="1">
      <alignment horizontal="right"/>
    </xf>
    <xf numFmtId="165" fontId="2" fillId="0" borderId="140" xfId="1" applyNumberFormat="1" applyFont="1" applyBorder="1" applyAlignment="1">
      <alignment horizontal="right"/>
    </xf>
    <xf numFmtId="0" fontId="0" fillId="33" borderId="0" xfId="0" applyFill="1"/>
    <xf numFmtId="0" fontId="2" fillId="9" borderId="140" xfId="0" applyFont="1" applyFill="1" applyBorder="1" applyAlignment="1" applyProtection="1">
      <alignment horizontal="left" vertical="center"/>
      <protection locked="0"/>
    </xf>
    <xf numFmtId="0" fontId="0" fillId="33" borderId="140" xfId="0" applyFill="1" applyBorder="1"/>
    <xf numFmtId="0" fontId="41" fillId="5" borderId="0" xfId="0" applyFont="1" applyFill="1"/>
    <xf numFmtId="0" fontId="0" fillId="31" borderId="0" xfId="0" applyFill="1"/>
    <xf numFmtId="0" fontId="2" fillId="31" borderId="140" xfId="0" applyFont="1" applyFill="1" applyBorder="1" applyAlignment="1" applyProtection="1">
      <alignment horizontal="left" vertical="center"/>
      <protection locked="0"/>
    </xf>
    <xf numFmtId="0" fontId="2" fillId="4" borderId="140" xfId="0" applyFont="1" applyFill="1" applyBorder="1" applyAlignment="1" applyProtection="1">
      <alignment horizontal="left" vertical="center"/>
      <protection locked="0"/>
    </xf>
    <xf numFmtId="0" fontId="0" fillId="4" borderId="0" xfId="0" applyFill="1"/>
    <xf numFmtId="0" fontId="2" fillId="32" borderId="140" xfId="0" applyFont="1" applyFill="1" applyBorder="1" applyAlignment="1" applyProtection="1">
      <alignment horizontal="left" vertical="center"/>
      <protection locked="0"/>
    </xf>
    <xf numFmtId="0" fontId="0" fillId="32" borderId="0" xfId="0" applyFill="1"/>
    <xf numFmtId="0" fontId="2" fillId="19" borderId="140" xfId="0" applyFont="1" applyFill="1" applyBorder="1" applyAlignment="1" applyProtection="1">
      <alignment horizontal="left" vertical="center"/>
      <protection locked="0"/>
    </xf>
    <xf numFmtId="0" fontId="2" fillId="34" borderId="140" xfId="0" applyFont="1" applyFill="1" applyBorder="1" applyAlignment="1" applyProtection="1">
      <alignment horizontal="left" vertical="center"/>
      <protection locked="0"/>
    </xf>
    <xf numFmtId="0" fontId="0" fillId="34" borderId="0" xfId="0" applyFill="1"/>
    <xf numFmtId="0" fontId="2" fillId="35" borderId="140" xfId="0" applyFont="1" applyFill="1" applyBorder="1" applyAlignment="1" applyProtection="1">
      <alignment horizontal="left" vertical="center"/>
      <protection locked="0"/>
    </xf>
    <xf numFmtId="0" fontId="0" fillId="35" borderId="0" xfId="0" applyFill="1"/>
    <xf numFmtId="0" fontId="0" fillId="3" borderId="140" xfId="0" applyFill="1" applyBorder="1"/>
    <xf numFmtId="0" fontId="2" fillId="7" borderId="140" xfId="0" applyFont="1" applyFill="1" applyBorder="1" applyAlignment="1" applyProtection="1">
      <alignment horizontal="left" vertical="center"/>
      <protection locked="0"/>
    </xf>
    <xf numFmtId="165" fontId="0" fillId="0" borderId="0" xfId="2" applyNumberFormat="1" applyFont="1"/>
    <xf numFmtId="0" fontId="8" fillId="0" borderId="140" xfId="0" quotePrefix="1" applyFont="1" applyBorder="1" applyAlignment="1">
      <alignment horizontal="right"/>
    </xf>
    <xf numFmtId="0" fontId="8" fillId="0" borderId="145" xfId="0" applyFont="1" applyBorder="1"/>
    <xf numFmtId="0" fontId="8" fillId="0" borderId="145" xfId="0" quotePrefix="1" applyFont="1" applyBorder="1"/>
    <xf numFmtId="0" fontId="8" fillId="0" borderId="0" xfId="0" applyFont="1" applyAlignment="1">
      <alignment horizontal="left"/>
    </xf>
    <xf numFmtId="0" fontId="7" fillId="0" borderId="0" xfId="0" applyFont="1"/>
    <xf numFmtId="3" fontId="7" fillId="0" borderId="0" xfId="0" applyNumberFormat="1" applyFont="1"/>
    <xf numFmtId="3" fontId="8" fillId="0" borderId="140" xfId="0" applyNumberFormat="1" applyFont="1" applyBorder="1"/>
    <xf numFmtId="0" fontId="2" fillId="23" borderId="146" xfId="0" applyFont="1" applyFill="1" applyBorder="1" applyAlignment="1">
      <alignment horizontal="center"/>
    </xf>
    <xf numFmtId="0" fontId="2" fillId="23" borderId="134" xfId="0" applyFont="1" applyFill="1" applyBorder="1" applyAlignment="1">
      <alignment horizontal="center"/>
    </xf>
    <xf numFmtId="0" fontId="2" fillId="23" borderId="145" xfId="0" applyFont="1" applyFill="1" applyBorder="1" applyAlignment="1">
      <alignment horizontal="center"/>
    </xf>
    <xf numFmtId="0" fontId="2" fillId="23" borderId="142" xfId="0" applyFont="1" applyFill="1" applyBorder="1" applyAlignment="1">
      <alignment horizontal="center"/>
    </xf>
    <xf numFmtId="170" fontId="0" fillId="0" borderId="0" xfId="2" applyNumberFormat="1" applyFont="1" applyAlignment="1">
      <alignment horizontal="center" vertical="center"/>
    </xf>
    <xf numFmtId="0" fontId="30" fillId="0" borderId="149" xfId="0" applyFont="1" applyBorder="1" applyAlignment="1">
      <alignment horizontal="left" vertical="center" wrapText="1"/>
    </xf>
    <xf numFmtId="0" fontId="52" fillId="20" borderId="7" xfId="0" applyFont="1" applyFill="1" applyBorder="1" applyAlignment="1">
      <alignment horizontal="center" vertical="center" wrapText="1"/>
    </xf>
    <xf numFmtId="0" fontId="30" fillId="37" borderId="149" xfId="0" applyFont="1" applyFill="1" applyBorder="1" applyAlignment="1">
      <alignment horizontal="left" vertical="center" wrapText="1"/>
    </xf>
    <xf numFmtId="0" fontId="52" fillId="21" borderId="7" xfId="0" applyFont="1" applyFill="1" applyBorder="1" applyAlignment="1">
      <alignment horizontal="center" vertical="center" wrapText="1"/>
    </xf>
    <xf numFmtId="0" fontId="53" fillId="37" borderId="149" xfId="0" applyFont="1" applyFill="1" applyBorder="1" applyAlignment="1">
      <alignment horizontal="left" vertical="center" wrapText="1"/>
    </xf>
    <xf numFmtId="0" fontId="54" fillId="22" borderId="146" xfId="0" applyFont="1" applyFill="1" applyBorder="1" applyAlignment="1">
      <alignment vertical="top" wrapText="1"/>
    </xf>
    <xf numFmtId="0" fontId="52" fillId="20" borderId="146" xfId="0" applyFont="1" applyFill="1" applyBorder="1" applyAlignment="1">
      <alignment horizontal="center" vertical="center" wrapText="1"/>
    </xf>
    <xf numFmtId="0" fontId="52" fillId="21" borderId="146" xfId="0" applyFont="1" applyFill="1" applyBorder="1" applyAlignment="1">
      <alignment horizontal="center" vertical="center" wrapText="1"/>
    </xf>
    <xf numFmtId="0" fontId="13" fillId="0" borderId="146" xfId="0" applyFont="1" applyBorder="1"/>
    <xf numFmtId="167" fontId="45" fillId="0" borderId="0" xfId="0" applyNumberFormat="1" applyFont="1"/>
    <xf numFmtId="171" fontId="55" fillId="0" borderId="0" xfId="0" applyNumberFormat="1" applyFont="1"/>
    <xf numFmtId="173" fontId="0" fillId="0" borderId="0" xfId="0" applyNumberFormat="1"/>
    <xf numFmtId="38" fontId="32" fillId="0" borderId="0" xfId="0" applyNumberFormat="1" applyFont="1"/>
    <xf numFmtId="0" fontId="28" fillId="6" borderId="0" xfId="0" applyFont="1" applyFill="1" applyAlignment="1">
      <alignment horizontal="right"/>
    </xf>
    <xf numFmtId="173" fontId="0" fillId="0" borderId="140" xfId="0" applyNumberFormat="1" applyBorder="1"/>
    <xf numFmtId="167" fontId="0" fillId="0" borderId="0" xfId="0" applyNumberFormat="1" applyAlignment="1">
      <alignment horizontal="right"/>
    </xf>
    <xf numFmtId="1" fontId="0" fillId="0" borderId="0" xfId="0" applyNumberFormat="1" applyAlignment="1">
      <alignment horizontal="right"/>
    </xf>
    <xf numFmtId="9" fontId="0" fillId="0" borderId="0" xfId="2" applyFont="1" applyAlignment="1">
      <alignment horizontal="right"/>
    </xf>
    <xf numFmtId="170" fontId="0" fillId="0" borderId="0" xfId="2" applyNumberFormat="1" applyFont="1" applyAlignment="1">
      <alignment horizontal="right"/>
    </xf>
    <xf numFmtId="0" fontId="2" fillId="23" borderId="140" xfId="0" applyFont="1" applyFill="1" applyBorder="1" applyAlignment="1" applyProtection="1">
      <alignment vertical="top"/>
      <protection locked="0"/>
    </xf>
    <xf numFmtId="9" fontId="0" fillId="0" borderId="0" xfId="2" applyFont="1" applyAlignment="1">
      <alignment vertical="top"/>
    </xf>
    <xf numFmtId="9" fontId="0" fillId="0" borderId="0" xfId="2" applyFont="1" applyBorder="1" applyAlignment="1">
      <alignment horizontal="right"/>
    </xf>
    <xf numFmtId="175" fontId="0" fillId="0" borderId="0" xfId="0" applyNumberFormat="1"/>
    <xf numFmtId="0" fontId="56" fillId="0" borderId="0" xfId="0" applyFont="1"/>
    <xf numFmtId="9" fontId="0" fillId="0" borderId="146" xfId="2" applyFont="1" applyBorder="1"/>
    <xf numFmtId="2" fontId="0" fillId="0" borderId="140" xfId="0" applyNumberFormat="1" applyBorder="1"/>
    <xf numFmtId="166" fontId="0" fillId="0" borderId="140" xfId="0" applyNumberFormat="1" applyBorder="1"/>
    <xf numFmtId="165" fontId="0" fillId="0" borderId="140" xfId="0" applyNumberFormat="1" applyBorder="1"/>
    <xf numFmtId="0" fontId="15" fillId="0" borderId="145" xfId="0" applyFont="1" applyBorder="1" applyAlignment="1">
      <alignment horizontal="right"/>
    </xf>
    <xf numFmtId="167" fontId="19" fillId="0" borderId="140" xfId="0" applyNumberFormat="1" applyFont="1" applyBorder="1" applyAlignment="1">
      <alignment horizontal="right"/>
    </xf>
    <xf numFmtId="166" fontId="2" fillId="0" borderId="0" xfId="1" applyNumberFormat="1" applyFont="1" applyBorder="1"/>
    <xf numFmtId="0" fontId="44" fillId="0" borderId="0" xfId="0" applyFont="1"/>
    <xf numFmtId="165" fontId="1" fillId="0" borderId="0" xfId="1" applyNumberFormat="1" applyFont="1"/>
    <xf numFmtId="169" fontId="4" fillId="0" borderId="0" xfId="0" applyNumberFormat="1" applyFont="1"/>
    <xf numFmtId="0" fontId="4" fillId="0" borderId="0" xfId="0" applyFont="1"/>
    <xf numFmtId="0" fontId="57" fillId="0" borderId="0" xfId="0" applyFont="1" applyAlignment="1">
      <alignment horizontal="left"/>
    </xf>
    <xf numFmtId="0" fontId="3" fillId="18" borderId="144" xfId="0" applyFont="1" applyFill="1" applyBorder="1" applyAlignment="1">
      <alignment horizontal="left"/>
    </xf>
    <xf numFmtId="0" fontId="3" fillId="18" borderId="145" xfId="0" applyFont="1" applyFill="1" applyBorder="1" applyAlignment="1">
      <alignment horizontal="left"/>
    </xf>
    <xf numFmtId="0" fontId="3" fillId="18" borderId="144" xfId="0" applyFont="1" applyFill="1" applyBorder="1" applyAlignment="1">
      <alignment horizontal="center"/>
    </xf>
    <xf numFmtId="169" fontId="35" fillId="0" borderId="0" xfId="0" applyNumberFormat="1" applyFont="1"/>
    <xf numFmtId="0" fontId="58" fillId="6" borderId="0" xfId="0" applyFont="1" applyFill="1" applyAlignment="1">
      <alignment horizontal="right"/>
    </xf>
    <xf numFmtId="0" fontId="22" fillId="0" borderId="140" xfId="0" applyFont="1" applyBorder="1"/>
    <xf numFmtId="164" fontId="0" fillId="0" borderId="0" xfId="1" applyFont="1" applyAlignment="1">
      <alignment horizontal="right" vertical="center"/>
    </xf>
    <xf numFmtId="1" fontId="0" fillId="0" borderId="0" xfId="1" applyNumberFormat="1" applyFont="1" applyAlignment="1">
      <alignment horizontal="right" vertical="center"/>
    </xf>
    <xf numFmtId="2" fontId="0" fillId="0" borderId="0" xfId="1" applyNumberFormat="1" applyFont="1" applyAlignment="1">
      <alignment horizontal="right"/>
    </xf>
    <xf numFmtId="0" fontId="59" fillId="0" borderId="0" xfId="0" applyFont="1"/>
    <xf numFmtId="0" fontId="3" fillId="18" borderId="141" xfId="0" applyFont="1" applyFill="1" applyBorder="1" applyAlignment="1">
      <alignment horizontal="left"/>
    </xf>
    <xf numFmtId="0" fontId="35" fillId="0" borderId="140" xfId="0" applyFont="1" applyBorder="1"/>
    <xf numFmtId="38" fontId="22" fillId="0" borderId="0" xfId="0" applyNumberFormat="1" applyFont="1"/>
    <xf numFmtId="168" fontId="0" fillId="0" borderId="140" xfId="0" applyNumberFormat="1" applyBorder="1"/>
    <xf numFmtId="0" fontId="30" fillId="0" borderId="0" xfId="0" applyFont="1"/>
    <xf numFmtId="169" fontId="30" fillId="0" borderId="0" xfId="0" applyNumberFormat="1" applyFont="1"/>
    <xf numFmtId="169" fontId="30" fillId="0" borderId="0" xfId="0" applyNumberFormat="1" applyFont="1" applyAlignment="1">
      <alignment wrapText="1"/>
    </xf>
    <xf numFmtId="0" fontId="2" fillId="16" borderId="38" xfId="0" applyFont="1" applyFill="1" applyBorder="1" applyAlignment="1">
      <alignment horizontal="right"/>
    </xf>
    <xf numFmtId="0" fontId="14" fillId="15" borderId="0" xfId="3" applyAlignment="1">
      <alignment horizontal="left"/>
    </xf>
    <xf numFmtId="0" fontId="0" fillId="0" borderId="148" xfId="0" applyBorder="1"/>
    <xf numFmtId="0" fontId="2" fillId="24" borderId="38" xfId="0" applyFont="1" applyFill="1" applyBorder="1"/>
    <xf numFmtId="0" fontId="9" fillId="0" borderId="0" xfId="0" applyFont="1" applyAlignment="1">
      <alignment horizontal="left" vertical="center" wrapText="1"/>
    </xf>
    <xf numFmtId="0" fontId="60" fillId="0" borderId="0" xfId="0" applyFont="1"/>
    <xf numFmtId="0" fontId="9" fillId="0" borderId="0" xfId="0" applyFont="1"/>
    <xf numFmtId="0" fontId="0" fillId="0" borderId="0" xfId="0" applyAlignment="1">
      <alignment horizontal="right" vertical="center"/>
    </xf>
    <xf numFmtId="167" fontId="0" fillId="0" borderId="0" xfId="0" applyNumberFormat="1" applyAlignment="1">
      <alignment horizontal="right" vertical="center"/>
    </xf>
    <xf numFmtId="167" fontId="0" fillId="0" borderId="140" xfId="0" applyNumberFormat="1" applyBorder="1" applyAlignment="1">
      <alignment horizontal="right" vertical="center"/>
    </xf>
    <xf numFmtId="0" fontId="8" fillId="0" borderId="140" xfId="0" applyFont="1" applyBorder="1" applyAlignment="1">
      <alignment horizontal="right" wrapText="1"/>
    </xf>
    <xf numFmtId="0" fontId="8" fillId="0" borderId="140" xfId="0" applyFont="1" applyBorder="1" applyAlignment="1">
      <alignment horizontal="center" wrapText="1"/>
    </xf>
    <xf numFmtId="0" fontId="8" fillId="0" borderId="140" xfId="0" applyFont="1" applyBorder="1" applyAlignment="1">
      <alignment horizontal="right"/>
    </xf>
    <xf numFmtId="0" fontId="8" fillId="0" borderId="0" xfId="0" applyFont="1" applyAlignment="1" applyProtection="1">
      <alignment horizontal="left"/>
      <protection locked="0"/>
    </xf>
    <xf numFmtId="3" fontId="8" fillId="0" borderId="0" xfId="0" applyNumberFormat="1" applyFont="1" applyAlignment="1">
      <alignment horizontal="right"/>
    </xf>
    <xf numFmtId="0" fontId="7" fillId="0" borderId="140" xfId="0" applyFont="1" applyBorder="1" applyProtection="1">
      <protection locked="0"/>
    </xf>
    <xf numFmtId="3" fontId="7" fillId="0" borderId="140" xfId="0" applyNumberFormat="1" applyFont="1" applyBorder="1" applyAlignment="1">
      <alignment horizontal="right"/>
    </xf>
    <xf numFmtId="2" fontId="2" fillId="0" borderId="140" xfId="0" applyNumberFormat="1" applyFont="1" applyBorder="1" applyAlignment="1">
      <alignment horizontal="right"/>
    </xf>
    <xf numFmtId="2" fontId="2" fillId="0" borderId="140" xfId="2" applyNumberFormat="1" applyFont="1" applyBorder="1" applyAlignment="1">
      <alignment horizontal="right"/>
    </xf>
    <xf numFmtId="2" fontId="0" fillId="0" borderId="0" xfId="2" applyNumberFormat="1" applyFont="1" applyAlignment="1">
      <alignment horizontal="right"/>
    </xf>
    <xf numFmtId="165" fontId="2" fillId="0" borderId="140" xfId="0" applyNumberFormat="1" applyFont="1" applyBorder="1" applyAlignment="1">
      <alignment horizontal="right"/>
    </xf>
    <xf numFmtId="2" fontId="2" fillId="0" borderId="0" xfId="0" applyNumberFormat="1" applyFont="1" applyAlignment="1">
      <alignment horizontal="right"/>
    </xf>
    <xf numFmtId="0" fontId="2" fillId="0" borderId="0" xfId="0" applyFont="1" applyAlignment="1">
      <alignment horizontal="right"/>
    </xf>
    <xf numFmtId="2" fontId="2" fillId="0" borderId="0" xfId="2" applyNumberFormat="1" applyFont="1" applyBorder="1" applyAlignment="1">
      <alignment horizontal="right"/>
    </xf>
    <xf numFmtId="165" fontId="2" fillId="0" borderId="0" xfId="0" applyNumberFormat="1" applyFont="1" applyAlignment="1">
      <alignment horizontal="right"/>
    </xf>
    <xf numFmtId="166" fontId="0" fillId="0" borderId="0" xfId="1" applyNumberFormat="1" applyFont="1"/>
    <xf numFmtId="165" fontId="19" fillId="0" borderId="0" xfId="1" applyNumberFormat="1" applyFont="1"/>
    <xf numFmtId="9" fontId="19" fillId="0" borderId="0" xfId="2" applyFont="1"/>
    <xf numFmtId="170" fontId="19" fillId="0" borderId="0" xfId="2" applyNumberFormat="1" applyFont="1"/>
    <xf numFmtId="9" fontId="0" fillId="0" borderId="140" xfId="0" applyNumberFormat="1" applyBorder="1" applyAlignment="1">
      <alignment horizontal="right"/>
    </xf>
    <xf numFmtId="0" fontId="2" fillId="23" borderId="140" xfId="0" applyFont="1" applyFill="1" applyBorder="1" applyAlignment="1">
      <alignment horizontal="left" vertical="center"/>
    </xf>
    <xf numFmtId="0" fontId="2" fillId="23" borderId="140" xfId="0" applyFont="1" applyFill="1" applyBorder="1" applyAlignment="1">
      <alignment horizontal="right" vertical="center"/>
    </xf>
    <xf numFmtId="2" fontId="19" fillId="0" borderId="0" xfId="0" applyNumberFormat="1" applyFont="1"/>
    <xf numFmtId="2" fontId="62" fillId="0" borderId="0" xfId="0" applyNumberFormat="1" applyFont="1"/>
    <xf numFmtId="2" fontId="19" fillId="0" borderId="140" xfId="0" applyNumberFormat="1" applyFont="1" applyBorder="1"/>
    <xf numFmtId="165" fontId="19" fillId="0" borderId="0" xfId="0" applyNumberFormat="1" applyFont="1"/>
    <xf numFmtId="165" fontId="19" fillId="0" borderId="140" xfId="0" applyNumberFormat="1" applyFont="1" applyBorder="1"/>
    <xf numFmtId="167" fontId="19" fillId="0" borderId="0" xfId="0" applyNumberFormat="1" applyFont="1" applyAlignment="1">
      <alignment horizontal="right"/>
    </xf>
    <xf numFmtId="0" fontId="15" fillId="6" borderId="0" xfId="0" applyFont="1" applyFill="1"/>
    <xf numFmtId="2" fontId="19" fillId="0" borderId="140" xfId="0" applyNumberFormat="1" applyFont="1" applyBorder="1" applyAlignment="1">
      <alignment horizontal="right"/>
    </xf>
    <xf numFmtId="0" fontId="63" fillId="0" borderId="0" xfId="0" applyFont="1" applyAlignment="1">
      <alignment vertical="center"/>
    </xf>
    <xf numFmtId="0" fontId="0" fillId="6" borderId="0" xfId="0" applyFill="1"/>
    <xf numFmtId="164" fontId="0" fillId="6" borderId="0" xfId="0" applyNumberFormat="1" applyFill="1"/>
    <xf numFmtId="164" fontId="0" fillId="0" borderId="140" xfId="0" applyNumberFormat="1" applyBorder="1"/>
    <xf numFmtId="164" fontId="2" fillId="0" borderId="140" xfId="0" applyNumberFormat="1" applyFont="1" applyBorder="1" applyAlignment="1">
      <alignment horizontal="center"/>
    </xf>
    <xf numFmtId="176" fontId="0" fillId="0" borderId="0" xfId="0" applyNumberFormat="1"/>
    <xf numFmtId="177" fontId="0" fillId="0" borderId="0" xfId="0" applyNumberFormat="1"/>
    <xf numFmtId="2" fontId="2" fillId="0" borderId="140" xfId="0" applyNumberFormat="1" applyFont="1" applyBorder="1" applyAlignment="1">
      <alignment horizontal="center"/>
    </xf>
    <xf numFmtId="178" fontId="0" fillId="0" borderId="0" xfId="0" applyNumberFormat="1"/>
    <xf numFmtId="179" fontId="0" fillId="0" borderId="0" xfId="0" applyNumberFormat="1"/>
    <xf numFmtId="179" fontId="0" fillId="0" borderId="140" xfId="0" applyNumberFormat="1" applyBorder="1"/>
    <xf numFmtId="0" fontId="0" fillId="0" borderId="144" xfId="0" applyBorder="1"/>
    <xf numFmtId="164" fontId="0" fillId="0" borderId="144" xfId="0" applyNumberFormat="1" applyBorder="1"/>
    <xf numFmtId="164" fontId="2" fillId="0" borderId="140" xfId="0" applyNumberFormat="1" applyFont="1" applyBorder="1"/>
    <xf numFmtId="0" fontId="2" fillId="23" borderId="0" xfId="0" applyFont="1" applyFill="1" applyAlignment="1" applyProtection="1">
      <alignment horizontal="left" vertical="center"/>
      <protection locked="0"/>
    </xf>
    <xf numFmtId="180" fontId="0" fillId="0" borderId="144" xfId="0" applyNumberFormat="1" applyBorder="1"/>
    <xf numFmtId="180" fontId="0" fillId="0" borderId="0" xfId="0" applyNumberFormat="1"/>
    <xf numFmtId="180" fontId="2" fillId="0" borderId="140" xfId="0" applyNumberFormat="1" applyFont="1" applyBorder="1"/>
    <xf numFmtId="181" fontId="0" fillId="0" borderId="0" xfId="0" applyNumberFormat="1"/>
    <xf numFmtId="181" fontId="0" fillId="0" borderId="140" xfId="0" applyNumberFormat="1" applyBorder="1"/>
    <xf numFmtId="182" fontId="0" fillId="0" borderId="0" xfId="0" applyNumberFormat="1"/>
    <xf numFmtId="183" fontId="0" fillId="0" borderId="0" xfId="0" applyNumberFormat="1"/>
    <xf numFmtId="0" fontId="2" fillId="0" borderId="0" xfId="0" applyFont="1" applyAlignment="1">
      <alignment horizontal="center"/>
    </xf>
    <xf numFmtId="1" fontId="2" fillId="0" borderId="140" xfId="0" applyNumberFormat="1" applyFont="1" applyBorder="1" applyAlignment="1">
      <alignment horizontal="right"/>
    </xf>
    <xf numFmtId="1" fontId="2" fillId="0" borderId="0" xfId="0" applyNumberFormat="1" applyFont="1" applyAlignment="1">
      <alignment horizontal="right"/>
    </xf>
    <xf numFmtId="0" fontId="0" fillId="0" borderId="0" xfId="0" applyAlignment="1">
      <alignment horizontal="left" vertical="top"/>
    </xf>
    <xf numFmtId="0" fontId="0" fillId="0" borderId="140" xfId="0" applyBorder="1" applyAlignment="1">
      <alignment horizontal="left" vertical="top"/>
    </xf>
    <xf numFmtId="171" fontId="19" fillId="0" borderId="0" xfId="0" applyNumberFormat="1" applyFont="1" applyAlignment="1">
      <alignment horizontal="right"/>
    </xf>
    <xf numFmtId="184" fontId="0" fillId="0" borderId="0" xfId="1" applyNumberFormat="1" applyFont="1"/>
    <xf numFmtId="184" fontId="0" fillId="0" borderId="0" xfId="1" applyNumberFormat="1" applyFont="1" applyBorder="1"/>
    <xf numFmtId="184" fontId="0" fillId="0" borderId="140" xfId="1" applyNumberFormat="1" applyFont="1" applyBorder="1"/>
    <xf numFmtId="165" fontId="0" fillId="0" borderId="145" xfId="0" applyNumberFormat="1" applyBorder="1"/>
    <xf numFmtId="174" fontId="0" fillId="0" borderId="145" xfId="0" applyNumberFormat="1" applyBorder="1"/>
    <xf numFmtId="166" fontId="0" fillId="0" borderId="145" xfId="0" applyNumberFormat="1" applyBorder="1"/>
    <xf numFmtId="0" fontId="64" fillId="15" borderId="0" xfId="3" applyFont="1" applyAlignment="1">
      <alignment horizontal="left"/>
    </xf>
    <xf numFmtId="170" fontId="10" fillId="0" borderId="0" xfId="2" applyNumberFormat="1" applyFont="1" applyFill="1"/>
    <xf numFmtId="185" fontId="0" fillId="0" borderId="0" xfId="2" applyNumberFormat="1" applyFont="1"/>
    <xf numFmtId="10" fontId="2" fillId="0" borderId="0" xfId="2" applyNumberFormat="1" applyFont="1" applyBorder="1" applyAlignment="1">
      <alignment horizontal="right"/>
    </xf>
    <xf numFmtId="2" fontId="44" fillId="0" borderId="0" xfId="0" applyNumberFormat="1" applyFont="1"/>
    <xf numFmtId="171" fontId="2" fillId="0" borderId="140" xfId="0" applyNumberFormat="1" applyFont="1" applyBorder="1" applyAlignment="1">
      <alignment horizontal="right"/>
    </xf>
    <xf numFmtId="171" fontId="1" fillId="0" borderId="140" xfId="0" applyNumberFormat="1" applyFont="1" applyBorder="1"/>
    <xf numFmtId="184" fontId="2" fillId="0" borderId="0" xfId="0" applyNumberFormat="1" applyFont="1" applyAlignment="1">
      <alignment horizontal="right"/>
    </xf>
    <xf numFmtId="184" fontId="2" fillId="0" borderId="140" xfId="0" applyNumberFormat="1" applyFont="1" applyBorder="1" applyAlignment="1">
      <alignment horizontal="right"/>
    </xf>
    <xf numFmtId="187" fontId="0" fillId="0" borderId="0" xfId="0" applyNumberFormat="1"/>
    <xf numFmtId="171" fontId="19" fillId="0" borderId="140" xfId="0" applyNumberFormat="1" applyFont="1" applyBorder="1"/>
    <xf numFmtId="171" fontId="19" fillId="0" borderId="140" xfId="0" applyNumberFormat="1" applyFont="1" applyBorder="1" applyAlignment="1">
      <alignment horizontal="right"/>
    </xf>
    <xf numFmtId="186" fontId="0" fillId="0" borderId="0" xfId="0" applyNumberFormat="1"/>
    <xf numFmtId="171" fontId="0" fillId="0" borderId="0" xfId="1" applyNumberFormat="1" applyFont="1"/>
    <xf numFmtId="0" fontId="67" fillId="0" borderId="0" xfId="0" applyFont="1"/>
    <xf numFmtId="171" fontId="0" fillId="0" borderId="140" xfId="1" applyNumberFormat="1" applyFont="1" applyBorder="1"/>
    <xf numFmtId="164" fontId="11" fillId="0" borderId="105" xfId="1" applyFont="1" applyFill="1" applyBorder="1" applyAlignment="1">
      <alignment horizontal="center"/>
    </xf>
    <xf numFmtId="0" fontId="14" fillId="17" borderId="0" xfId="0" applyFont="1" applyFill="1"/>
    <xf numFmtId="169" fontId="3" fillId="16" borderId="5" xfId="0" applyNumberFormat="1" applyFont="1" applyFill="1" applyBorder="1" applyAlignment="1">
      <alignment vertical="center"/>
    </xf>
    <xf numFmtId="169" fontId="3" fillId="16" borderId="145" xfId="0" applyNumberFormat="1" applyFont="1" applyFill="1" applyBorder="1" applyAlignment="1">
      <alignment vertical="center"/>
    </xf>
    <xf numFmtId="169" fontId="68" fillId="6" borderId="0" xfId="0" applyNumberFormat="1" applyFont="1" applyFill="1"/>
    <xf numFmtId="169" fontId="69" fillId="6" borderId="0" xfId="0" applyNumberFormat="1" applyFont="1" applyFill="1"/>
    <xf numFmtId="0" fontId="30" fillId="38" borderId="38" xfId="5" applyFont="1" applyBorder="1" applyAlignment="1">
      <alignment horizontal="left" wrapText="1"/>
    </xf>
    <xf numFmtId="0" fontId="30" fillId="38" borderId="38" xfId="5" applyFont="1" applyBorder="1" applyAlignment="1">
      <alignment horizontal="center" wrapText="1"/>
    </xf>
    <xf numFmtId="0" fontId="0" fillId="0" borderId="0" xfId="0" applyAlignment="1">
      <alignment horizontal="center"/>
    </xf>
    <xf numFmtId="0" fontId="51" fillId="0" borderId="0" xfId="0" applyFont="1" applyAlignment="1">
      <alignment horizontal="center" vertical="center" wrapText="1"/>
    </xf>
    <xf numFmtId="0" fontId="7" fillId="0" borderId="144" xfId="0" applyFont="1" applyBorder="1" applyAlignment="1">
      <alignment horizontal="left"/>
    </xf>
    <xf numFmtId="0" fontId="41" fillId="0" borderId="147" xfId="0" applyFont="1" applyBorder="1" applyAlignment="1">
      <alignment horizontal="center" vertical="center" wrapText="1"/>
    </xf>
    <xf numFmtId="0" fontId="13" fillId="0" borderId="147" xfId="0" applyFont="1" applyBorder="1" applyAlignment="1">
      <alignment horizontal="center" vertical="center" wrapText="1"/>
    </xf>
    <xf numFmtId="0" fontId="41" fillId="0" borderId="148" xfId="0" applyFont="1" applyBorder="1" applyAlignment="1">
      <alignment horizontal="center" vertical="center" wrapText="1"/>
    </xf>
    <xf numFmtId="0" fontId="13" fillId="0" borderId="148" xfId="0" applyFont="1" applyBorder="1" applyAlignment="1">
      <alignment horizontal="center" vertical="center" wrapText="1"/>
    </xf>
    <xf numFmtId="0" fontId="13" fillId="0" borderId="136" xfId="0" applyFont="1" applyBorder="1" applyAlignment="1">
      <alignment horizontal="center" vertical="center" wrapText="1"/>
    </xf>
    <xf numFmtId="0" fontId="13" fillId="0" borderId="147" xfId="0" applyFont="1" applyBorder="1" applyAlignment="1">
      <alignment horizontal="center" vertical="center"/>
    </xf>
    <xf numFmtId="0" fontId="13" fillId="0" borderId="148" xfId="0" applyFont="1" applyBorder="1" applyAlignment="1">
      <alignment horizontal="center" vertical="center"/>
    </xf>
    <xf numFmtId="0" fontId="41" fillId="0" borderId="136" xfId="0" applyFont="1" applyBorder="1" applyAlignment="1">
      <alignment horizontal="center" vertical="center" wrapText="1"/>
    </xf>
    <xf numFmtId="0" fontId="13" fillId="0" borderId="136" xfId="0" applyFont="1" applyBorder="1" applyAlignment="1">
      <alignment horizontal="center" vertical="center"/>
    </xf>
    <xf numFmtId="0" fontId="41" fillId="0" borderId="147" xfId="0" applyFont="1" applyBorder="1" applyAlignment="1">
      <alignment horizontal="center" vertical="center"/>
    </xf>
    <xf numFmtId="0" fontId="41" fillId="0" borderId="148" xfId="0" applyFont="1" applyBorder="1" applyAlignment="1">
      <alignment horizontal="center" vertical="center"/>
    </xf>
    <xf numFmtId="0" fontId="41" fillId="0" borderId="136" xfId="0" applyFont="1" applyBorder="1" applyAlignment="1">
      <alignment horizontal="center" vertical="center"/>
    </xf>
    <xf numFmtId="0" fontId="50" fillId="36" borderId="164" xfId="0" applyFont="1" applyFill="1" applyBorder="1" applyAlignment="1">
      <alignment horizontal="center" vertical="center" wrapText="1"/>
    </xf>
    <xf numFmtId="0" fontId="50" fillId="36" borderId="165" xfId="0" applyFont="1" applyFill="1" applyBorder="1" applyAlignment="1">
      <alignment horizontal="center" vertical="center" wrapText="1"/>
    </xf>
    <xf numFmtId="38" fontId="70" fillId="0" borderId="0" xfId="0" applyNumberFormat="1" applyFont="1"/>
    <xf numFmtId="38" fontId="71" fillId="0" borderId="0" xfId="0" applyNumberFormat="1" applyFont="1"/>
    <xf numFmtId="38" fontId="72" fillId="0" borderId="0" xfId="0" applyNumberFormat="1" applyFont="1"/>
    <xf numFmtId="0" fontId="0" fillId="7" borderId="0" xfId="0" applyFill="1"/>
    <xf numFmtId="0" fontId="1" fillId="7" borderId="0" xfId="0" applyFont="1" applyFill="1"/>
    <xf numFmtId="0" fontId="0" fillId="7" borderId="0" xfId="0" applyFill="1" applyAlignment="1">
      <alignment horizontal="right"/>
    </xf>
    <xf numFmtId="171" fontId="1" fillId="7" borderId="0" xfId="0" applyNumberFormat="1" applyFont="1" applyFill="1"/>
    <xf numFmtId="171" fontId="0" fillId="7" borderId="0" xfId="0" applyNumberFormat="1" applyFill="1"/>
    <xf numFmtId="0" fontId="0" fillId="3" borderId="0" xfId="0" applyFill="1"/>
    <xf numFmtId="0" fontId="0" fillId="3" borderId="0" xfId="0" applyFill="1" applyAlignment="1">
      <alignment horizontal="right"/>
    </xf>
    <xf numFmtId="171" fontId="0" fillId="3" borderId="0" xfId="0" applyNumberFormat="1" applyFill="1"/>
    <xf numFmtId="171" fontId="1" fillId="3" borderId="0" xfId="0" applyNumberFormat="1" applyFont="1" applyFill="1"/>
    <xf numFmtId="0" fontId="15" fillId="16" borderId="145" xfId="0" applyFont="1" applyFill="1" applyBorder="1" applyAlignment="1">
      <alignment horizontal="right" vertical="center"/>
    </xf>
    <xf numFmtId="0" fontId="0" fillId="3" borderId="140" xfId="0" applyFill="1" applyBorder="1" applyAlignment="1">
      <alignment horizontal="right"/>
    </xf>
    <xf numFmtId="171" fontId="0" fillId="3" borderId="140" xfId="0" applyNumberFormat="1" applyFill="1" applyBorder="1"/>
    <xf numFmtId="2" fontId="1" fillId="0" borderId="0" xfId="0" applyNumberFormat="1" applyFont="1"/>
    <xf numFmtId="167" fontId="1" fillId="0" borderId="0" xfId="0" applyNumberFormat="1" applyFont="1"/>
    <xf numFmtId="40" fontId="0" fillId="0" borderId="0" xfId="0" applyNumberFormat="1"/>
    <xf numFmtId="0" fontId="0" fillId="0" borderId="0" xfId="0" quotePrefix="1" applyAlignment="1">
      <alignment vertical="center"/>
    </xf>
    <xf numFmtId="0" fontId="1" fillId="7" borderId="0" xfId="6" applyFont="1" applyFill="1" applyAlignment="1">
      <alignment vertical="center"/>
    </xf>
    <xf numFmtId="0" fontId="1" fillId="3" borderId="0" xfId="6" applyFont="1" applyFill="1" applyAlignment="1">
      <alignment vertical="center"/>
    </xf>
    <xf numFmtId="0" fontId="25" fillId="3" borderId="0" xfId="6" applyFont="1" applyFill="1" applyAlignment="1">
      <alignment vertical="center"/>
    </xf>
    <xf numFmtId="0" fontId="24" fillId="3" borderId="0" xfId="6" applyFont="1" applyFill="1" applyAlignment="1">
      <alignment vertical="center"/>
    </xf>
    <xf numFmtId="0" fontId="1" fillId="12" borderId="0" xfId="6" applyFont="1" applyFill="1" applyAlignment="1">
      <alignment vertical="center"/>
    </xf>
    <xf numFmtId="0" fontId="15" fillId="3" borderId="0" xfId="6" applyFont="1" applyFill="1" applyAlignment="1">
      <alignment vertical="center"/>
    </xf>
    <xf numFmtId="0" fontId="26" fillId="3" borderId="0" xfId="6" applyFont="1" applyFill="1" applyAlignment="1">
      <alignment vertical="center"/>
    </xf>
    <xf numFmtId="0" fontId="23" fillId="7" borderId="0" xfId="6" applyFont="1" applyFill="1" applyAlignment="1">
      <alignment vertical="center"/>
    </xf>
    <xf numFmtId="0" fontId="19" fillId="3" borderId="0" xfId="6" applyFont="1" applyFill="1" applyAlignment="1">
      <alignment vertical="center"/>
    </xf>
    <xf numFmtId="0" fontId="27" fillId="3" borderId="0" xfId="6" applyFont="1" applyFill="1" applyAlignment="1">
      <alignment vertical="center"/>
    </xf>
    <xf numFmtId="0" fontId="19" fillId="7" borderId="0" xfId="6" applyFont="1" applyFill="1" applyAlignment="1">
      <alignment vertical="center"/>
    </xf>
    <xf numFmtId="167" fontId="19" fillId="7" borderId="0" xfId="6" applyNumberFormat="1" applyFont="1" applyFill="1" applyAlignment="1">
      <alignment horizontal="left" vertical="center"/>
    </xf>
    <xf numFmtId="0" fontId="28" fillId="3" borderId="0" xfId="6" applyFont="1" applyFill="1" applyAlignment="1">
      <alignment vertical="center"/>
    </xf>
    <xf numFmtId="0" fontId="13" fillId="7" borderId="0" xfId="6" applyFont="1" applyFill="1" applyAlignment="1">
      <alignment vertical="center"/>
    </xf>
    <xf numFmtId="0" fontId="24" fillId="7" borderId="0" xfId="4" applyFill="1" applyAlignment="1">
      <alignment vertical="center"/>
    </xf>
    <xf numFmtId="38" fontId="20" fillId="0" borderId="0" xfId="7" applyNumberFormat="1" applyFont="1" applyAlignment="1">
      <alignment horizontal="left" wrapText="1"/>
    </xf>
    <xf numFmtId="38" fontId="11" fillId="0" borderId="19" xfId="7" applyNumberFormat="1" applyFont="1" applyBorder="1" applyAlignment="1">
      <alignment horizontal="center" wrapText="1"/>
    </xf>
    <xf numFmtId="38" fontId="11" fillId="0" borderId="43" xfId="7" applyNumberFormat="1" applyFont="1" applyBorder="1" applyAlignment="1">
      <alignment horizontal="center" textRotation="90" wrapText="1"/>
    </xf>
    <xf numFmtId="38" fontId="11" fillId="0" borderId="44" xfId="7" applyNumberFormat="1" applyFont="1" applyBorder="1" applyAlignment="1">
      <alignment horizontal="center" textRotation="90" wrapText="1"/>
    </xf>
    <xf numFmtId="38" fontId="11" fillId="0" borderId="20" xfId="7" applyNumberFormat="1" applyFont="1" applyBorder="1" applyAlignment="1">
      <alignment horizontal="center" textRotation="90" wrapText="1"/>
    </xf>
    <xf numFmtId="38" fontId="11" fillId="0" borderId="21" xfId="7" applyNumberFormat="1" applyFont="1" applyBorder="1" applyAlignment="1">
      <alignment horizontal="center" textRotation="90" wrapText="1"/>
    </xf>
    <xf numFmtId="38" fontId="11" fillId="0" borderId="45" xfId="7" applyNumberFormat="1" applyFont="1" applyBorder="1" applyAlignment="1">
      <alignment horizontal="center" textRotation="90" wrapText="1"/>
    </xf>
    <xf numFmtId="38" fontId="11" fillId="0" borderId="41" xfId="7" applyNumberFormat="1" applyFont="1" applyBorder="1" applyAlignment="1">
      <alignment horizontal="center" textRotation="90" wrapText="1"/>
    </xf>
    <xf numFmtId="38" fontId="11" fillId="0" borderId="46" xfId="7" applyNumberFormat="1" applyFont="1" applyBorder="1" applyAlignment="1">
      <alignment horizontal="center" textRotation="90" wrapText="1"/>
    </xf>
    <xf numFmtId="38" fontId="11" fillId="0" borderId="47" xfId="7" applyNumberFormat="1" applyFont="1" applyBorder="1" applyAlignment="1">
      <alignment horizontal="center" textRotation="90" wrapText="1"/>
    </xf>
    <xf numFmtId="38" fontId="10" fillId="0" borderId="48" xfId="7" applyNumberFormat="1" applyFont="1" applyBorder="1" applyAlignment="1">
      <alignment horizontal="left"/>
    </xf>
    <xf numFmtId="38" fontId="11" fillId="0" borderId="49" xfId="7" applyNumberFormat="1" applyFont="1" applyBorder="1" applyAlignment="1">
      <alignment horizontal="center"/>
    </xf>
    <xf numFmtId="38" fontId="11" fillId="0" borderId="50" xfId="7" applyNumberFormat="1" applyFont="1" applyBorder="1" applyAlignment="1">
      <alignment horizontal="center"/>
    </xf>
    <xf numFmtId="38" fontId="11" fillId="0" borderId="51" xfId="7" applyNumberFormat="1" applyFont="1" applyBorder="1" applyAlignment="1">
      <alignment horizontal="center"/>
    </xf>
    <xf numFmtId="38" fontId="11" fillId="0" borderId="52" xfId="7" applyNumberFormat="1" applyFont="1" applyBorder="1" applyAlignment="1">
      <alignment horizontal="center"/>
    </xf>
    <xf numFmtId="38" fontId="10" fillId="0" borderId="53" xfId="7" applyNumberFormat="1" applyFont="1" applyBorder="1" applyAlignment="1">
      <alignment horizontal="center"/>
    </xf>
    <xf numFmtId="38" fontId="11" fillId="0" borderId="54" xfId="7" applyNumberFormat="1" applyFont="1" applyBorder="1" applyAlignment="1">
      <alignment horizontal="center"/>
    </xf>
    <xf numFmtId="38" fontId="10" fillId="0" borderId="51" xfId="7" applyNumberFormat="1" applyFont="1" applyBorder="1" applyAlignment="1">
      <alignment horizontal="center"/>
    </xf>
    <xf numFmtId="38" fontId="10" fillId="30" borderId="52" xfId="7" applyNumberFormat="1" applyFont="1" applyFill="1" applyBorder="1" applyAlignment="1">
      <alignment horizontal="center"/>
    </xf>
    <xf numFmtId="38" fontId="10" fillId="0" borderId="52" xfId="7" applyNumberFormat="1" applyFont="1" applyBorder="1" applyAlignment="1">
      <alignment horizontal="center"/>
    </xf>
    <xf numFmtId="38" fontId="10" fillId="0" borderId="69" xfId="7" applyNumberFormat="1" applyFont="1" applyBorder="1" applyAlignment="1">
      <alignment horizontal="center"/>
    </xf>
    <xf numFmtId="38" fontId="10" fillId="0" borderId="55" xfId="7" applyNumberFormat="1" applyFont="1" applyBorder="1" applyAlignment="1">
      <alignment horizontal="center"/>
    </xf>
    <xf numFmtId="38" fontId="11" fillId="0" borderId="48" xfId="7" applyNumberFormat="1" applyFont="1" applyBorder="1" applyAlignment="1">
      <alignment horizontal="center"/>
    </xf>
    <xf numFmtId="38" fontId="10" fillId="0" borderId="56" xfId="7" applyNumberFormat="1" applyFont="1" applyBorder="1" applyAlignment="1">
      <alignment horizontal="center"/>
    </xf>
    <xf numFmtId="38" fontId="10" fillId="0" borderId="54" xfId="7" applyNumberFormat="1" applyFont="1" applyBorder="1" applyAlignment="1">
      <alignment horizontal="center"/>
    </xf>
    <xf numFmtId="38" fontId="10" fillId="0" borderId="57" xfId="7" applyNumberFormat="1" applyFont="1" applyBorder="1" applyAlignment="1">
      <alignment horizontal="center"/>
    </xf>
    <xf numFmtId="38" fontId="10" fillId="0" borderId="8" xfId="7" applyNumberFormat="1" applyFont="1" applyBorder="1" applyAlignment="1">
      <alignment horizontal="left"/>
    </xf>
    <xf numFmtId="38" fontId="11" fillId="0" borderId="9" xfId="7" applyNumberFormat="1" applyFont="1" applyBorder="1" applyAlignment="1">
      <alignment horizontal="center"/>
    </xf>
    <xf numFmtId="38" fontId="11" fillId="0" borderId="58" xfId="7" applyNumberFormat="1" applyFont="1" applyBorder="1" applyAlignment="1">
      <alignment horizontal="center"/>
    </xf>
    <xf numFmtId="38" fontId="11" fillId="0" borderId="59" xfId="7" applyNumberFormat="1" applyFont="1" applyBorder="1" applyAlignment="1">
      <alignment horizontal="center"/>
    </xf>
    <xf numFmtId="38" fontId="11" fillId="0" borderId="60" xfId="7" applyNumberFormat="1" applyFont="1" applyBorder="1" applyAlignment="1">
      <alignment horizontal="center"/>
    </xf>
    <xf numFmtId="38" fontId="10" fillId="0" borderId="60" xfId="7" applyNumberFormat="1" applyFont="1" applyBorder="1" applyAlignment="1">
      <alignment horizontal="center"/>
    </xf>
    <xf numFmtId="38" fontId="11" fillId="0" borderId="61" xfId="7" applyNumberFormat="1" applyFont="1" applyBorder="1" applyAlignment="1">
      <alignment horizontal="center"/>
    </xf>
    <xf numFmtId="38" fontId="10" fillId="0" borderId="59" xfId="7" applyNumberFormat="1" applyFont="1" applyBorder="1" applyAlignment="1">
      <alignment horizontal="center"/>
    </xf>
    <xf numFmtId="38" fontId="10" fillId="30" borderId="62" xfId="7" applyNumberFormat="1" applyFont="1" applyFill="1" applyBorder="1" applyAlignment="1">
      <alignment horizontal="center"/>
    </xf>
    <xf numFmtId="38" fontId="10" fillId="0" borderId="62" xfId="7" applyNumberFormat="1" applyFont="1" applyBorder="1" applyAlignment="1">
      <alignment horizontal="center"/>
    </xf>
    <xf numFmtId="38" fontId="11" fillId="0" borderId="8" xfId="7" applyNumberFormat="1" applyFont="1" applyBorder="1" applyAlignment="1">
      <alignment horizontal="center"/>
    </xf>
    <xf numFmtId="38" fontId="10" fillId="0" borderId="63" xfId="7" applyNumberFormat="1" applyFont="1" applyBorder="1" applyAlignment="1">
      <alignment horizontal="center"/>
    </xf>
    <xf numFmtId="38" fontId="10" fillId="0" borderId="61" xfId="7" applyNumberFormat="1" applyFont="1" applyBorder="1" applyAlignment="1">
      <alignment horizontal="center"/>
    </xf>
    <xf numFmtId="38" fontId="10" fillId="0" borderId="64" xfId="7" applyNumberFormat="1" applyFont="1" applyBorder="1" applyAlignment="1">
      <alignment horizontal="center"/>
    </xf>
    <xf numFmtId="38" fontId="11" fillId="0" borderId="62" xfId="7" applyNumberFormat="1" applyFont="1" applyBorder="1" applyAlignment="1">
      <alignment horizontal="center"/>
    </xf>
    <xf numFmtId="38" fontId="10" fillId="0" borderId="30" xfId="7" applyNumberFormat="1" applyFont="1" applyBorder="1" applyAlignment="1">
      <alignment horizontal="left"/>
    </xf>
    <xf numFmtId="38" fontId="11" fillId="0" borderId="31" xfId="7" applyNumberFormat="1" applyFont="1" applyBorder="1" applyAlignment="1">
      <alignment horizontal="center"/>
    </xf>
    <xf numFmtId="38" fontId="11" fillId="0" borderId="32" xfId="7" applyNumberFormat="1" applyFont="1" applyBorder="1" applyAlignment="1">
      <alignment horizontal="center"/>
    </xf>
    <xf numFmtId="38" fontId="10" fillId="0" borderId="34" xfId="7" applyNumberFormat="1" applyFont="1" applyBorder="1" applyAlignment="1">
      <alignment horizontal="center"/>
    </xf>
    <xf numFmtId="38" fontId="11" fillId="0" borderId="35" xfId="7" applyNumberFormat="1" applyFont="1" applyBorder="1" applyAlignment="1">
      <alignment horizontal="center"/>
    </xf>
    <xf numFmtId="38" fontId="10" fillId="0" borderId="32" xfId="7" applyNumberFormat="1" applyFont="1" applyBorder="1" applyAlignment="1">
      <alignment horizontal="center"/>
    </xf>
    <xf numFmtId="38" fontId="10" fillId="30" borderId="32" xfId="7" applyNumberFormat="1" applyFont="1" applyFill="1" applyBorder="1" applyAlignment="1">
      <alignment horizontal="center"/>
    </xf>
    <xf numFmtId="38" fontId="11" fillId="0" borderId="30" xfId="7" applyNumberFormat="1" applyFont="1" applyBorder="1" applyAlignment="1">
      <alignment horizontal="center"/>
    </xf>
    <xf numFmtId="38" fontId="10" fillId="0" borderId="36" xfId="7" applyNumberFormat="1" applyFont="1" applyBorder="1" applyAlignment="1">
      <alignment horizontal="center"/>
    </xf>
    <xf numFmtId="38" fontId="10" fillId="0" borderId="33" xfId="7" applyNumberFormat="1" applyFont="1" applyBorder="1" applyAlignment="1">
      <alignment horizontal="center"/>
    </xf>
    <xf numFmtId="38" fontId="10" fillId="0" borderId="35" xfId="7" applyNumberFormat="1" applyFont="1" applyBorder="1" applyAlignment="1">
      <alignment horizontal="center"/>
    </xf>
    <xf numFmtId="38" fontId="10" fillId="0" borderId="37" xfId="7" applyNumberFormat="1" applyFont="1" applyBorder="1" applyAlignment="1">
      <alignment horizontal="center"/>
    </xf>
    <xf numFmtId="38" fontId="11" fillId="0" borderId="65" xfId="7" applyNumberFormat="1" applyFont="1" applyBorder="1" applyAlignment="1">
      <alignment horizontal="left"/>
    </xf>
    <xf numFmtId="38" fontId="11" fillId="0" borderId="66" xfId="7" applyNumberFormat="1" applyFont="1" applyBorder="1" applyAlignment="1">
      <alignment horizontal="center"/>
    </xf>
    <xf numFmtId="38" fontId="11" fillId="0" borderId="67" xfId="7" applyNumberFormat="1" applyFont="1" applyBorder="1" applyAlignment="1">
      <alignment horizontal="center"/>
    </xf>
    <xf numFmtId="38" fontId="11" fillId="0" borderId="65" xfId="7" applyNumberFormat="1" applyFont="1" applyBorder="1" applyAlignment="1">
      <alignment horizontal="center"/>
    </xf>
    <xf numFmtId="38" fontId="11" fillId="0" borderId="55" xfId="7" applyNumberFormat="1" applyFont="1" applyBorder="1" applyAlignment="1">
      <alignment horizontal="center"/>
    </xf>
    <xf numFmtId="38" fontId="11" fillId="0" borderId="68" xfId="7" applyNumberFormat="1" applyFont="1" applyBorder="1" applyAlignment="1">
      <alignment horizontal="center"/>
    </xf>
    <xf numFmtId="38" fontId="11" fillId="30" borderId="55" xfId="7" applyNumberFormat="1" applyFont="1" applyFill="1" applyBorder="1" applyAlignment="1">
      <alignment horizontal="center"/>
    </xf>
    <xf numFmtId="38" fontId="11" fillId="0" borderId="69" xfId="7" applyNumberFormat="1" applyFont="1" applyBorder="1" applyAlignment="1">
      <alignment horizontal="center"/>
    </xf>
    <xf numFmtId="38" fontId="11" fillId="0" borderId="70" xfId="7" applyNumberFormat="1" applyFont="1" applyBorder="1" applyAlignment="1">
      <alignment horizontal="center"/>
    </xf>
    <xf numFmtId="38" fontId="11" fillId="0" borderId="71" xfId="7" applyNumberFormat="1" applyFont="1" applyBorder="1" applyAlignment="1">
      <alignment horizontal="center"/>
    </xf>
    <xf numFmtId="38" fontId="11" fillId="0" borderId="38" xfId="7" applyNumberFormat="1" applyFont="1" applyBorder="1" applyAlignment="1">
      <alignment horizontal="left"/>
    </xf>
    <xf numFmtId="38" fontId="11" fillId="0" borderId="72" xfId="7" applyNumberFormat="1" applyFont="1" applyBorder="1" applyAlignment="1">
      <alignment horizontal="center"/>
    </xf>
    <xf numFmtId="38" fontId="11" fillId="0" borderId="1" xfId="7" applyNumberFormat="1" applyFont="1" applyBorder="1" applyAlignment="1">
      <alignment horizontal="center"/>
    </xf>
    <xf numFmtId="38" fontId="11" fillId="0" borderId="38" xfId="7" applyNumberFormat="1" applyFont="1" applyBorder="1" applyAlignment="1">
      <alignment horizontal="center"/>
    </xf>
    <xf numFmtId="38" fontId="11" fillId="0" borderId="73" xfId="7" applyNumberFormat="1" applyFont="1" applyBorder="1" applyAlignment="1">
      <alignment horizontal="center"/>
    </xf>
    <xf numFmtId="38" fontId="11" fillId="0" borderId="74" xfId="7" applyNumberFormat="1" applyFont="1" applyBorder="1" applyAlignment="1">
      <alignment horizontal="center"/>
    </xf>
    <xf numFmtId="38" fontId="11" fillId="0" borderId="42" xfId="7" applyNumberFormat="1" applyFont="1" applyBorder="1" applyAlignment="1">
      <alignment horizontal="center"/>
    </xf>
    <xf numFmtId="38" fontId="11" fillId="30" borderId="73" xfId="7" applyNumberFormat="1" applyFont="1" applyFill="1" applyBorder="1" applyAlignment="1">
      <alignment horizontal="center"/>
    </xf>
    <xf numFmtId="38" fontId="10" fillId="0" borderId="42" xfId="7" applyNumberFormat="1" applyFont="1" applyBorder="1" applyAlignment="1">
      <alignment horizontal="center"/>
    </xf>
    <xf numFmtId="38" fontId="11" fillId="0" borderId="75" xfId="7" applyNumberFormat="1" applyFont="1" applyBorder="1" applyAlignment="1">
      <alignment horizontal="center"/>
    </xf>
    <xf numFmtId="38" fontId="11" fillId="0" borderId="76" xfId="7" applyNumberFormat="1" applyFont="1" applyBorder="1" applyAlignment="1">
      <alignment horizontal="center"/>
    </xf>
    <xf numFmtId="38" fontId="11" fillId="0" borderId="77" xfId="7" applyNumberFormat="1" applyFont="1" applyBorder="1" applyAlignment="1">
      <alignment horizontal="center"/>
    </xf>
    <xf numFmtId="38" fontId="11" fillId="0" borderId="78" xfId="7" applyNumberFormat="1" applyFont="1" applyBorder="1" applyAlignment="1">
      <alignment horizontal="center"/>
    </xf>
    <xf numFmtId="38" fontId="11" fillId="0" borderId="79" xfId="7" applyNumberFormat="1" applyFont="1" applyBorder="1" applyAlignment="1">
      <alignment horizontal="center"/>
    </xf>
    <xf numFmtId="38" fontId="10" fillId="0" borderId="80" xfId="7" applyNumberFormat="1" applyFont="1" applyBorder="1" applyAlignment="1">
      <alignment horizontal="left"/>
    </xf>
    <xf numFmtId="38" fontId="11" fillId="0" borderId="81" xfId="7" applyNumberFormat="1" applyFont="1" applyBorder="1" applyAlignment="1">
      <alignment horizontal="center"/>
    </xf>
    <xf numFmtId="38" fontId="11" fillId="0" borderId="82" xfId="7" applyNumberFormat="1" applyFont="1" applyBorder="1" applyAlignment="1">
      <alignment horizontal="center"/>
    </xf>
    <xf numFmtId="38" fontId="10" fillId="0" borderId="83" xfId="7" applyNumberFormat="1" applyFont="1" applyBorder="1" applyAlignment="1">
      <alignment horizontal="center"/>
    </xf>
    <xf numFmtId="38" fontId="10" fillId="0" borderId="84" xfId="7" applyNumberFormat="1" applyFont="1" applyBorder="1" applyAlignment="1">
      <alignment horizontal="center"/>
    </xf>
    <xf numFmtId="38" fontId="10" fillId="0" borderId="85" xfId="7" applyNumberFormat="1" applyFont="1" applyBorder="1" applyAlignment="1">
      <alignment horizontal="center"/>
    </xf>
    <xf numFmtId="38" fontId="11" fillId="0" borderId="86" xfId="7" applyNumberFormat="1" applyFont="1" applyBorder="1" applyAlignment="1">
      <alignment horizontal="center"/>
    </xf>
    <xf numFmtId="38" fontId="10" fillId="30" borderId="84" xfId="7" applyNumberFormat="1" applyFont="1" applyFill="1" applyBorder="1" applyAlignment="1">
      <alignment horizontal="center"/>
    </xf>
    <xf numFmtId="38" fontId="11" fillId="0" borderId="80" xfId="7" applyNumberFormat="1" applyFont="1" applyBorder="1" applyAlignment="1">
      <alignment horizontal="center"/>
    </xf>
    <xf numFmtId="38" fontId="10" fillId="0" borderId="87" xfId="7" applyNumberFormat="1" applyFont="1" applyBorder="1" applyAlignment="1">
      <alignment horizontal="center"/>
    </xf>
    <xf numFmtId="38" fontId="10" fillId="0" borderId="86" xfId="7" applyNumberFormat="1" applyFont="1" applyBorder="1" applyAlignment="1">
      <alignment horizontal="center"/>
    </xf>
    <xf numFmtId="38" fontId="10" fillId="0" borderId="88" xfId="7" applyNumberFormat="1" applyFont="1" applyBorder="1" applyAlignment="1">
      <alignment horizontal="center"/>
    </xf>
    <xf numFmtId="38" fontId="10" fillId="0" borderId="89" xfId="7" applyNumberFormat="1" applyFont="1" applyBorder="1" applyAlignment="1">
      <alignment horizontal="center"/>
    </xf>
    <xf numFmtId="38" fontId="10" fillId="0" borderId="90" xfId="7" applyNumberFormat="1" applyFont="1" applyBorder="1" applyAlignment="1">
      <alignment horizontal="left"/>
    </xf>
    <xf numFmtId="38" fontId="11" fillId="0" borderId="91" xfId="7" applyNumberFormat="1" applyFont="1" applyBorder="1" applyAlignment="1">
      <alignment horizontal="center"/>
    </xf>
    <xf numFmtId="38" fontId="11" fillId="0" borderId="92" xfId="7" applyNumberFormat="1" applyFont="1" applyBorder="1" applyAlignment="1">
      <alignment horizontal="center"/>
    </xf>
    <xf numFmtId="38" fontId="10" fillId="0" borderId="93" xfId="7" applyNumberFormat="1" applyFont="1" applyBorder="1" applyAlignment="1">
      <alignment horizontal="center"/>
    </xf>
    <xf numFmtId="38" fontId="10" fillId="0" borderId="94" xfId="7" applyNumberFormat="1" applyFont="1" applyBorder="1" applyAlignment="1">
      <alignment horizontal="center"/>
    </xf>
    <xf numFmtId="38" fontId="10" fillId="0" borderId="95" xfId="7" applyNumberFormat="1" applyFont="1" applyBorder="1" applyAlignment="1">
      <alignment horizontal="center"/>
    </xf>
    <xf numFmtId="38" fontId="11" fillId="0" borderId="96" xfId="7" applyNumberFormat="1" applyFont="1" applyBorder="1" applyAlignment="1">
      <alignment horizontal="center"/>
    </xf>
    <xf numFmtId="38" fontId="10" fillId="30" borderId="94" xfId="7" applyNumberFormat="1" applyFont="1" applyFill="1" applyBorder="1" applyAlignment="1">
      <alignment horizontal="center"/>
    </xf>
    <xf numFmtId="38" fontId="11" fillId="0" borderId="90" xfId="7" applyNumberFormat="1" applyFont="1" applyBorder="1" applyAlignment="1">
      <alignment horizontal="center"/>
    </xf>
    <xf numFmtId="38" fontId="10" fillId="0" borderId="97" xfId="7" applyNumberFormat="1" applyFont="1" applyBorder="1" applyAlignment="1">
      <alignment horizontal="center"/>
    </xf>
    <xf numFmtId="38" fontId="10" fillId="0" borderId="96" xfId="7" applyNumberFormat="1" applyFont="1" applyBorder="1" applyAlignment="1">
      <alignment horizontal="center"/>
    </xf>
    <xf numFmtId="38" fontId="10" fillId="0" borderId="98" xfId="7" applyNumberFormat="1" applyFont="1" applyBorder="1" applyAlignment="1">
      <alignment horizontal="center"/>
    </xf>
    <xf numFmtId="38" fontId="11" fillId="0" borderId="0" xfId="7" applyNumberFormat="1" applyFont="1" applyAlignment="1">
      <alignment horizontal="left"/>
    </xf>
    <xf numFmtId="38" fontId="11" fillId="0" borderId="19" xfId="7" applyNumberFormat="1" applyFont="1" applyBorder="1" applyAlignment="1">
      <alignment horizontal="center"/>
    </xf>
    <xf numFmtId="38" fontId="11" fillId="0" borderId="23" xfId="7" applyNumberFormat="1" applyFont="1" applyBorder="1" applyAlignment="1">
      <alignment horizontal="center"/>
    </xf>
    <xf numFmtId="38" fontId="11" fillId="0" borderId="24" xfId="7" applyNumberFormat="1" applyFont="1" applyBorder="1" applyAlignment="1">
      <alignment horizontal="center"/>
    </xf>
    <xf numFmtId="38" fontId="11" fillId="0" borderId="25" xfId="7" applyNumberFormat="1" applyFont="1" applyBorder="1" applyAlignment="1">
      <alignment horizontal="center"/>
    </xf>
    <xf numFmtId="38" fontId="11" fillId="0" borderId="26" xfId="7" applyNumberFormat="1" applyFont="1" applyBorder="1" applyAlignment="1">
      <alignment horizontal="center"/>
    </xf>
    <xf numFmtId="38" fontId="11" fillId="0" borderId="148" xfId="7" applyNumberFormat="1" applyFont="1" applyBorder="1" applyAlignment="1">
      <alignment horizontal="center"/>
    </xf>
    <xf numFmtId="38" fontId="11" fillId="30" borderId="25" xfId="7" applyNumberFormat="1" applyFont="1" applyFill="1" applyBorder="1" applyAlignment="1">
      <alignment horizontal="center"/>
    </xf>
    <xf numFmtId="38" fontId="11" fillId="0" borderId="0" xfId="7" applyNumberFormat="1" applyFont="1" applyAlignment="1">
      <alignment horizontal="center"/>
    </xf>
    <xf numFmtId="38" fontId="11" fillId="0" borderId="99" xfId="7" applyNumberFormat="1" applyFont="1" applyBorder="1" applyAlignment="1">
      <alignment horizontal="center"/>
    </xf>
    <xf numFmtId="38" fontId="11" fillId="0" borderId="100" xfId="7" applyNumberFormat="1" applyFont="1" applyBorder="1" applyAlignment="1">
      <alignment horizontal="center"/>
    </xf>
    <xf numFmtId="38" fontId="11" fillId="0" borderId="27" xfId="7" applyNumberFormat="1" applyFont="1" applyBorder="1" applyAlignment="1">
      <alignment horizontal="center"/>
    </xf>
    <xf numFmtId="38" fontId="10" fillId="0" borderId="101" xfId="7" applyNumberFormat="1" applyFont="1" applyBorder="1" applyAlignment="1">
      <alignment horizontal="center"/>
    </xf>
    <xf numFmtId="1" fontId="10" fillId="0" borderId="61" xfId="7" applyNumberFormat="1" applyFont="1" applyBorder="1" applyAlignment="1">
      <alignment horizontal="center"/>
    </xf>
    <xf numFmtId="38" fontId="11" fillId="0" borderId="144" xfId="7" applyNumberFormat="1" applyFont="1" applyBorder="1" applyAlignment="1">
      <alignment horizontal="left"/>
    </xf>
    <xf numFmtId="38" fontId="11" fillId="0" borderId="102" xfId="7" applyNumberFormat="1" applyFont="1" applyBorder="1" applyAlignment="1">
      <alignment horizontal="center"/>
    </xf>
    <xf numFmtId="38" fontId="11" fillId="0" borderId="103" xfId="7" applyNumberFormat="1" applyFont="1" applyBorder="1" applyAlignment="1">
      <alignment horizontal="center"/>
    </xf>
    <xf numFmtId="38" fontId="10" fillId="0" borderId="104" xfId="7" applyNumberFormat="1" applyFont="1" applyBorder="1" applyAlignment="1">
      <alignment horizontal="center"/>
    </xf>
    <xf numFmtId="38" fontId="10" fillId="0" borderId="105" xfId="7" applyNumberFormat="1" applyFont="1" applyBorder="1" applyAlignment="1">
      <alignment horizontal="center"/>
    </xf>
    <xf numFmtId="38" fontId="10" fillId="0" borderId="106" xfId="7" applyNumberFormat="1" applyFont="1" applyBorder="1" applyAlignment="1">
      <alignment horizontal="center"/>
    </xf>
    <xf numFmtId="38" fontId="11" fillId="0" borderId="147" xfId="7" applyNumberFormat="1" applyFont="1" applyBorder="1" applyAlignment="1">
      <alignment horizontal="center"/>
    </xf>
    <xf numFmtId="38" fontId="11" fillId="0" borderId="144" xfId="7" applyNumberFormat="1" applyFont="1" applyBorder="1" applyAlignment="1">
      <alignment horizontal="center"/>
    </xf>
    <xf numFmtId="38" fontId="10" fillId="0" borderId="150" xfId="7" applyNumberFormat="1" applyFont="1" applyBorder="1" applyAlignment="1">
      <alignment horizontal="center"/>
    </xf>
    <xf numFmtId="38" fontId="10" fillId="0" borderId="100" xfId="7" applyNumberFormat="1" applyFont="1" applyBorder="1" applyAlignment="1">
      <alignment horizontal="center"/>
    </xf>
    <xf numFmtId="38" fontId="10" fillId="0" borderId="147" xfId="7" applyNumberFormat="1" applyFont="1" applyBorder="1" applyAlignment="1">
      <alignment horizontal="center"/>
    </xf>
    <xf numFmtId="38" fontId="10" fillId="0" borderId="109" xfId="7" applyNumberFormat="1" applyFont="1" applyBorder="1" applyAlignment="1">
      <alignment horizontal="center"/>
    </xf>
    <xf numFmtId="38" fontId="11" fillId="0" borderId="110" xfId="7" applyNumberFormat="1" applyFont="1" applyBorder="1" applyAlignment="1">
      <alignment horizontal="center"/>
    </xf>
    <xf numFmtId="38" fontId="10" fillId="0" borderId="111" xfId="7" applyNumberFormat="1" applyFont="1" applyBorder="1" applyAlignment="1">
      <alignment horizontal="center"/>
    </xf>
    <xf numFmtId="38" fontId="11" fillId="0" borderId="84" xfId="7" applyNumberFormat="1" applyFont="1" applyBorder="1" applyAlignment="1">
      <alignment horizontal="center"/>
    </xf>
    <xf numFmtId="38" fontId="10" fillId="0" borderId="80" xfId="7" applyNumberFormat="1" applyFont="1" applyBorder="1" applyAlignment="1">
      <alignment horizontal="center"/>
    </xf>
    <xf numFmtId="38" fontId="10" fillId="0" borderId="0" xfId="7" applyNumberFormat="1" applyFont="1" applyAlignment="1">
      <alignment horizontal="left"/>
    </xf>
    <xf numFmtId="38" fontId="11" fillId="0" borderId="2" xfId="7" applyNumberFormat="1" applyFont="1" applyBorder="1" applyAlignment="1">
      <alignment horizontal="center"/>
    </xf>
    <xf numFmtId="38" fontId="11" fillId="0" borderId="166" xfId="7" applyNumberFormat="1" applyFont="1" applyBorder="1" applyAlignment="1">
      <alignment horizontal="center"/>
    </xf>
    <xf numFmtId="38" fontId="10" fillId="0" borderId="26" xfId="7" applyNumberFormat="1" applyFont="1" applyBorder="1" applyAlignment="1">
      <alignment horizontal="center"/>
    </xf>
    <xf numFmtId="38" fontId="10" fillId="0" borderId="0" xfId="7" applyNumberFormat="1" applyFont="1" applyAlignment="1">
      <alignment horizontal="center"/>
    </xf>
    <xf numFmtId="38" fontId="10" fillId="0" borderId="25" xfId="7" applyNumberFormat="1" applyFont="1" applyBorder="1" applyAlignment="1">
      <alignment horizontal="center"/>
    </xf>
    <xf numFmtId="38" fontId="10" fillId="0" borderId="99" xfId="7" applyNumberFormat="1" applyFont="1" applyBorder="1" applyAlignment="1">
      <alignment horizontal="center"/>
    </xf>
    <xf numFmtId="38" fontId="10" fillId="0" borderId="24" xfId="7" applyNumberFormat="1" applyFont="1" applyBorder="1" applyAlignment="1">
      <alignment horizontal="center"/>
    </xf>
    <xf numFmtId="38" fontId="10" fillId="0" borderId="148" xfId="7" applyNumberFormat="1" applyFont="1" applyBorder="1" applyAlignment="1">
      <alignment horizontal="center"/>
    </xf>
    <xf numFmtId="38" fontId="10" fillId="0" borderId="27" xfId="7" applyNumberFormat="1" applyFont="1" applyBorder="1" applyAlignment="1">
      <alignment horizontal="center"/>
    </xf>
    <xf numFmtId="38" fontId="11" fillId="0" borderId="112" xfId="7" applyNumberFormat="1" applyFont="1" applyBorder="1" applyAlignment="1">
      <alignment horizontal="center"/>
    </xf>
    <xf numFmtId="38" fontId="10" fillId="0" borderId="167" xfId="7" applyNumberFormat="1" applyFont="1" applyBorder="1" applyAlignment="1">
      <alignment horizontal="center"/>
    </xf>
    <xf numFmtId="38" fontId="10" fillId="0" borderId="30" xfId="7" applyNumberFormat="1" applyFont="1" applyBorder="1" applyAlignment="1">
      <alignment horizontal="center"/>
    </xf>
    <xf numFmtId="38" fontId="10" fillId="30" borderId="25" xfId="7" applyNumberFormat="1" applyFont="1" applyFill="1" applyBorder="1" applyAlignment="1">
      <alignment horizontal="center"/>
    </xf>
    <xf numFmtId="38" fontId="11" fillId="0" borderId="113" xfId="7" applyNumberFormat="1" applyFont="1" applyBorder="1" applyAlignment="1">
      <alignment horizontal="left"/>
    </xf>
    <xf numFmtId="38" fontId="11" fillId="0" borderId="114" xfId="7" applyNumberFormat="1" applyFont="1" applyBorder="1" applyAlignment="1">
      <alignment horizontal="center"/>
    </xf>
    <xf numFmtId="38" fontId="11" fillId="0" borderId="115" xfId="7" applyNumberFormat="1" applyFont="1" applyBorder="1" applyAlignment="1">
      <alignment horizontal="center"/>
    </xf>
    <xf numFmtId="38" fontId="11" fillId="0" borderId="116" xfId="7" applyNumberFormat="1" applyFont="1" applyBorder="1" applyAlignment="1">
      <alignment horizontal="center"/>
    </xf>
    <xf numFmtId="38" fontId="11" fillId="0" borderId="117" xfId="7" applyNumberFormat="1" applyFont="1" applyBorder="1" applyAlignment="1">
      <alignment horizontal="center"/>
    </xf>
    <xf numFmtId="38" fontId="11" fillId="0" borderId="118" xfId="7" applyNumberFormat="1" applyFont="1" applyBorder="1" applyAlignment="1">
      <alignment horizontal="center"/>
    </xf>
    <xf numFmtId="38" fontId="11" fillId="30" borderId="117" xfId="7" applyNumberFormat="1" applyFont="1" applyFill="1" applyBorder="1" applyAlignment="1">
      <alignment horizontal="center"/>
    </xf>
    <xf numFmtId="38" fontId="11" fillId="0" borderId="113" xfId="7" applyNumberFormat="1" applyFont="1" applyBorder="1" applyAlignment="1">
      <alignment horizontal="center"/>
    </xf>
    <xf numFmtId="38" fontId="11" fillId="0" borderId="119" xfId="7" applyNumberFormat="1" applyFont="1" applyBorder="1" applyAlignment="1">
      <alignment horizontal="center"/>
    </xf>
    <xf numFmtId="38" fontId="11" fillId="0" borderId="120" xfId="7" applyNumberFormat="1" applyFont="1" applyBorder="1" applyAlignment="1">
      <alignment horizontal="center"/>
    </xf>
    <xf numFmtId="38" fontId="10" fillId="0" borderId="144" xfId="7" applyNumberFormat="1" applyFont="1" applyBorder="1" applyAlignment="1">
      <alignment horizontal="left"/>
    </xf>
    <xf numFmtId="38" fontId="10" fillId="0" borderId="102" xfId="7" applyNumberFormat="1" applyFont="1" applyBorder="1" applyAlignment="1">
      <alignment horizontal="center"/>
    </xf>
    <xf numFmtId="38" fontId="10" fillId="0" borderId="103" xfId="7" applyNumberFormat="1" applyFont="1" applyBorder="1" applyAlignment="1">
      <alignment horizontal="center"/>
    </xf>
    <xf numFmtId="38" fontId="10" fillId="30" borderId="105" xfId="7" applyNumberFormat="1" applyFont="1" applyFill="1" applyBorder="1" applyAlignment="1">
      <alignment horizontal="center"/>
    </xf>
    <xf numFmtId="38" fontId="10" fillId="0" borderId="144" xfId="7" applyNumberFormat="1" applyFont="1" applyBorder="1" applyAlignment="1">
      <alignment horizontal="center"/>
    </xf>
    <xf numFmtId="38" fontId="11" fillId="30" borderId="69" xfId="7" applyNumberFormat="1" applyFont="1" applyFill="1" applyBorder="1" applyAlignment="1">
      <alignment horizontal="center"/>
    </xf>
    <xf numFmtId="38" fontId="11" fillId="0" borderId="121" xfId="7" applyNumberFormat="1" applyFont="1" applyBorder="1" applyAlignment="1">
      <alignment horizontal="left"/>
    </xf>
    <xf numFmtId="38" fontId="11" fillId="0" borderId="122" xfId="7" applyNumberFormat="1" applyFont="1" applyBorder="1" applyAlignment="1">
      <alignment horizontal="center"/>
    </xf>
    <xf numFmtId="38" fontId="11" fillId="0" borderId="123" xfId="7" applyNumberFormat="1" applyFont="1" applyBorder="1" applyAlignment="1">
      <alignment horizontal="center"/>
    </xf>
    <xf numFmtId="38" fontId="11" fillId="0" borderId="124" xfId="7" applyNumberFormat="1" applyFont="1" applyBorder="1" applyAlignment="1">
      <alignment horizontal="center"/>
    </xf>
    <xf numFmtId="38" fontId="11" fillId="0" borderId="168" xfId="7" applyNumberFormat="1" applyFont="1" applyBorder="1" applyAlignment="1">
      <alignment horizontal="center"/>
    </xf>
    <xf numFmtId="38" fontId="11" fillId="0" borderId="125" xfId="7" applyNumberFormat="1" applyFont="1" applyBorder="1" applyAlignment="1">
      <alignment horizontal="center"/>
    </xf>
    <xf numFmtId="38" fontId="11" fillId="0" borderId="126" xfId="7" applyNumberFormat="1" applyFont="1" applyBorder="1" applyAlignment="1">
      <alignment horizontal="center"/>
    </xf>
    <xf numFmtId="38" fontId="11" fillId="0" borderId="121" xfId="7" applyNumberFormat="1" applyFont="1" applyBorder="1" applyAlignment="1">
      <alignment horizontal="center"/>
    </xf>
    <xf numFmtId="38" fontId="11" fillId="0" borderId="127" xfId="7" applyNumberFormat="1" applyFont="1" applyBorder="1" applyAlignment="1">
      <alignment horizontal="center"/>
    </xf>
    <xf numFmtId="38" fontId="11" fillId="0" borderId="151" xfId="7" applyNumberFormat="1" applyFont="1" applyBorder="1" applyAlignment="1">
      <alignment horizontal="center"/>
    </xf>
    <xf numFmtId="38" fontId="10" fillId="0" borderId="28" xfId="8" applyNumberFormat="1" applyFont="1" applyBorder="1" applyAlignment="1">
      <alignment horizontal="left" vertical="top" wrapText="1"/>
    </xf>
    <xf numFmtId="38" fontId="10" fillId="0" borderId="29" xfId="8" applyNumberFormat="1" applyFont="1" applyBorder="1" applyAlignment="1">
      <alignment vertical="top"/>
    </xf>
    <xf numFmtId="38" fontId="11" fillId="0" borderId="128" xfId="7" applyNumberFormat="1" applyFont="1" applyBorder="1" applyAlignment="1">
      <alignment horizontal="center"/>
    </xf>
    <xf numFmtId="38" fontId="10" fillId="0" borderId="28" xfId="7" applyNumberFormat="1" applyFont="1" applyBorder="1" applyAlignment="1">
      <alignment horizontal="center"/>
    </xf>
    <xf numFmtId="38" fontId="10" fillId="0" borderId="169" xfId="7" applyNumberFormat="1" applyFont="1" applyBorder="1" applyAlignment="1">
      <alignment horizontal="center"/>
    </xf>
    <xf numFmtId="38" fontId="11" fillId="0" borderId="17" xfId="7" applyNumberFormat="1" applyFont="1" applyBorder="1" applyAlignment="1">
      <alignment horizontal="center"/>
    </xf>
    <xf numFmtId="38" fontId="10" fillId="0" borderId="130" xfId="7" applyNumberFormat="1" applyFont="1" applyBorder="1" applyAlignment="1">
      <alignment horizontal="center"/>
    </xf>
    <xf numFmtId="38" fontId="10" fillId="30" borderId="89" xfId="7" applyNumberFormat="1" applyFont="1" applyFill="1" applyBorder="1" applyAlignment="1">
      <alignment horizontal="center"/>
    </xf>
    <xf numFmtId="38" fontId="10" fillId="0" borderId="129" xfId="7" applyNumberFormat="1" applyFont="1" applyBorder="1" applyAlignment="1">
      <alignment horizontal="center"/>
    </xf>
    <xf numFmtId="38" fontId="11" fillId="0" borderId="28" xfId="7" applyNumberFormat="1" applyFont="1" applyBorder="1" applyAlignment="1">
      <alignment horizontal="center"/>
    </xf>
    <xf numFmtId="38" fontId="10" fillId="0" borderId="131" xfId="7" applyNumberFormat="1" applyFont="1" applyBorder="1" applyAlignment="1">
      <alignment horizontal="center"/>
    </xf>
    <xf numFmtId="38" fontId="10" fillId="0" borderId="8" xfId="8" applyNumberFormat="1" applyFont="1" applyBorder="1" applyAlignment="1">
      <alignment horizontal="left" vertical="top" wrapText="1"/>
    </xf>
    <xf numFmtId="38" fontId="10" fillId="0" borderId="9" xfId="8" applyNumberFormat="1" applyFont="1" applyBorder="1" applyAlignment="1">
      <alignment horizontal="left" vertical="top"/>
    </xf>
    <xf numFmtId="38" fontId="10" fillId="0" borderId="8" xfId="7" applyNumberFormat="1" applyFont="1" applyBorder="1" applyAlignment="1">
      <alignment horizontal="center"/>
    </xf>
    <xf numFmtId="38" fontId="10" fillId="0" borderId="152" xfId="7" applyNumberFormat="1" applyFont="1" applyBorder="1" applyAlignment="1">
      <alignment horizontal="center"/>
    </xf>
    <xf numFmtId="38" fontId="10" fillId="0" borderId="9" xfId="8" applyNumberFormat="1" applyFont="1" applyBorder="1" applyAlignment="1">
      <alignment vertical="top"/>
    </xf>
    <xf numFmtId="38" fontId="10" fillId="0" borderId="17" xfId="7" applyNumberFormat="1" applyFont="1" applyBorder="1" applyAlignment="1">
      <alignment horizontal="center"/>
    </xf>
    <xf numFmtId="38" fontId="10" fillId="0" borderId="90" xfId="8" applyNumberFormat="1" applyFont="1" applyBorder="1" applyAlignment="1">
      <alignment horizontal="left" vertical="top" wrapText="1"/>
    </xf>
    <xf numFmtId="38" fontId="10" fillId="0" borderId="91" xfId="8" applyNumberFormat="1" applyFont="1" applyBorder="1" applyAlignment="1">
      <alignment vertical="top"/>
    </xf>
    <xf numFmtId="38" fontId="10" fillId="0" borderId="90" xfId="7" applyNumberFormat="1" applyFont="1" applyBorder="1" applyAlignment="1">
      <alignment horizontal="center"/>
    </xf>
    <xf numFmtId="38" fontId="10" fillId="0" borderId="153" xfId="7" applyNumberFormat="1" applyFont="1" applyBorder="1" applyAlignment="1">
      <alignment horizontal="center"/>
    </xf>
    <xf numFmtId="38" fontId="11" fillId="0" borderId="154" xfId="7" applyNumberFormat="1" applyFont="1" applyBorder="1" applyAlignment="1">
      <alignment horizontal="center"/>
    </xf>
    <xf numFmtId="38" fontId="11" fillId="0" borderId="155" xfId="7" applyNumberFormat="1" applyFont="1" applyBorder="1" applyAlignment="1">
      <alignment horizontal="center"/>
    </xf>
    <xf numFmtId="38" fontId="11" fillId="0" borderId="156" xfId="7" applyNumberFormat="1" applyFont="1" applyBorder="1" applyAlignment="1">
      <alignment horizontal="center"/>
    </xf>
    <xf numFmtId="38" fontId="11" fillId="0" borderId="136" xfId="7" applyNumberFormat="1" applyFont="1" applyBorder="1" applyAlignment="1">
      <alignment horizontal="center"/>
    </xf>
    <xf numFmtId="38" fontId="11" fillId="0" borderId="157" xfId="7" applyNumberFormat="1" applyFont="1" applyBorder="1" applyAlignment="1">
      <alignment horizontal="center"/>
    </xf>
    <xf numFmtId="38" fontId="11" fillId="30" borderId="155" xfId="7" applyNumberFormat="1" applyFont="1" applyFill="1" applyBorder="1" applyAlignment="1">
      <alignment horizontal="center"/>
    </xf>
    <xf numFmtId="38" fontId="11" fillId="0" borderId="140" xfId="7" applyNumberFormat="1" applyFont="1" applyBorder="1" applyAlignment="1">
      <alignment horizontal="center"/>
    </xf>
    <xf numFmtId="38" fontId="11" fillId="0" borderId="138" xfId="7" applyNumberFormat="1" applyFont="1" applyBorder="1" applyAlignment="1">
      <alignment horizontal="center"/>
    </xf>
    <xf numFmtId="38" fontId="11" fillId="0" borderId="158" xfId="7" applyNumberFormat="1" applyFont="1" applyBorder="1" applyAlignment="1">
      <alignment horizontal="center"/>
    </xf>
    <xf numFmtId="38" fontId="10" fillId="0" borderId="80" xfId="8" applyNumberFormat="1" applyFont="1" applyBorder="1" applyAlignment="1">
      <alignment horizontal="left" vertical="top" wrapText="1"/>
    </xf>
    <xf numFmtId="38" fontId="11" fillId="0" borderId="83" xfId="7" applyNumberFormat="1" applyFont="1" applyBorder="1" applyAlignment="1">
      <alignment horizontal="center"/>
    </xf>
    <xf numFmtId="38" fontId="11" fillId="0" borderId="29" xfId="7" applyNumberFormat="1" applyFont="1" applyBorder="1" applyAlignment="1">
      <alignment horizontal="center"/>
    </xf>
    <xf numFmtId="38" fontId="11" fillId="0" borderId="130" xfId="7" applyNumberFormat="1" applyFont="1" applyBorder="1" applyAlignment="1">
      <alignment horizontal="center"/>
    </xf>
    <xf numFmtId="38" fontId="11" fillId="0" borderId="89" xfId="7" applyNumberFormat="1" applyFont="1" applyBorder="1" applyAlignment="1">
      <alignment horizontal="center"/>
    </xf>
    <xf numFmtId="38" fontId="10" fillId="0" borderId="12" xfId="7" applyNumberFormat="1" applyFont="1" applyBorder="1" applyAlignment="1">
      <alignment horizontal="center"/>
    </xf>
    <xf numFmtId="38" fontId="11" fillId="0" borderId="10" xfId="7" applyNumberFormat="1" applyFont="1" applyBorder="1" applyAlignment="1">
      <alignment horizontal="center"/>
    </xf>
    <xf numFmtId="38" fontId="10" fillId="0" borderId="13" xfId="7" applyNumberFormat="1" applyFont="1" applyBorder="1" applyAlignment="1">
      <alignment horizontal="center"/>
    </xf>
    <xf numFmtId="38" fontId="11" fillId="0" borderId="14" xfId="7" applyNumberFormat="1" applyFont="1" applyBorder="1" applyAlignment="1">
      <alignment horizontal="center"/>
    </xf>
    <xf numFmtId="38" fontId="10" fillId="0" borderId="11" xfId="7" applyNumberFormat="1" applyFont="1" applyBorder="1" applyAlignment="1">
      <alignment horizontal="center"/>
    </xf>
    <xf numFmtId="38" fontId="10" fillId="30" borderId="12" xfId="7" applyNumberFormat="1" applyFont="1" applyFill="1" applyBorder="1" applyAlignment="1">
      <alignment horizontal="center"/>
    </xf>
    <xf numFmtId="38" fontId="11" fillId="0" borderId="15" xfId="7" applyNumberFormat="1" applyFont="1" applyBorder="1" applyAlignment="1">
      <alignment horizontal="center"/>
    </xf>
    <xf numFmtId="38" fontId="10" fillId="0" borderId="16" xfId="7" applyNumberFormat="1" applyFont="1" applyBorder="1" applyAlignment="1">
      <alignment horizontal="center"/>
    </xf>
    <xf numFmtId="38" fontId="10" fillId="0" borderId="18" xfId="7" applyNumberFormat="1" applyFont="1" applyBorder="1" applyAlignment="1">
      <alignment horizontal="center"/>
    </xf>
    <xf numFmtId="38" fontId="11" fillId="0" borderId="93" xfId="7" applyNumberFormat="1" applyFont="1" applyBorder="1" applyAlignment="1">
      <alignment horizontal="center"/>
    </xf>
    <xf numFmtId="38" fontId="11" fillId="0" borderId="94" xfId="7" applyNumberFormat="1" applyFont="1" applyBorder="1" applyAlignment="1">
      <alignment horizontal="center"/>
    </xf>
    <xf numFmtId="38" fontId="11" fillId="0" borderId="145" xfId="7" applyNumberFormat="1" applyFont="1" applyBorder="1" applyAlignment="1">
      <alignment horizontal="left"/>
    </xf>
    <xf numFmtId="38" fontId="11" fillId="0" borderId="143" xfId="7" applyNumberFormat="1" applyFont="1" applyBorder="1" applyAlignment="1">
      <alignment horizontal="center"/>
    </xf>
    <xf numFmtId="38" fontId="11" fillId="0" borderId="40" xfId="7" applyNumberFormat="1" applyFont="1" applyBorder="1" applyAlignment="1">
      <alignment horizontal="center"/>
    </xf>
    <xf numFmtId="38" fontId="11" fillId="0" borderId="133" xfId="7" applyNumberFormat="1" applyFont="1" applyBorder="1" applyAlignment="1">
      <alignment horizontal="center"/>
    </xf>
    <xf numFmtId="38" fontId="11" fillId="0" borderId="132" xfId="7" applyNumberFormat="1" applyFont="1" applyBorder="1" applyAlignment="1">
      <alignment horizontal="center"/>
    </xf>
    <xf numFmtId="38" fontId="11" fillId="0" borderId="146" xfId="7" applyNumberFormat="1" applyFont="1" applyBorder="1" applyAlignment="1">
      <alignment horizontal="center"/>
    </xf>
    <xf numFmtId="38" fontId="11" fillId="30" borderId="100" xfId="7" applyNumberFormat="1" applyFont="1" applyFill="1" applyBorder="1" applyAlignment="1">
      <alignment horizontal="center"/>
    </xf>
    <xf numFmtId="38" fontId="11" fillId="0" borderId="145" xfId="7" applyNumberFormat="1" applyFont="1" applyBorder="1" applyAlignment="1">
      <alignment horizontal="center"/>
    </xf>
    <xf numFmtId="38" fontId="11" fillId="0" borderId="134" xfId="7" applyNumberFormat="1" applyFont="1" applyBorder="1" applyAlignment="1">
      <alignment horizontal="center"/>
    </xf>
    <xf numFmtId="38" fontId="11" fillId="0" borderId="39" xfId="7" applyNumberFormat="1" applyFont="1" applyBorder="1" applyAlignment="1">
      <alignment horizontal="center"/>
    </xf>
    <xf numFmtId="38" fontId="11" fillId="0" borderId="142" xfId="7" applyNumberFormat="1" applyFont="1" applyBorder="1" applyAlignment="1">
      <alignment horizontal="center"/>
    </xf>
    <xf numFmtId="38" fontId="11" fillId="30" borderId="133" xfId="7" applyNumberFormat="1" applyFont="1" applyFill="1" applyBorder="1" applyAlignment="1">
      <alignment horizontal="center"/>
    </xf>
    <xf numFmtId="38" fontId="10" fillId="0" borderId="9" xfId="7" applyNumberFormat="1" applyFont="1" applyBorder="1" applyAlignment="1">
      <alignment horizontal="left" vertical="top"/>
    </xf>
    <xf numFmtId="38" fontId="11" fillId="30" borderId="83" xfId="7" applyNumberFormat="1" applyFont="1" applyFill="1" applyBorder="1" applyAlignment="1">
      <alignment horizontal="center"/>
    </xf>
    <xf numFmtId="38" fontId="11" fillId="0" borderId="85" xfId="7" applyNumberFormat="1" applyFont="1" applyBorder="1" applyAlignment="1">
      <alignment horizontal="center"/>
    </xf>
    <xf numFmtId="38" fontId="11" fillId="0" borderId="87" xfId="7" applyNumberFormat="1" applyFont="1" applyBorder="1" applyAlignment="1">
      <alignment horizontal="center"/>
    </xf>
    <xf numFmtId="38" fontId="11" fillId="0" borderId="152" xfId="7" applyNumberFormat="1" applyFont="1" applyBorder="1" applyAlignment="1">
      <alignment horizontal="center"/>
    </xf>
    <xf numFmtId="38" fontId="11" fillId="30" borderId="59" xfId="7" applyNumberFormat="1" applyFont="1" applyFill="1" applyBorder="1" applyAlignment="1">
      <alignment horizontal="center"/>
    </xf>
    <xf numFmtId="38" fontId="11" fillId="0" borderId="63" xfId="7" applyNumberFormat="1" applyFont="1" applyBorder="1" applyAlignment="1">
      <alignment horizontal="center"/>
    </xf>
    <xf numFmtId="38" fontId="10" fillId="0" borderId="15" xfId="7" applyNumberFormat="1" applyFont="1" applyBorder="1" applyAlignment="1">
      <alignment horizontal="center"/>
    </xf>
    <xf numFmtId="38" fontId="10" fillId="0" borderId="14" xfId="7" applyNumberFormat="1" applyFont="1" applyBorder="1" applyAlignment="1">
      <alignment horizontal="center"/>
    </xf>
    <xf numFmtId="38" fontId="10" fillId="0" borderId="91" xfId="7" applyNumberFormat="1" applyFont="1" applyBorder="1" applyAlignment="1">
      <alignment horizontal="left" vertical="top"/>
    </xf>
    <xf numFmtId="38" fontId="11" fillId="0" borderId="153" xfId="7" applyNumberFormat="1" applyFont="1" applyBorder="1" applyAlignment="1">
      <alignment horizontal="center"/>
    </xf>
    <xf numFmtId="38" fontId="11" fillId="30" borderId="93" xfId="7" applyNumberFormat="1" applyFont="1" applyFill="1" applyBorder="1" applyAlignment="1">
      <alignment horizontal="center"/>
    </xf>
    <xf numFmtId="38" fontId="11" fillId="0" borderId="95" xfId="7" applyNumberFormat="1" applyFont="1" applyBorder="1" applyAlignment="1">
      <alignment horizontal="center"/>
    </xf>
    <xf numFmtId="38" fontId="11" fillId="0" borderId="97" xfId="7" applyNumberFormat="1" applyFont="1" applyBorder="1" applyAlignment="1">
      <alignment horizontal="center"/>
    </xf>
    <xf numFmtId="38" fontId="11" fillId="0" borderId="98" xfId="7" applyNumberFormat="1" applyFont="1" applyBorder="1" applyAlignment="1">
      <alignment horizontal="center"/>
    </xf>
    <xf numFmtId="38" fontId="10" fillId="0" borderId="81" xfId="7" applyNumberFormat="1" applyFont="1" applyBorder="1" applyAlignment="1">
      <alignment horizontal="left" vertical="top"/>
    </xf>
    <xf numFmtId="38" fontId="10" fillId="0" borderId="110" xfId="7" applyNumberFormat="1" applyFont="1" applyBorder="1" applyAlignment="1">
      <alignment horizontal="center"/>
    </xf>
    <xf numFmtId="38" fontId="10" fillId="0" borderId="159" xfId="7" applyNumberFormat="1" applyFont="1" applyBorder="1" applyAlignment="1">
      <alignment horizontal="center"/>
    </xf>
    <xf numFmtId="38" fontId="10" fillId="0" borderId="28" xfId="7" applyNumberFormat="1" applyFont="1" applyBorder="1" applyAlignment="1">
      <alignment horizontal="left"/>
    </xf>
    <xf numFmtId="38" fontId="10" fillId="0" borderId="29" xfId="7" applyNumberFormat="1" applyFont="1" applyBorder="1" applyAlignment="1">
      <alignment horizontal="left" vertical="top"/>
    </xf>
    <xf numFmtId="38" fontId="10" fillId="0" borderId="160" xfId="7" applyNumberFormat="1" applyFont="1" applyBorder="1" applyAlignment="1">
      <alignment horizontal="center"/>
    </xf>
    <xf numFmtId="38" fontId="10" fillId="0" borderId="161" xfId="7" applyNumberFormat="1" applyFont="1" applyBorder="1" applyAlignment="1">
      <alignment horizontal="center"/>
    </xf>
    <xf numFmtId="38" fontId="10" fillId="0" borderId="162" xfId="7" applyNumberFormat="1" applyFont="1" applyBorder="1" applyAlignment="1">
      <alignment horizontal="center"/>
    </xf>
    <xf numFmtId="38" fontId="10" fillId="0" borderId="163" xfId="7" applyNumberFormat="1" applyFont="1" applyBorder="1" applyAlignment="1">
      <alignment horizontal="center"/>
    </xf>
    <xf numFmtId="38" fontId="11" fillId="0" borderId="104" xfId="7" applyNumberFormat="1" applyFont="1" applyBorder="1" applyAlignment="1">
      <alignment horizontal="center"/>
    </xf>
    <xf numFmtId="38" fontId="11" fillId="0" borderId="105" xfId="7" applyNumberFormat="1" applyFont="1" applyBorder="1" applyAlignment="1">
      <alignment horizontal="center"/>
    </xf>
    <xf numFmtId="38" fontId="11" fillId="0" borderId="106" xfId="7" applyNumberFormat="1" applyFont="1" applyBorder="1" applyAlignment="1">
      <alignment horizontal="center"/>
    </xf>
    <xf numFmtId="38" fontId="11" fillId="30" borderId="105" xfId="7" applyNumberFormat="1" applyFont="1" applyFill="1" applyBorder="1" applyAlignment="1">
      <alignment horizontal="center"/>
    </xf>
    <xf numFmtId="38" fontId="11" fillId="0" borderId="150" xfId="7" applyNumberFormat="1" applyFont="1" applyBorder="1" applyAlignment="1">
      <alignment horizontal="center"/>
    </xf>
    <xf numFmtId="38" fontId="11" fillId="0" borderId="90" xfId="8" applyNumberFormat="1" applyFont="1" applyBorder="1" applyAlignment="1">
      <alignment horizontal="left" vertical="top" wrapText="1"/>
    </xf>
    <xf numFmtId="38" fontId="11" fillId="0" borderId="135" xfId="7" applyNumberFormat="1" applyFont="1" applyBorder="1" applyAlignment="1">
      <alignment horizontal="center"/>
    </xf>
    <xf numFmtId="170" fontId="11" fillId="0" borderId="0" xfId="2" applyNumberFormat="1" applyFont="1" applyFill="1" applyBorder="1" applyAlignment="1">
      <alignment horizontal="center"/>
    </xf>
    <xf numFmtId="172" fontId="11" fillId="0" borderId="0" xfId="7" applyNumberFormat="1" applyFont="1" applyAlignment="1">
      <alignment horizontal="left"/>
    </xf>
    <xf numFmtId="172" fontId="10" fillId="13" borderId="0" xfId="7" applyNumberFormat="1" applyFont="1" applyFill="1" applyAlignment="1">
      <alignment horizontal="left"/>
    </xf>
    <xf numFmtId="172" fontId="11" fillId="12" borderId="0" xfId="7" applyNumberFormat="1" applyFont="1" applyFill="1" applyAlignment="1">
      <alignment horizontal="left"/>
    </xf>
    <xf numFmtId="172" fontId="10" fillId="11" borderId="0" xfId="7" applyNumberFormat="1" applyFont="1" applyFill="1" applyAlignment="1">
      <alignment horizontal="left"/>
    </xf>
    <xf numFmtId="172" fontId="10" fillId="12" borderId="0" xfId="7" applyNumberFormat="1" applyFont="1" applyFill="1" applyAlignment="1">
      <alignment horizontal="left"/>
    </xf>
    <xf numFmtId="38" fontId="11" fillId="12" borderId="0" xfId="7" applyNumberFormat="1" applyFont="1" applyFill="1"/>
    <xf numFmtId="38" fontId="10" fillId="0" borderId="0" xfId="7" applyNumberFormat="1" applyFont="1"/>
    <xf numFmtId="38" fontId="11" fillId="0" borderId="0" xfId="7" applyNumberFormat="1" applyFont="1"/>
    <xf numFmtId="40" fontId="10" fillId="0" borderId="0" xfId="7" applyNumberFormat="1" applyFont="1"/>
    <xf numFmtId="40" fontId="11" fillId="0" borderId="0" xfId="7" applyNumberFormat="1" applyFont="1"/>
    <xf numFmtId="43" fontId="0" fillId="0" borderId="0" xfId="0" applyNumberFormat="1"/>
    <xf numFmtId="171" fontId="2" fillId="0" borderId="0" xfId="0" applyNumberFormat="1" applyFont="1" applyAlignment="1">
      <alignment horizontal="right"/>
    </xf>
    <xf numFmtId="2" fontId="0" fillId="0" borderId="0" xfId="0" applyNumberFormat="1" applyAlignment="1">
      <alignment horizontal="right"/>
    </xf>
    <xf numFmtId="170" fontId="0" fillId="0" borderId="0" xfId="0" applyNumberFormat="1" applyAlignment="1">
      <alignment horizontal="right"/>
    </xf>
    <xf numFmtId="2" fontId="0" fillId="0" borderId="140" xfId="0" applyNumberFormat="1" applyBorder="1" applyAlignment="1">
      <alignment horizontal="right"/>
    </xf>
    <xf numFmtId="43" fontId="0" fillId="0" borderId="0" xfId="0" applyNumberFormat="1" applyAlignment="1">
      <alignment horizontal="right"/>
    </xf>
    <xf numFmtId="170" fontId="0" fillId="0" borderId="140" xfId="0" applyNumberFormat="1" applyBorder="1" applyAlignment="1">
      <alignment horizontal="right"/>
    </xf>
    <xf numFmtId="43" fontId="0" fillId="0" borderId="140" xfId="0" applyNumberFormat="1" applyBorder="1" applyAlignment="1">
      <alignment horizontal="right"/>
    </xf>
    <xf numFmtId="174" fontId="0" fillId="0" borderId="140" xfId="0" applyNumberFormat="1" applyBorder="1"/>
    <xf numFmtId="174" fontId="0" fillId="0" borderId="0" xfId="0" quotePrefix="1" applyNumberFormat="1"/>
    <xf numFmtId="171" fontId="22" fillId="7" borderId="0" xfId="0" applyNumberFormat="1" applyFont="1" applyFill="1"/>
    <xf numFmtId="0" fontId="75" fillId="0" borderId="0" xfId="0" applyFont="1"/>
    <xf numFmtId="0" fontId="76" fillId="0" borderId="0" xfId="0" applyFont="1" applyAlignment="1">
      <alignment vertical="center"/>
    </xf>
    <xf numFmtId="0" fontId="76" fillId="0" borderId="0" xfId="0" applyFont="1"/>
    <xf numFmtId="0" fontId="76" fillId="0" borderId="140" xfId="0" applyFont="1" applyBorder="1" applyAlignment="1">
      <alignment vertical="center"/>
    </xf>
    <xf numFmtId="0" fontId="76" fillId="0" borderId="140" xfId="0" applyFont="1" applyBorder="1"/>
    <xf numFmtId="0" fontId="81" fillId="0" borderId="140" xfId="0" applyFont="1" applyBorder="1" applyAlignment="1">
      <alignment vertical="center"/>
    </xf>
    <xf numFmtId="169" fontId="80" fillId="0" borderId="0" xfId="0" applyNumberFormat="1" applyFont="1"/>
    <xf numFmtId="0" fontId="80" fillId="0" borderId="0" xfId="0" applyFont="1"/>
    <xf numFmtId="0" fontId="15" fillId="16" borderId="38" xfId="0" applyFont="1" applyFill="1" applyBorder="1" applyAlignment="1">
      <alignment horizontal="center" vertical="center"/>
    </xf>
    <xf numFmtId="0" fontId="28" fillId="6" borderId="140" xfId="0" applyFont="1" applyFill="1" applyBorder="1"/>
    <xf numFmtId="0" fontId="80" fillId="0" borderId="0" xfId="0" applyFont="1" applyAlignment="1">
      <alignment vertical="center"/>
    </xf>
    <xf numFmtId="0" fontId="2" fillId="6" borderId="140" xfId="0" applyFont="1" applyFill="1" applyBorder="1"/>
    <xf numFmtId="0" fontId="80" fillId="0" borderId="0" xfId="359" applyFont="1"/>
    <xf numFmtId="0" fontId="80" fillId="0" borderId="0" xfId="443" applyFont="1"/>
    <xf numFmtId="0" fontId="81" fillId="0" borderId="0" xfId="0" applyFont="1" applyAlignment="1">
      <alignment vertical="center"/>
    </xf>
    <xf numFmtId="2" fontId="80" fillId="0" borderId="0" xfId="0" applyNumberFormat="1" applyFont="1"/>
    <xf numFmtId="1" fontId="80" fillId="0" borderId="0" xfId="0" applyNumberFormat="1" applyFont="1"/>
    <xf numFmtId="2" fontId="22" fillId="0" borderId="0" xfId="0" applyNumberFormat="1" applyFont="1"/>
    <xf numFmtId="0" fontId="15" fillId="18" borderId="200" xfId="6" applyFont="1" applyFill="1" applyBorder="1" applyAlignment="1">
      <alignment vertical="center"/>
    </xf>
    <xf numFmtId="2" fontId="76" fillId="0" borderId="0" xfId="0" applyNumberFormat="1" applyFont="1"/>
    <xf numFmtId="167" fontId="183" fillId="0" borderId="0" xfId="4495" applyNumberFormat="1" applyFont="1"/>
    <xf numFmtId="2" fontId="80" fillId="0" borderId="140" xfId="0" applyNumberFormat="1" applyFont="1" applyBorder="1"/>
    <xf numFmtId="169" fontId="80" fillId="0" borderId="140" xfId="0" applyNumberFormat="1" applyFont="1" applyBorder="1"/>
    <xf numFmtId="0" fontId="80" fillId="0" borderId="140" xfId="0" applyFont="1" applyBorder="1"/>
    <xf numFmtId="0" fontId="74" fillId="0" borderId="0" xfId="4504"/>
    <xf numFmtId="0" fontId="57" fillId="0" borderId="0" xfId="4504" applyFont="1" applyAlignment="1">
      <alignment horizontal="left"/>
    </xf>
    <xf numFmtId="0" fontId="74" fillId="0" borderId="0" xfId="4504" applyAlignment="1">
      <alignment horizontal="right"/>
    </xf>
    <xf numFmtId="0" fontId="75" fillId="0" borderId="0" xfId="4504" applyFont="1"/>
    <xf numFmtId="0" fontId="3" fillId="18" borderId="144" xfId="4504" applyFont="1" applyFill="1" applyBorder="1" applyAlignment="1">
      <alignment horizontal="left" vertical="center"/>
    </xf>
    <xf numFmtId="0" fontId="3" fillId="18" borderId="144" xfId="4504" applyFont="1" applyFill="1" applyBorder="1" applyAlignment="1">
      <alignment horizontal="right" vertical="center"/>
    </xf>
    <xf numFmtId="0" fontId="3" fillId="18" borderId="144" xfId="4504" applyFont="1" applyFill="1" applyBorder="1" applyAlignment="1">
      <alignment horizontal="right" vertical="center" wrapText="1"/>
    </xf>
    <xf numFmtId="0" fontId="9" fillId="38" borderId="144" xfId="5" applyFont="1" applyBorder="1" applyAlignment="1">
      <alignment horizontal="left" wrapText="1"/>
    </xf>
    <xf numFmtId="0" fontId="9" fillId="38" borderId="144" xfId="5" applyFont="1" applyBorder="1" applyAlignment="1">
      <alignment horizontal="right" wrapText="1"/>
    </xf>
    <xf numFmtId="0" fontId="9" fillId="38" borderId="145" xfId="5" applyFont="1" applyBorder="1" applyAlignment="1">
      <alignment horizontal="right" wrapText="1"/>
    </xf>
    <xf numFmtId="0" fontId="2" fillId="6" borderId="0" xfId="4504" applyFont="1" applyFill="1"/>
    <xf numFmtId="169" fontId="184" fillId="10" borderId="38" xfId="4504" applyNumberFormat="1" applyFont="1" applyFill="1" applyBorder="1" applyAlignment="1">
      <alignment horizontal="center" vertical="center"/>
    </xf>
    <xf numFmtId="169" fontId="184" fillId="10" borderId="38" xfId="4504" applyNumberFormat="1" applyFont="1" applyFill="1" applyBorder="1" applyAlignment="1">
      <alignment horizontal="left" vertical="top"/>
    </xf>
    <xf numFmtId="0" fontId="9" fillId="38" borderId="144" xfId="5" applyFont="1" applyBorder="1" applyAlignment="1">
      <alignment horizontal="left" vertical="top" wrapText="1"/>
    </xf>
    <xf numFmtId="169" fontId="184" fillId="10" borderId="38" xfId="4504" applyNumberFormat="1" applyFont="1" applyFill="1" applyBorder="1" applyAlignment="1">
      <alignment horizontal="right" vertical="center"/>
    </xf>
    <xf numFmtId="169" fontId="184" fillId="10" borderId="38" xfId="4504" applyNumberFormat="1" applyFont="1" applyFill="1" applyBorder="1" applyAlignment="1">
      <alignment horizontal="right" vertical="center" wrapText="1"/>
    </xf>
    <xf numFmtId="171" fontId="74" fillId="0" borderId="0" xfId="4504" applyNumberFormat="1"/>
    <xf numFmtId="0" fontId="80" fillId="0" borderId="0" xfId="4504" applyFont="1"/>
    <xf numFmtId="1" fontId="80" fillId="0" borderId="0" xfId="4504" applyNumberFormat="1" applyFont="1"/>
    <xf numFmtId="168" fontId="80" fillId="0" borderId="0" xfId="4504" applyNumberFormat="1" applyFont="1"/>
    <xf numFmtId="0" fontId="80" fillId="0" borderId="140" xfId="4504" applyFont="1" applyBorder="1"/>
    <xf numFmtId="1" fontId="80" fillId="0" borderId="140" xfId="4504" applyNumberFormat="1" applyFont="1" applyBorder="1"/>
    <xf numFmtId="0" fontId="80" fillId="0" borderId="144" xfId="4504" applyFont="1" applyBorder="1"/>
    <xf numFmtId="168" fontId="80" fillId="0" borderId="140" xfId="4504" applyNumberFormat="1" applyFont="1" applyBorder="1"/>
    <xf numFmtId="1" fontId="80" fillId="0" borderId="144" xfId="4504" applyNumberFormat="1" applyFont="1" applyBorder="1"/>
    <xf numFmtId="168" fontId="80" fillId="0" borderId="144" xfId="4504" applyNumberFormat="1" applyFont="1" applyBorder="1"/>
    <xf numFmtId="0" fontId="19" fillId="7" borderId="0" xfId="6" applyFont="1" applyFill="1" applyAlignment="1">
      <alignment vertical="center"/>
    </xf>
    <xf numFmtId="0" fontId="25" fillId="7" borderId="0" xfId="6" applyFont="1" applyFill="1" applyAlignment="1">
      <alignment horizontal="center" vertical="center"/>
    </xf>
    <xf numFmtId="0" fontId="24" fillId="7" borderId="0" xfId="4" applyFill="1" applyAlignment="1">
      <alignment vertical="center"/>
    </xf>
    <xf numFmtId="0" fontId="7" fillId="0" borderId="0" xfId="0" applyFont="1" applyAlignment="1">
      <alignment horizontal="left"/>
    </xf>
    <xf numFmtId="0" fontId="0" fillId="0" borderId="146" xfId="0" applyBorder="1" applyAlignment="1">
      <alignment horizontal="center" vertical="center"/>
    </xf>
    <xf numFmtId="0" fontId="18" fillId="17" borderId="0" xfId="0" applyFont="1" applyFill="1" applyAlignment="1">
      <alignment horizontal="left"/>
    </xf>
    <xf numFmtId="0" fontId="0" fillId="0" borderId="0" xfId="0" applyAlignment="1">
      <alignment horizontal="left" vertical="top"/>
    </xf>
    <xf numFmtId="0" fontId="2" fillId="0" borderId="140" xfId="0" applyFont="1" applyBorder="1" applyAlignment="1">
      <alignment horizontal="center" vertical="center"/>
    </xf>
    <xf numFmtId="0" fontId="2" fillId="0" borderId="140" xfId="0" applyFont="1" applyBorder="1" applyAlignment="1">
      <alignment horizontal="center"/>
    </xf>
    <xf numFmtId="0" fontId="19" fillId="0" borderId="0" xfId="0" applyFont="1" applyAlignment="1">
      <alignment horizontal="left"/>
    </xf>
    <xf numFmtId="0" fontId="41" fillId="23" borderId="140" xfId="0" applyFont="1" applyFill="1" applyBorder="1" applyAlignment="1" applyProtection="1">
      <alignment horizontal="center" vertical="center"/>
      <protection locked="0"/>
    </xf>
    <xf numFmtId="0" fontId="7" fillId="0" borderId="140" xfId="0" applyFont="1" applyBorder="1" applyAlignment="1">
      <alignment horizontal="left"/>
    </xf>
    <xf numFmtId="0" fontId="8" fillId="0" borderId="141" xfId="0" applyFont="1" applyBorder="1" applyAlignment="1">
      <alignment horizontal="left" wrapText="1"/>
    </xf>
    <xf numFmtId="0" fontId="8" fillId="0" borderId="140" xfId="0" applyFont="1" applyBorder="1" applyAlignment="1">
      <alignment horizontal="left" wrapText="1"/>
    </xf>
    <xf numFmtId="0" fontId="8" fillId="0" borderId="140" xfId="0" applyFont="1" applyBorder="1" applyAlignment="1">
      <alignment horizontal="center"/>
    </xf>
    <xf numFmtId="166" fontId="2" fillId="0" borderId="0" xfId="0" applyNumberFormat="1" applyFont="1" applyAlignment="1">
      <alignment horizontal="center"/>
    </xf>
    <xf numFmtId="167" fontId="2" fillId="0" borderId="0" xfId="0" applyNumberFormat="1" applyFont="1" applyAlignment="1">
      <alignment horizontal="right"/>
    </xf>
    <xf numFmtId="0" fontId="2" fillId="23" borderId="140" xfId="0" applyFont="1" applyFill="1" applyBorder="1" applyAlignment="1" applyProtection="1">
      <alignment horizontal="center" vertical="center"/>
      <protection locked="0"/>
    </xf>
    <xf numFmtId="0" fontId="8" fillId="0" borderId="141" xfId="0" applyFont="1" applyBorder="1" applyAlignment="1">
      <alignment horizontal="left"/>
    </xf>
    <xf numFmtId="0" fontId="8" fillId="0" borderId="0" xfId="0" applyFont="1" applyAlignment="1">
      <alignment horizontal="left"/>
    </xf>
    <xf numFmtId="0" fontId="0" fillId="0" borderId="140" xfId="0" applyBorder="1" applyAlignment="1">
      <alignment horizontal="left" vertical="top"/>
    </xf>
  </cellXfs>
  <cellStyles count="4569">
    <cellStyle name="0,0_x000a__x000a_NA_x000a__x000a_" xfId="563" xr:uid="{6EF14E8E-00EB-448E-8BF2-7752CE5CBE15}"/>
    <cellStyle name="1o.nível" xfId="564" xr:uid="{1994F969-7DF6-4C68-8364-C3857E09DBF1}"/>
    <cellStyle name="20% - Accent1" xfId="459" builtinId="30" customBuiltin="1"/>
    <cellStyle name="20% - Accent1 2" xfId="395" xr:uid="{26E334F6-C9A1-4F8F-97E7-5E52676CA0D4}"/>
    <cellStyle name="20% - Accent1 2 2" xfId="565" xr:uid="{210F7D5C-781F-45C1-A659-C90F63677257}"/>
    <cellStyle name="20% - Accent2" xfId="462" builtinId="34" customBuiltin="1"/>
    <cellStyle name="20% - Accent2 2" xfId="391" xr:uid="{7DDB49B2-5DB2-4664-B031-544A5B437FB2}"/>
    <cellStyle name="20% - Accent2 2 2" xfId="566" xr:uid="{6B2E5FD6-E004-46EE-993E-BA124507048C}"/>
    <cellStyle name="20% - Accent3" xfId="465" builtinId="38" customBuiltin="1"/>
    <cellStyle name="20% - Accent3 2" xfId="387" xr:uid="{C002C954-6CAA-43FF-B3A0-FB09DC99AFB5}"/>
    <cellStyle name="20% - Accent3 2 2" xfId="567" xr:uid="{77B30416-E1F3-46EE-A910-B542DECB4030}"/>
    <cellStyle name="20% - Accent4" xfId="468" builtinId="42" customBuiltin="1"/>
    <cellStyle name="20% - Accent4 2" xfId="383" xr:uid="{FEFDEEDF-001E-4744-AC00-9D91DF20A6AA}"/>
    <cellStyle name="20% - Accent4 2 2" xfId="568" xr:uid="{A351F629-4F6E-410A-B765-21CC888070EE}"/>
    <cellStyle name="20% - Accent5" xfId="5" builtinId="46" customBuiltin="1"/>
    <cellStyle name="20% - Accent5 2" xfId="363" xr:uid="{E593CD1F-F891-4211-A64A-4C774E4C2AC7}"/>
    <cellStyle name="20% - Accent5 2 2" xfId="569" xr:uid="{2F5E5E1D-C6CE-42DE-8D71-C4BF426033F2}"/>
    <cellStyle name="20% - Accent5 2 2 2" xfId="4540" xr:uid="{59F16EDA-DDAE-4425-B4DD-27880405A181}"/>
    <cellStyle name="20% - Accent5 2 3" xfId="545" xr:uid="{ED96233B-F0CC-4260-9CEA-02C5A551BD0E}"/>
    <cellStyle name="20% - Accent5 3" xfId="379" xr:uid="{7FC9376F-F2D9-4CF4-A535-C8296EA81142}"/>
    <cellStyle name="20% - Accent5 4" xfId="4529" xr:uid="{40F99657-1E90-4226-9CAA-EB5C9E299FC5}"/>
    <cellStyle name="20% - Accent6" xfId="473" builtinId="50" customBuiltin="1"/>
    <cellStyle name="20% - Accent6 2" xfId="375" xr:uid="{51D7A0D6-C9BB-4E53-833F-E785C0C19881}"/>
    <cellStyle name="20% - Accent6 2 2" xfId="570" xr:uid="{0EFB0DF6-9B8D-4800-9EB9-B7E7AE37A0E2}"/>
    <cellStyle name="20% - Énfasis1 10" xfId="571" xr:uid="{249BA347-9B9C-4A2A-981E-03EF9D160A72}"/>
    <cellStyle name="20% - Énfasis1 11" xfId="572" xr:uid="{8C1BBBBF-FDFF-44A1-A1FA-D4090B47E045}"/>
    <cellStyle name="20% - Énfasis1 12" xfId="573" xr:uid="{EE334CA1-CF3F-4BE3-BCDD-8CB980ED43F5}"/>
    <cellStyle name="20% - Énfasis1 13" xfId="574" xr:uid="{F2A2ECDA-8AAB-4B33-8E90-3A6A53B5FAA5}"/>
    <cellStyle name="20% - Énfasis1 14" xfId="575" xr:uid="{79286F37-F27C-491D-8F11-FD2708D1D9E3}"/>
    <cellStyle name="20% - Énfasis1 15" xfId="576" xr:uid="{358429B3-E46B-4C7C-94A2-FCA99FE63054}"/>
    <cellStyle name="20% - Énfasis1 16" xfId="577" xr:uid="{D8F7A148-263F-4AE2-BCE4-DA908D1CE8AC}"/>
    <cellStyle name="20% - Énfasis1 17" xfId="578" xr:uid="{C56E2B20-014A-4510-9833-C3F61F805492}"/>
    <cellStyle name="20% - Énfasis1 18" xfId="579" xr:uid="{0BAE276F-2D5A-42D4-9322-95794284EC38}"/>
    <cellStyle name="20% - Énfasis1 19" xfId="580" xr:uid="{2117494D-33BB-4648-8378-039E34576C66}"/>
    <cellStyle name="20% - Énfasis1 2" xfId="581" xr:uid="{375563F5-6A83-4280-B30B-BA5BD7BC0167}"/>
    <cellStyle name="20% - Énfasis1 2 2" xfId="582" xr:uid="{89F63CCE-0A4B-4575-9D92-C18B12FD049B}"/>
    <cellStyle name="20% - Énfasis1 2 3" xfId="583" xr:uid="{05A5D36A-2CC2-4CFD-BA85-08F46A243648}"/>
    <cellStyle name="20% - Énfasis1 20" xfId="584" xr:uid="{32C4D89E-1030-42D0-91BE-E2AFCC3AB803}"/>
    <cellStyle name="20% - Énfasis1 21" xfId="585" xr:uid="{166B8EBB-F3FD-4A94-BCAF-648BE6DEA070}"/>
    <cellStyle name="20% - Énfasis1 21 2" xfId="586" xr:uid="{8B771104-2CB8-48D9-8ABE-180622F871CD}"/>
    <cellStyle name="20% - Énfasis1 21 2 2" xfId="587" xr:uid="{F9F81439-EA96-44E7-B161-F8E2766C1A13}"/>
    <cellStyle name="20% - Énfasis1 21 3" xfId="588" xr:uid="{98C3744A-4C10-49C7-8CC1-A0D47D1CFDDA}"/>
    <cellStyle name="20% - Énfasis1 21 3 2" xfId="589" xr:uid="{CA4DD2D3-40CC-423A-8B83-A34CC7AF7682}"/>
    <cellStyle name="20% - Énfasis1 21 4" xfId="590" xr:uid="{C2F844BB-7414-48A7-8817-7AF7A9E1A3CF}"/>
    <cellStyle name="20% - Énfasis1 22" xfId="591" xr:uid="{BC68A8D1-47A6-45F9-ADDA-DD849F413020}"/>
    <cellStyle name="20% - Énfasis1 22 2" xfId="592" xr:uid="{46228656-022F-4A4F-B2B6-4C0F736BC9B2}"/>
    <cellStyle name="20% - Énfasis1 22 2 2" xfId="593" xr:uid="{7624372E-50F7-4062-83D4-AD1A65189B94}"/>
    <cellStyle name="20% - Énfasis1 22 3" xfId="594" xr:uid="{AA791C0D-BAB9-43E0-9FE7-0EE122763941}"/>
    <cellStyle name="20% - Énfasis1 23" xfId="595" xr:uid="{7E6F1682-EA65-458B-90CE-BF4B64CF7CA4}"/>
    <cellStyle name="20% - Énfasis1 24" xfId="596" xr:uid="{58754574-AD8F-43D8-8847-BC3AF687E371}"/>
    <cellStyle name="20% - Énfasis1 25" xfId="597" xr:uid="{A724CA59-CF3B-4FE4-8068-7CA73778EEA9}"/>
    <cellStyle name="20% - Énfasis1 3" xfId="598" xr:uid="{53F5387F-7781-4604-8914-3F2E3727196C}"/>
    <cellStyle name="20% - Énfasis1 3 2" xfId="599" xr:uid="{607DDF2F-32DD-4A43-B7D9-0E3BA6E49976}"/>
    <cellStyle name="20% - Énfasis1 3 3" xfId="600" xr:uid="{8FB487FD-AE83-4E46-955B-8BDDD8D5781E}"/>
    <cellStyle name="20% - Énfasis1 4" xfId="601" xr:uid="{C2CF9627-051C-403E-B7B8-DD247E8CFA26}"/>
    <cellStyle name="20% - Énfasis1 4 2" xfId="602" xr:uid="{BE572815-76AF-4247-8066-A91701021503}"/>
    <cellStyle name="20% - Énfasis1 5" xfId="603" xr:uid="{EA63F3D0-B9F1-432A-BF40-D6A602831BE7}"/>
    <cellStyle name="20% - Énfasis1 6" xfId="604" xr:uid="{71A18371-8FC1-43ED-9223-D823D4E65864}"/>
    <cellStyle name="20% - Énfasis1 7" xfId="605" xr:uid="{D97E4ED3-89F1-4FFA-B103-B7189BE7772E}"/>
    <cellStyle name="20% - Énfasis1 8" xfId="606" xr:uid="{C0B00C5A-B3A5-418F-9296-89048CE21E4E}"/>
    <cellStyle name="20% - Énfasis1 9" xfId="607" xr:uid="{12C90941-6E43-4B4F-90A7-828F56873B5D}"/>
    <cellStyle name="20% - Énfasis2 10" xfId="608" xr:uid="{5D469283-82EE-4EDE-8127-1FE1F2883C97}"/>
    <cellStyle name="20% - Énfasis2 11" xfId="609" xr:uid="{4868A2D6-8BC6-4E28-9EAE-18F8CB27264B}"/>
    <cellStyle name="20% - Énfasis2 12" xfId="610" xr:uid="{B0EBBF04-B486-4BA1-B697-26D2675EF0A1}"/>
    <cellStyle name="20% - Énfasis2 13" xfId="611" xr:uid="{C4D19563-A23F-4987-934F-1AD0536F55B9}"/>
    <cellStyle name="20% - Énfasis2 14" xfId="612" xr:uid="{F9A6D7CE-FC17-4958-995F-A15FD87F44A6}"/>
    <cellStyle name="20% - Énfasis2 15" xfId="613" xr:uid="{CECE2A79-FCB7-45AA-977D-A1EDA6FD053C}"/>
    <cellStyle name="20% - Énfasis2 16" xfId="614" xr:uid="{CC6D5359-C138-42F8-A170-DBF76175F022}"/>
    <cellStyle name="20% - Énfasis2 17" xfId="615" xr:uid="{E56DC2DD-B78D-461A-9DE3-F34131AB8DFF}"/>
    <cellStyle name="20% - Énfasis2 18" xfId="616" xr:uid="{B786DC56-424B-411B-801E-620D5BBBB08A}"/>
    <cellStyle name="20% - Énfasis2 19" xfId="617" xr:uid="{A9BE49C2-C0E6-4F86-9DDD-454EC8360043}"/>
    <cellStyle name="20% - Énfasis2 2" xfId="618" xr:uid="{43D9DEBF-DA20-47F0-B419-D3806FD18AD8}"/>
    <cellStyle name="20% - Énfasis2 2 2" xfId="619" xr:uid="{7B654BF3-4C72-437A-979A-C26440634AA7}"/>
    <cellStyle name="20% - Énfasis2 2 3" xfId="620" xr:uid="{C1CDCDA5-A3F4-4921-8F4B-51210FF2F15D}"/>
    <cellStyle name="20% - Énfasis2 20" xfId="621" xr:uid="{00920CD0-D7C5-46F4-99CC-B195E902593A}"/>
    <cellStyle name="20% - Énfasis2 21" xfId="622" xr:uid="{CCA64B37-3EAD-40C1-BC5E-D87C0793EFCF}"/>
    <cellStyle name="20% - Énfasis2 21 2" xfId="623" xr:uid="{3E11042C-AB32-4D50-914D-E475E1AE75DD}"/>
    <cellStyle name="20% - Énfasis2 21 2 2" xfId="624" xr:uid="{188F67B7-3084-42A1-ACC9-CE9FE00D097A}"/>
    <cellStyle name="20% - Énfasis2 21 3" xfId="625" xr:uid="{A64EC713-B504-4DB6-AE25-980F1A7D3648}"/>
    <cellStyle name="20% - Énfasis2 21 3 2" xfId="626" xr:uid="{612B35F5-9C5C-447E-9CDF-26AA25F54FFD}"/>
    <cellStyle name="20% - Énfasis2 21 4" xfId="627" xr:uid="{9807EDC6-698C-4966-B00C-6A4C159EE77C}"/>
    <cellStyle name="20% - Énfasis2 22" xfId="628" xr:uid="{6A6CF2CA-F14B-4C9C-A6DE-E0B71FBC0448}"/>
    <cellStyle name="20% - Énfasis2 22 2" xfId="629" xr:uid="{9E32F056-DDC7-4039-B6CE-1D9165DE2000}"/>
    <cellStyle name="20% - Énfasis2 22 2 2" xfId="630" xr:uid="{912467F9-3EC3-4C2D-9A0B-50342B123A1B}"/>
    <cellStyle name="20% - Énfasis2 22 3" xfId="631" xr:uid="{A926140E-5003-482E-8300-17155E484C7B}"/>
    <cellStyle name="20% - Énfasis2 23" xfId="632" xr:uid="{CC43D54A-9284-4AC4-88AE-3B7A394D07C2}"/>
    <cellStyle name="20% - Énfasis2 24" xfId="633" xr:uid="{7FEED667-1D03-40DD-8F8F-A8AFE3E206AE}"/>
    <cellStyle name="20% - Énfasis2 3" xfId="634" xr:uid="{328465FF-24CD-40FC-B7C2-16F41F2CD4FF}"/>
    <cellStyle name="20% - Énfasis2 3 2" xfId="635" xr:uid="{A9BCF55D-D91A-4F1C-A315-D22B521AEBA1}"/>
    <cellStyle name="20% - Énfasis2 3 3" xfId="636" xr:uid="{7E2325AF-5B0B-4074-B387-DF7FE4BF55A5}"/>
    <cellStyle name="20% - Énfasis2 4" xfId="637" xr:uid="{294614B5-936E-416D-A843-FFB7E87E3FD1}"/>
    <cellStyle name="20% - Énfasis2 4 2" xfId="638" xr:uid="{CE5210E8-7FC3-4D5C-B84F-7CAEA5703713}"/>
    <cellStyle name="20% - Énfasis2 5" xfId="639" xr:uid="{4DD118DA-C118-4D8C-9962-72F5BB0EC5F5}"/>
    <cellStyle name="20% - Énfasis2 6" xfId="640" xr:uid="{85388B4E-BF01-4B27-AFD6-E9F610D3764E}"/>
    <cellStyle name="20% - Énfasis2 7" xfId="641" xr:uid="{910D0573-AD4C-4B1A-A0A2-71C899E7FCE8}"/>
    <cellStyle name="20% - Énfasis2 8" xfId="642" xr:uid="{D7B30BBD-9B79-425A-8CBD-2F65AA6A5CD5}"/>
    <cellStyle name="20% - Énfasis2 9" xfId="643" xr:uid="{7D8D5103-486C-4E9A-A98A-7A0A1B33218A}"/>
    <cellStyle name="20% - Énfasis3 10" xfId="644" xr:uid="{B1FFC293-25B5-4895-B08E-BA78953AC445}"/>
    <cellStyle name="20% - Énfasis3 11" xfId="645" xr:uid="{6FB908EC-E938-479E-AEE4-25187D294F11}"/>
    <cellStyle name="20% - Énfasis3 12" xfId="646" xr:uid="{5A34ECF5-6B1F-4F48-A3D5-FF7B4D2B42A3}"/>
    <cellStyle name="20% - Énfasis3 13" xfId="647" xr:uid="{0CD5AED3-07A6-4CAF-88A8-DCDE744EE095}"/>
    <cellStyle name="20% - Énfasis3 14" xfId="648" xr:uid="{CD07F985-D087-4215-95D3-5EFAD1F1999A}"/>
    <cellStyle name="20% - Énfasis3 15" xfId="649" xr:uid="{2B1A52FA-8907-4AB7-8B9D-CF77F6D4126F}"/>
    <cellStyle name="20% - Énfasis3 16" xfId="650" xr:uid="{61BE31D9-ECF9-47A9-BD3C-931DA0F5B240}"/>
    <cellStyle name="20% - Énfasis3 17" xfId="651" xr:uid="{727734B4-CE77-4E7D-8DF3-4ACADDBEDF60}"/>
    <cellStyle name="20% - Énfasis3 18" xfId="652" xr:uid="{EDDCA687-437A-43CE-8EB0-A1AF5BA2BB97}"/>
    <cellStyle name="20% - Énfasis3 19" xfId="653" xr:uid="{DA004EBA-3B81-440D-B146-022B14944356}"/>
    <cellStyle name="20% - Énfasis3 2" xfId="654" xr:uid="{32C9BBF5-0B92-49D6-B41D-550784EFA130}"/>
    <cellStyle name="20% - Énfasis3 2 2" xfId="655" xr:uid="{A5E55430-D98A-4FA0-A549-49B501C9092D}"/>
    <cellStyle name="20% - Énfasis3 2 3" xfId="656" xr:uid="{29771BE8-1773-4D4E-8351-6E3E6A7C867B}"/>
    <cellStyle name="20% - Énfasis3 20" xfId="657" xr:uid="{95A20F14-2125-45BE-A88A-D8FD813E3968}"/>
    <cellStyle name="20% - Énfasis3 21" xfId="658" xr:uid="{983A2A99-42C4-48DB-AA3E-B4990A342FB5}"/>
    <cellStyle name="20% - Énfasis3 21 2" xfId="659" xr:uid="{EAEC6026-AD56-4668-8A77-3C8985AE16BA}"/>
    <cellStyle name="20% - Énfasis3 21 2 2" xfId="660" xr:uid="{EB34B3E1-591E-4E72-BF61-5A8FCC5D3167}"/>
    <cellStyle name="20% - Énfasis3 21 3" xfId="661" xr:uid="{579FBD56-44BB-474B-98E0-7F7BC51F1295}"/>
    <cellStyle name="20% - Énfasis3 21 3 2" xfId="662" xr:uid="{914FD23B-96C4-4F8F-B52E-792F2DEC0C1E}"/>
    <cellStyle name="20% - Énfasis3 21 4" xfId="663" xr:uid="{33B291CB-3658-4C07-8109-4A71A2F379D4}"/>
    <cellStyle name="20% - Énfasis3 22" xfId="664" xr:uid="{E1A97643-A0A8-43CA-8ABA-6E93A46E918F}"/>
    <cellStyle name="20% - Énfasis3 22 2" xfId="665" xr:uid="{DABE6B1B-BD03-443F-A9E1-8A2D0CA22B0B}"/>
    <cellStyle name="20% - Énfasis3 22 2 2" xfId="666" xr:uid="{A3CF47B0-DA42-40E5-BE05-9853E465E234}"/>
    <cellStyle name="20% - Énfasis3 22 3" xfId="667" xr:uid="{6477F8E8-12EF-425C-B69B-2DB8570DAC73}"/>
    <cellStyle name="20% - Énfasis3 23" xfId="668" xr:uid="{C249DDC5-74D3-4A75-92D9-B0AD3375DFF9}"/>
    <cellStyle name="20% - Énfasis3 24" xfId="669" xr:uid="{137DF8D4-E42F-40AD-B23F-B82A70145788}"/>
    <cellStyle name="20% - Énfasis3 3" xfId="670" xr:uid="{DB1E37D8-6E77-4C84-9C9E-3A317BB4EB2E}"/>
    <cellStyle name="20% - Énfasis3 3 2" xfId="671" xr:uid="{BDBECB5D-F2AD-45CD-BF30-C65D071ED1EC}"/>
    <cellStyle name="20% - Énfasis3 3 3" xfId="672" xr:uid="{2E9DACE0-60F3-4D15-81DE-05827C18E480}"/>
    <cellStyle name="20% - Énfasis3 4" xfId="673" xr:uid="{25DE0F84-0A5C-4F7D-BBFB-9774C391229C}"/>
    <cellStyle name="20% - Énfasis3 4 2" xfId="674" xr:uid="{5D2E6E14-A8BA-421B-B7D5-50FDF3572EC8}"/>
    <cellStyle name="20% - Énfasis3 5" xfId="675" xr:uid="{F2915319-E3B6-4BCB-B8A4-731BC09CA49B}"/>
    <cellStyle name="20% - Énfasis3 6" xfId="676" xr:uid="{696C53DC-9F08-4F11-9E2A-F227E04FA330}"/>
    <cellStyle name="20% - Énfasis3 7" xfId="677" xr:uid="{664E9171-F597-449D-8E04-23564664097D}"/>
    <cellStyle name="20% - Énfasis3 8" xfId="678" xr:uid="{FF4616D2-8376-4353-83B0-CDBBADAC0F53}"/>
    <cellStyle name="20% - Énfasis3 9" xfId="679" xr:uid="{E7C6871F-839F-452D-BB78-E200E16410E2}"/>
    <cellStyle name="20% - Énfasis4 10" xfId="680" xr:uid="{EA26889A-2688-4894-8131-DE9C2E9105D4}"/>
    <cellStyle name="20% - Énfasis4 11" xfId="681" xr:uid="{19B22C02-7711-4F8C-B015-E467FE89635E}"/>
    <cellStyle name="20% - Énfasis4 12" xfId="682" xr:uid="{EA9392B7-F745-4B7B-8F4C-4BF7FC473837}"/>
    <cellStyle name="20% - Énfasis4 13" xfId="683" xr:uid="{98F08F7E-A119-4768-B518-8A16227BF989}"/>
    <cellStyle name="20% - Énfasis4 14" xfId="684" xr:uid="{B1779BD5-926F-4EDE-A627-C9CB9F581601}"/>
    <cellStyle name="20% - Énfasis4 15" xfId="685" xr:uid="{FEDDB880-CE02-424E-86D8-F2C3A15A3B60}"/>
    <cellStyle name="20% - Énfasis4 16" xfId="686" xr:uid="{34A7D765-361C-4915-A8DD-CC7CAE71BC7D}"/>
    <cellStyle name="20% - Énfasis4 17" xfId="687" xr:uid="{D2789496-BE73-433E-807F-5B301895140D}"/>
    <cellStyle name="20% - Énfasis4 18" xfId="688" xr:uid="{5FD5E7A4-0610-45E0-B850-EAD4267971FE}"/>
    <cellStyle name="20% - Énfasis4 19" xfId="689" xr:uid="{EC9C5204-1E6C-42B5-ABD4-BCE69481A21A}"/>
    <cellStyle name="20% - Énfasis4 2" xfId="690" xr:uid="{8DFBFAA9-AF49-4964-883E-E99CC41961DB}"/>
    <cellStyle name="20% - Énfasis4 2 2" xfId="691" xr:uid="{918D641C-9C53-4F82-9BCF-99272B6C9E11}"/>
    <cellStyle name="20% - Énfasis4 2 3" xfId="692" xr:uid="{847A161B-5CE3-46BB-9E2E-6223A67F22C0}"/>
    <cellStyle name="20% - Énfasis4 20" xfId="693" xr:uid="{59203083-075C-4828-B5F4-D81D53E41603}"/>
    <cellStyle name="20% - Énfasis4 21" xfId="694" xr:uid="{2919275E-9285-493A-BE59-C6F5D63145EC}"/>
    <cellStyle name="20% - Énfasis4 21 2" xfId="695" xr:uid="{3A932F41-4840-4EBC-85D6-CF71E5C45B64}"/>
    <cellStyle name="20% - Énfasis4 21 2 2" xfId="696" xr:uid="{7141B7C9-ED18-4A9E-BEF1-4DC99CA8FF79}"/>
    <cellStyle name="20% - Énfasis4 21 3" xfId="697" xr:uid="{5240ACE4-8FDC-4707-92CB-49FBD6EEDFF0}"/>
    <cellStyle name="20% - Énfasis4 21 3 2" xfId="698" xr:uid="{B4ACF6E4-446B-4655-850D-70C3F16E39E0}"/>
    <cellStyle name="20% - Énfasis4 21 4" xfId="699" xr:uid="{31CB5F35-F018-47D7-A255-2A41517027EB}"/>
    <cellStyle name="20% - Énfasis4 22" xfId="700" xr:uid="{8F73A447-99D1-40FD-AEDF-2EB21B5B9BD1}"/>
    <cellStyle name="20% - Énfasis4 22 2" xfId="701" xr:uid="{4D454AD2-1C81-4129-86E1-EFC28905CC80}"/>
    <cellStyle name="20% - Énfasis4 22 2 2" xfId="702" xr:uid="{8C663D54-3EAB-4881-A731-E797B643E218}"/>
    <cellStyle name="20% - Énfasis4 22 3" xfId="703" xr:uid="{A64EEF31-9B3E-4FC7-BB1A-E14A367B06CD}"/>
    <cellStyle name="20% - Énfasis4 23" xfId="704" xr:uid="{E7497FED-4F94-414E-BF37-99E1BD43D7C5}"/>
    <cellStyle name="20% - Énfasis4 24" xfId="705" xr:uid="{72AEF321-72CC-45D0-B1D1-C71B60614F75}"/>
    <cellStyle name="20% - Énfasis4 3" xfId="706" xr:uid="{A6EF4E8D-F7F5-4A1F-AF51-02B2683B7AE6}"/>
    <cellStyle name="20% - Énfasis4 3 2" xfId="707" xr:uid="{450D685F-A342-4A4A-9B6E-038BBAF8DDFA}"/>
    <cellStyle name="20% - Énfasis4 3 3" xfId="708" xr:uid="{45CA9F2C-9867-4CC7-B49C-0C53FFA200B5}"/>
    <cellStyle name="20% - Énfasis4 4" xfId="709" xr:uid="{A4DB8179-4033-45BA-B40A-3E5994DDB5C8}"/>
    <cellStyle name="20% - Énfasis4 4 2" xfId="710" xr:uid="{DEFADE26-EA31-45A6-9FE5-8B09E02BEA6C}"/>
    <cellStyle name="20% - Énfasis4 5" xfId="711" xr:uid="{ABB865FA-1408-4146-AE10-FEEAE5C844EF}"/>
    <cellStyle name="20% - Énfasis4 6" xfId="712" xr:uid="{3D9A6BAC-966F-41B9-A2A3-D6421A9EC0BA}"/>
    <cellStyle name="20% - Énfasis4 7" xfId="713" xr:uid="{04257662-328A-40E0-A0E0-E5E6A56B6240}"/>
    <cellStyle name="20% - Énfasis4 8" xfId="714" xr:uid="{0C532852-D1BC-4353-89B0-75AA65FEC4F0}"/>
    <cellStyle name="20% - Énfasis4 9" xfId="715" xr:uid="{01DC7A71-4E21-4532-8AF4-3B26A7DC3EB2}"/>
    <cellStyle name="20% - Énfasis5 2" xfId="716" xr:uid="{102FA9DB-37C5-4BA0-B5C8-917E0D43934C}"/>
    <cellStyle name="20% - Énfasis5 2 2" xfId="717" xr:uid="{B596620A-B68E-477C-AA24-C64CA6BC22EC}"/>
    <cellStyle name="20% - Énfasis5 2 2 2" xfId="718" xr:uid="{D05A6113-13A0-45F0-97CC-9522FB5965DB}"/>
    <cellStyle name="20% - Énfasis5 2 3" xfId="719" xr:uid="{E17EFC2E-07B6-496D-A466-CFDB820AC5F2}"/>
    <cellStyle name="20% - Énfasis5 2 3 2" xfId="720" xr:uid="{CE09B372-4F40-457C-9E78-01FB3E46D5EA}"/>
    <cellStyle name="20% - Énfasis5 2 4" xfId="721" xr:uid="{70EE4F2B-CBEE-4838-AD12-AB05DCF3A1EF}"/>
    <cellStyle name="20% - Énfasis5 2 5" xfId="722" xr:uid="{EA23BA99-3CCE-492A-86D7-2A720134CD30}"/>
    <cellStyle name="20% - Énfasis5 3" xfId="723" xr:uid="{CC631FAD-BBB5-4E2B-89F2-9E5143A7C466}"/>
    <cellStyle name="20% - Énfasis5 3 2" xfId="724" xr:uid="{D5A442A9-D261-4B88-B783-201C21375BCC}"/>
    <cellStyle name="20% - Énfasis5 3 2 2" xfId="725" xr:uid="{982940FD-54A7-494B-B8A9-40C3B80C0F81}"/>
    <cellStyle name="20% - Énfasis5 3 3" xfId="726" xr:uid="{25D12AA2-B47E-4ECD-86FC-6B88388D8404}"/>
    <cellStyle name="20% - Énfasis5 3 4" xfId="727" xr:uid="{8D3966D3-B605-40EA-9A7E-203D7E0A77B1}"/>
    <cellStyle name="20% - Énfasis5 4" xfId="728" xr:uid="{EC377D2D-4217-4A29-8CD0-A9EB00D8B820}"/>
    <cellStyle name="20% - Énfasis5 5" xfId="729" xr:uid="{DD2CC0E9-5A10-4DE2-A224-B60B4E6D8021}"/>
    <cellStyle name="20% - Énfasis5 6" xfId="730" xr:uid="{9383CC99-EA03-4213-B6CF-6E579759B715}"/>
    <cellStyle name="20% - Énfasis6 10" xfId="731" xr:uid="{6F9D74F4-6FEE-4F0B-B5C6-814D64275A26}"/>
    <cellStyle name="20% - Énfasis6 11" xfId="732" xr:uid="{AFC0D7D1-A921-48E5-B511-F98E81E5D07F}"/>
    <cellStyle name="20% - Énfasis6 12" xfId="733" xr:uid="{E77275F4-F55E-4AD9-8BA1-5630B16897F8}"/>
    <cellStyle name="20% - Énfasis6 13" xfId="734" xr:uid="{354C3EE5-5DD5-4076-B584-412D61958327}"/>
    <cellStyle name="20% - Énfasis6 14" xfId="735" xr:uid="{C517BEA0-BD25-4F32-B83E-C924D4520994}"/>
    <cellStyle name="20% - Énfasis6 15" xfId="736" xr:uid="{27ABA640-D84F-402B-AB26-EF2E976FAA7B}"/>
    <cellStyle name="20% - Énfasis6 16" xfId="737" xr:uid="{34FAE198-7E0C-46A1-B4A8-1C5E24C9F1E5}"/>
    <cellStyle name="20% - Énfasis6 17" xfId="738" xr:uid="{3ADF3F17-36FF-462A-B2F9-46F46F316F3B}"/>
    <cellStyle name="20% - Énfasis6 18" xfId="739" xr:uid="{13E5C259-8408-4D08-8F69-C010E900AE41}"/>
    <cellStyle name="20% - Énfasis6 19" xfId="740" xr:uid="{55FDAEE1-4E92-4FD6-917F-32EAC7AA4D08}"/>
    <cellStyle name="20% - Énfasis6 2" xfId="741" xr:uid="{56952B91-52DA-4789-A123-1BD10B402568}"/>
    <cellStyle name="20% - Énfasis6 2 2" xfId="742" xr:uid="{FE40D03C-DF12-43FD-9C2D-7122DBDED6E0}"/>
    <cellStyle name="20% - Énfasis6 2 3" xfId="743" xr:uid="{B2F74E59-8DEB-4BC2-829C-15064CF41C1B}"/>
    <cellStyle name="20% - Énfasis6 20" xfId="744" xr:uid="{8D231755-ADE6-45BE-8C09-1EB6E98D80A9}"/>
    <cellStyle name="20% - Énfasis6 21" xfId="745" xr:uid="{C9BC545C-EB3F-4ACE-A847-7AF616A8F542}"/>
    <cellStyle name="20% - Énfasis6 21 2" xfId="746" xr:uid="{B973C570-3506-4F71-9B4E-946903E38DF6}"/>
    <cellStyle name="20% - Énfasis6 21 2 2" xfId="747" xr:uid="{B3A2CC32-E26D-4A6B-8E44-745630CD37AB}"/>
    <cellStyle name="20% - Énfasis6 21 3" xfId="748" xr:uid="{4D6A48B1-0C7D-423C-AD1A-5800D52A6E1D}"/>
    <cellStyle name="20% - Énfasis6 21 3 2" xfId="749" xr:uid="{E050928C-F8D1-47D4-8B2C-A37CC9E2A51B}"/>
    <cellStyle name="20% - Énfasis6 21 4" xfId="750" xr:uid="{4C52F93E-F104-416D-BB04-FB0CE030ABC1}"/>
    <cellStyle name="20% - Énfasis6 22" xfId="751" xr:uid="{0757CB8F-6373-46F3-BAB7-31F7FB051D6C}"/>
    <cellStyle name="20% - Énfasis6 22 2" xfId="752" xr:uid="{15242762-7854-4211-80D9-B3EA3A0DB949}"/>
    <cellStyle name="20% - Énfasis6 22 2 2" xfId="753" xr:uid="{D3164B07-F2B1-446A-BBD8-34411C0E4488}"/>
    <cellStyle name="20% - Énfasis6 22 3" xfId="754" xr:uid="{7C4BED2A-FEBB-4751-8266-D99D9015535E}"/>
    <cellStyle name="20% - Énfasis6 23" xfId="755" xr:uid="{D2B3D414-A3EE-4922-9FC5-C4DC9E2D2FC2}"/>
    <cellStyle name="20% - Énfasis6 24" xfId="756" xr:uid="{81E570C4-C132-480E-B61B-9EE2C6E9E07B}"/>
    <cellStyle name="20% - Énfasis6 3" xfId="757" xr:uid="{80F7CF9C-4B00-4D3C-ADA4-267D22E8456C}"/>
    <cellStyle name="20% - Énfasis6 3 2" xfId="758" xr:uid="{D3634B1D-64A3-422D-B3EF-860673C4C065}"/>
    <cellStyle name="20% - Énfasis6 3 3" xfId="759" xr:uid="{411B76BD-1E3F-43C6-89C2-8494FD8B9283}"/>
    <cellStyle name="20% - Énfasis6 4" xfId="760" xr:uid="{0FA0B00B-ED55-4D6D-9263-D3FA1B54CF53}"/>
    <cellStyle name="20% - Énfasis6 4 2" xfId="761" xr:uid="{ACF52908-E64D-46B9-B3AA-183EA2F84EF6}"/>
    <cellStyle name="20% - Énfasis6 5" xfId="762" xr:uid="{665A596C-D6A8-4A60-A9FC-2EC2A06FE08E}"/>
    <cellStyle name="20% - Énfasis6 6" xfId="763" xr:uid="{1845A617-7B63-43C7-840E-DE583C0A9BE6}"/>
    <cellStyle name="20% - Énfasis6 7" xfId="764" xr:uid="{6ECA226F-EA5A-4EEA-B8D5-A818AC2F61B1}"/>
    <cellStyle name="20% - Énfasis6 8" xfId="765" xr:uid="{FF55F45D-C47B-4B68-80D8-5CD183599660}"/>
    <cellStyle name="20% - Énfasis6 9" xfId="766" xr:uid="{3B2CD053-9ABA-49E0-A600-204083BA0BC1}"/>
    <cellStyle name="2o.nível" xfId="767" xr:uid="{3EA01F69-B215-41D3-B33B-94D30626E43D}"/>
    <cellStyle name="2x indented GHG Textfiels" xfId="532" xr:uid="{31BBC4DD-3DD2-4F74-9350-7D4A35D52508}"/>
    <cellStyle name="40% - Accent1" xfId="460" builtinId="31" customBuiltin="1"/>
    <cellStyle name="40% - Accent1 2" xfId="394" xr:uid="{A32CF8E9-8A1B-49D0-AD83-4021E5F481FA}"/>
    <cellStyle name="40% - Accent1 2 2" xfId="768" xr:uid="{2CBF72E8-B50A-4097-B9C3-BF4CF2A1BF0B}"/>
    <cellStyle name="40% - Accent2" xfId="463" builtinId="35" customBuiltin="1"/>
    <cellStyle name="40% - Accent2 2" xfId="390" xr:uid="{57FDADA7-DFF9-43C1-8C87-E4351939B4FB}"/>
    <cellStyle name="40% - Accent2 2 2" xfId="769" xr:uid="{14848298-3EE6-4754-B8B1-0CEA91144067}"/>
    <cellStyle name="40% - Accent3" xfId="466" builtinId="39" customBuiltin="1"/>
    <cellStyle name="40% - Accent3 2" xfId="386" xr:uid="{DDE72173-B0C8-42A7-B523-A9B23CBA5D80}"/>
    <cellStyle name="40% - Accent3 2 2" xfId="770" xr:uid="{354A2985-7F60-4920-A3B3-46DFF2D8389E}"/>
    <cellStyle name="40% - Accent4" xfId="469" builtinId="43" customBuiltin="1"/>
    <cellStyle name="40% - Accent4 2" xfId="382" xr:uid="{EC6BF5DF-A48F-4661-A3F8-58470B97492C}"/>
    <cellStyle name="40% - Accent4 2 2" xfId="771" xr:uid="{5D7B71D5-868D-469C-8D88-EF9F8DE65943}"/>
    <cellStyle name="40% - Accent5" xfId="471" builtinId="47" customBuiltin="1"/>
    <cellStyle name="40% - Accent5 2" xfId="378" xr:uid="{E19343C8-1EF6-445E-A8EF-8C7C1D95A9D3}"/>
    <cellStyle name="40% - Accent5 2 2" xfId="772" xr:uid="{CB4230C9-9DD8-4754-9B4C-69C5D9B5BD15}"/>
    <cellStyle name="40% - Accent6" xfId="474" builtinId="51" customBuiltin="1"/>
    <cellStyle name="40% - Accent6 2" xfId="374" xr:uid="{0B4BADAE-7F5D-4E0E-87FE-F5B4D09320BB}"/>
    <cellStyle name="40% - Accent6 2 2" xfId="773" xr:uid="{7F8C35ED-FDD0-4889-82D9-DDFC8294FD7C}"/>
    <cellStyle name="40% - Énfasis1 10" xfId="774" xr:uid="{22A3CF77-CF80-4177-85BE-550027A20C30}"/>
    <cellStyle name="40% - Énfasis1 11" xfId="775" xr:uid="{AB78116D-3408-43B0-BA95-6B98C25A05B2}"/>
    <cellStyle name="40% - Énfasis1 12" xfId="776" xr:uid="{D177FB71-34A2-4F64-8526-AE6A7A87D18E}"/>
    <cellStyle name="40% - Énfasis1 13" xfId="777" xr:uid="{6010E650-58F1-4AA9-8EDC-3BC2FF9D2D72}"/>
    <cellStyle name="40% - Énfasis1 14" xfId="778" xr:uid="{8C0E7D55-D2EB-417E-B674-D4BE4C668435}"/>
    <cellStyle name="40% - Énfasis1 15" xfId="779" xr:uid="{2E611860-0518-48D1-B63D-11DB720AD165}"/>
    <cellStyle name="40% - Énfasis1 16" xfId="780" xr:uid="{3C3651B5-9899-46F5-B639-9EC0657D8C43}"/>
    <cellStyle name="40% - Énfasis1 17" xfId="781" xr:uid="{A2F88F6A-2AF9-4F89-9F38-37F0468A0C78}"/>
    <cellStyle name="40% - Énfasis1 18" xfId="782" xr:uid="{753BAC00-FB8A-41D5-89FF-A4855EDD0068}"/>
    <cellStyle name="40% - Énfasis1 19" xfId="783" xr:uid="{186B6C3E-06A8-4B85-9CF0-44E529541F3B}"/>
    <cellStyle name="40% - Énfasis1 2" xfId="784" xr:uid="{2578CAE3-4997-4C60-86A0-6A71E6BE33FF}"/>
    <cellStyle name="40% - Énfasis1 2 2" xfId="785" xr:uid="{0241BB0B-88A8-452B-A72B-1EE56E8C2383}"/>
    <cellStyle name="40% - Énfasis1 2 3" xfId="786" xr:uid="{52A7DFB1-B5AC-478F-ABC5-6C52AA9AA7A8}"/>
    <cellStyle name="40% - Énfasis1 20" xfId="787" xr:uid="{AB208290-FB9C-48ED-9204-A20262B53811}"/>
    <cellStyle name="40% - Énfasis1 21" xfId="788" xr:uid="{926D65EA-425B-4315-B5EF-41B085BF26F7}"/>
    <cellStyle name="40% - Énfasis1 21 2" xfId="789" xr:uid="{958AEED0-3314-4F1C-AA66-75D0889E8F4E}"/>
    <cellStyle name="40% - Énfasis1 21 2 2" xfId="790" xr:uid="{569D69F0-4D8D-46B3-A5D8-962B9900B9E0}"/>
    <cellStyle name="40% - Énfasis1 21 3" xfId="791" xr:uid="{4D872BF4-C92D-4D5F-A1B9-F0FE6AD31A82}"/>
    <cellStyle name="40% - Énfasis1 21 3 2" xfId="792" xr:uid="{C5F52D71-CE56-4FA9-81C9-B79198077739}"/>
    <cellStyle name="40% - Énfasis1 21 4" xfId="793" xr:uid="{101E83F1-6224-4D9C-8A7B-5E96EC7E4A94}"/>
    <cellStyle name="40% - Énfasis1 22" xfId="794" xr:uid="{AF99AD2A-DE95-41D2-B955-B300BE7D9618}"/>
    <cellStyle name="40% - Énfasis1 22 2" xfId="795" xr:uid="{DB573BA0-ADE7-4E74-99A7-D1D364BB8B80}"/>
    <cellStyle name="40% - Énfasis1 22 2 2" xfId="796" xr:uid="{F3F1FFE2-E583-4EC7-BCC1-E7C94682E24E}"/>
    <cellStyle name="40% - Énfasis1 22 3" xfId="797" xr:uid="{0CE4A6DE-7352-471F-9964-3E17F6584811}"/>
    <cellStyle name="40% - Énfasis1 23" xfId="798" xr:uid="{2923EBE3-B2C6-4AD0-9780-A3F100DD7BB9}"/>
    <cellStyle name="40% - Énfasis1 24" xfId="799" xr:uid="{348FB725-F26E-4CC3-B11E-4E2B66D48208}"/>
    <cellStyle name="40% - Énfasis1 25" xfId="800" xr:uid="{7201411E-2C43-4156-920C-854C4C31CC85}"/>
    <cellStyle name="40% - Énfasis1 3" xfId="801" xr:uid="{C74A6FA7-173B-4019-AA81-ED4B1088AB18}"/>
    <cellStyle name="40% - Énfasis1 3 2" xfId="802" xr:uid="{F3810FDC-8745-460F-A7B7-9D65D704F4F7}"/>
    <cellStyle name="40% - Énfasis1 3 3" xfId="803" xr:uid="{66D3F953-FD2E-4F89-9EF3-B287128E46CE}"/>
    <cellStyle name="40% - Énfasis1 4" xfId="804" xr:uid="{9F396A82-B97A-443B-AADB-B02E147A9BF1}"/>
    <cellStyle name="40% - Énfasis1 4 2" xfId="805" xr:uid="{7A3CEEEB-43E4-4CDE-BEF4-BB1F77DB0490}"/>
    <cellStyle name="40% - Énfasis1 5" xfId="806" xr:uid="{CBC05BF6-9404-4611-A11F-B6E65DBA982D}"/>
    <cellStyle name="40% - Énfasis1 6" xfId="807" xr:uid="{D2167B29-12E8-43D0-A2C7-053A029D773A}"/>
    <cellStyle name="40% - Énfasis1 7" xfId="808" xr:uid="{D56B6508-E4D9-4A6C-A3D5-6EE1BAC4B7F2}"/>
    <cellStyle name="40% - Énfasis1 8" xfId="809" xr:uid="{3141D896-D2A2-4D78-B8CA-4095F2383C8D}"/>
    <cellStyle name="40% - Énfasis1 9" xfId="810" xr:uid="{CF7FB83F-52B4-43FD-8D08-369854F1B6AF}"/>
    <cellStyle name="40% - Énfasis2 2" xfId="811" xr:uid="{6FCB98AB-3434-4699-A189-A29425D27BDA}"/>
    <cellStyle name="40% - Énfasis2 2 2" xfId="812" xr:uid="{40459325-61E6-4A1B-A22B-5460ACBF2E2D}"/>
    <cellStyle name="40% - Énfasis2 2 2 2" xfId="813" xr:uid="{1CB87217-C5BE-4FC6-B84E-1A516B9A3D5D}"/>
    <cellStyle name="40% - Énfasis2 2 3" xfId="814" xr:uid="{72B15B0A-7A3B-4A63-8338-114FE14C40AD}"/>
    <cellStyle name="40% - Énfasis2 2 3 2" xfId="815" xr:uid="{C7945246-99A1-4075-901A-813F848EA88A}"/>
    <cellStyle name="40% - Énfasis2 2 4" xfId="816" xr:uid="{AD4A529D-1BC5-49A5-BCC9-8B3CF72AA602}"/>
    <cellStyle name="40% - Énfasis2 2 5" xfId="817" xr:uid="{09E037AE-029F-40AE-8D58-C4A28621ABA0}"/>
    <cellStyle name="40% - Énfasis2 3" xfId="818" xr:uid="{BFABCB90-998D-4102-9527-D537BEEF6795}"/>
    <cellStyle name="40% - Énfasis2 3 2" xfId="819" xr:uid="{F8554034-88DA-43FD-83C3-41C9C62325E3}"/>
    <cellStyle name="40% - Énfasis2 3 2 2" xfId="820" xr:uid="{075065F2-D563-4EC3-9BEA-1E496774B732}"/>
    <cellStyle name="40% - Énfasis2 3 3" xfId="821" xr:uid="{ACCC8928-8B3F-4512-ABCB-6DB36624D2C6}"/>
    <cellStyle name="40% - Énfasis2 3 4" xfId="822" xr:uid="{A6F75345-12C4-49CB-B514-A6540BCAB4DC}"/>
    <cellStyle name="40% - Énfasis2 4" xfId="823" xr:uid="{05BE4EB2-D4DB-477B-99D1-EC0FFBCDBCA6}"/>
    <cellStyle name="40% - Énfasis2 5" xfId="824" xr:uid="{4DB711D5-A218-4017-8431-1033402B8816}"/>
    <cellStyle name="40% - Énfasis2 6" xfId="825" xr:uid="{4310D5EB-6220-4FB4-A398-88D3CF8E62F4}"/>
    <cellStyle name="40% - Énfasis3 10" xfId="826" xr:uid="{BA63FA97-7921-4066-A63C-AE5C3F8FA779}"/>
    <cellStyle name="40% - Énfasis3 11" xfId="827" xr:uid="{048B7C9F-E71B-4FA8-8B51-50AA5E5E3E24}"/>
    <cellStyle name="40% - Énfasis3 12" xfId="828" xr:uid="{7986AE90-933D-4BB7-9B71-63D1E25493E3}"/>
    <cellStyle name="40% - Énfasis3 13" xfId="829" xr:uid="{97AD72B4-047E-42A5-BBD6-FA5E97345AC8}"/>
    <cellStyle name="40% - Énfasis3 14" xfId="830" xr:uid="{D04DA4E9-DE66-4D46-B81E-B59FBF7F544B}"/>
    <cellStyle name="40% - Énfasis3 15" xfId="831" xr:uid="{C299F221-F568-4DEA-86E5-0416521F293A}"/>
    <cellStyle name="40% - Énfasis3 16" xfId="832" xr:uid="{AB00B982-FED1-4DD6-A1BA-9E526E7BEDE1}"/>
    <cellStyle name="40% - Énfasis3 17" xfId="833" xr:uid="{6B926148-0818-446E-998D-1ECECE3CB8FB}"/>
    <cellStyle name="40% - Énfasis3 18" xfId="834" xr:uid="{B392A229-3B02-4B78-BC7F-0D08CBD7D14C}"/>
    <cellStyle name="40% - Énfasis3 19" xfId="835" xr:uid="{3DE0074E-361C-4FD5-A28B-7FF3C4DDE9F4}"/>
    <cellStyle name="40% - Énfasis3 2" xfId="836" xr:uid="{99B00D10-FFCF-49BF-A5C6-2734DE14E6FC}"/>
    <cellStyle name="40% - Énfasis3 2 2" xfId="837" xr:uid="{06E656E0-51F8-43FB-8C15-749993A6A033}"/>
    <cellStyle name="40% - Énfasis3 2 3" xfId="838" xr:uid="{367749C2-9484-4F0C-9D50-A25F22CCE1E1}"/>
    <cellStyle name="40% - Énfasis3 20" xfId="839" xr:uid="{D2847F15-CC63-47DA-BD86-B2F4BAD64B14}"/>
    <cellStyle name="40% - Énfasis3 21" xfId="840" xr:uid="{A3D5BB06-E60B-44F8-8038-04670D12CB17}"/>
    <cellStyle name="40% - Énfasis3 21 2" xfId="841" xr:uid="{0497F70D-564D-4B8E-A4B3-B984DC23BF79}"/>
    <cellStyle name="40% - Énfasis3 21 2 2" xfId="842" xr:uid="{A8497982-9696-4B9D-8F85-504B8A44B0F6}"/>
    <cellStyle name="40% - Énfasis3 21 3" xfId="843" xr:uid="{F79BBB45-3D24-48AD-B198-59320EB3E20D}"/>
    <cellStyle name="40% - Énfasis3 21 3 2" xfId="844" xr:uid="{F7D35A1C-175A-4E19-BECC-B0B9827E39B6}"/>
    <cellStyle name="40% - Énfasis3 21 4" xfId="845" xr:uid="{1F9D6DAF-E655-43B1-8FAE-9CF1E9E8D296}"/>
    <cellStyle name="40% - Énfasis3 22" xfId="846" xr:uid="{7B2ED404-A2C6-454D-8970-5615DB154B04}"/>
    <cellStyle name="40% - Énfasis3 22 2" xfId="847" xr:uid="{4F180D8A-6292-4CB3-843C-05B207DFC5B9}"/>
    <cellStyle name="40% - Énfasis3 22 2 2" xfId="848" xr:uid="{8F55ADD0-E9FB-44E3-A99E-8EAC49BC16B3}"/>
    <cellStyle name="40% - Énfasis3 22 3" xfId="849" xr:uid="{6CAB591C-EBF9-468E-88F7-BF0E75781017}"/>
    <cellStyle name="40% - Énfasis3 23" xfId="850" xr:uid="{3922286D-6DFE-4B87-9EA1-242D95751435}"/>
    <cellStyle name="40% - Énfasis3 24" xfId="851" xr:uid="{4FCBCDF9-43EE-4686-8A34-8178082800EF}"/>
    <cellStyle name="40% - Énfasis3 3" xfId="852" xr:uid="{3FA2BBF7-D6A1-4028-B708-8676F379702A}"/>
    <cellStyle name="40% - Énfasis3 3 2" xfId="853" xr:uid="{72744422-7429-49EF-A970-774B4B39FE18}"/>
    <cellStyle name="40% - Énfasis3 3 3" xfId="854" xr:uid="{A2A8A825-2EE5-4E5D-AAC3-1565E31BDCAA}"/>
    <cellStyle name="40% - Énfasis3 4" xfId="855" xr:uid="{54FD0540-46D5-4FB7-BBA1-00E627F8092F}"/>
    <cellStyle name="40% - Énfasis3 4 2" xfId="856" xr:uid="{4CBC0E53-DAED-481A-8848-B25D62A89109}"/>
    <cellStyle name="40% - Énfasis3 5" xfId="857" xr:uid="{E6BC0C9A-D4A5-45CE-9689-0C5E5DC7A399}"/>
    <cellStyle name="40% - Énfasis3 6" xfId="858" xr:uid="{685080AC-6C4C-40EA-81BC-239C6C62C253}"/>
    <cellStyle name="40% - Énfasis3 7" xfId="859" xr:uid="{302A010E-94A5-45DE-8E48-90C33AEDA6CB}"/>
    <cellStyle name="40% - Énfasis3 8" xfId="860" xr:uid="{6AD37E45-CDA7-4013-B841-4AF4FF82BCDC}"/>
    <cellStyle name="40% - Énfasis3 9" xfId="861" xr:uid="{4A5BF8C1-9A1C-4513-A897-0FF64F3FAD41}"/>
    <cellStyle name="40% - Énfasis4 10" xfId="862" xr:uid="{F79A1707-2111-4982-9E25-11B2A49CD689}"/>
    <cellStyle name="40% - Énfasis4 11" xfId="863" xr:uid="{67A027A8-62A7-4941-A68F-F63934549C7F}"/>
    <cellStyle name="40% - Énfasis4 12" xfId="864" xr:uid="{EAB6BA30-450C-41CE-9FB2-8288963B7F0F}"/>
    <cellStyle name="40% - Énfasis4 13" xfId="865" xr:uid="{D633AE86-E3FC-4187-A04D-A1A95BBCCC49}"/>
    <cellStyle name="40% - Énfasis4 14" xfId="866" xr:uid="{82EDFD2F-12D5-4EF8-A681-EAD183E65A92}"/>
    <cellStyle name="40% - Énfasis4 15" xfId="867" xr:uid="{354CCCF3-33BC-48F3-BBEA-4933B644D3DC}"/>
    <cellStyle name="40% - Énfasis4 16" xfId="868" xr:uid="{9FBA27CD-515D-4254-A795-0DDA1546D155}"/>
    <cellStyle name="40% - Énfasis4 17" xfId="869" xr:uid="{9723E3EF-2361-4985-BFD1-CDC6A82CE8A0}"/>
    <cellStyle name="40% - Énfasis4 18" xfId="870" xr:uid="{FF1C1CF3-B86F-43F1-B0E4-6AF8299E306B}"/>
    <cellStyle name="40% - Énfasis4 19" xfId="871" xr:uid="{B4B53A7D-25A0-4774-A494-73FD80F1CB39}"/>
    <cellStyle name="40% - Énfasis4 2" xfId="872" xr:uid="{E65541F7-A648-413C-8EC1-EE68FD909533}"/>
    <cellStyle name="40% - Énfasis4 2 2" xfId="873" xr:uid="{6C5B7D5C-A376-458D-B396-9F3A0D7BF371}"/>
    <cellStyle name="40% - Énfasis4 2 3" xfId="874" xr:uid="{CC9BF60B-C280-4004-A52C-49D043DB506A}"/>
    <cellStyle name="40% - Énfasis4 20" xfId="875" xr:uid="{4790F3D1-7518-483A-B149-87BE8AD255B2}"/>
    <cellStyle name="40% - Énfasis4 21" xfId="876" xr:uid="{C54413C7-0C99-430D-8FCE-615C24CC81AD}"/>
    <cellStyle name="40% - Énfasis4 21 2" xfId="877" xr:uid="{164C0ED7-8C0B-4E24-96F4-73BDB8B0C707}"/>
    <cellStyle name="40% - Énfasis4 21 2 2" xfId="878" xr:uid="{500E6854-F345-49C3-ACBC-E66596060948}"/>
    <cellStyle name="40% - Énfasis4 21 3" xfId="879" xr:uid="{F79081E7-10FD-4759-A9B4-5A85EC7B79EB}"/>
    <cellStyle name="40% - Énfasis4 21 3 2" xfId="880" xr:uid="{351D8947-BAE3-4947-8E2F-5F9BD7D40EED}"/>
    <cellStyle name="40% - Énfasis4 21 4" xfId="881" xr:uid="{29E26961-71D9-4589-B4B7-C51248B4E59F}"/>
    <cellStyle name="40% - Énfasis4 22" xfId="882" xr:uid="{8C807B98-BCAE-4E47-8A95-25D44AFABF43}"/>
    <cellStyle name="40% - Énfasis4 22 2" xfId="883" xr:uid="{B1CA66D5-9456-4CFD-BE9D-BEEEAA447978}"/>
    <cellStyle name="40% - Énfasis4 22 2 2" xfId="884" xr:uid="{417F01FD-5B6C-4678-B8C7-34DE57BBFD35}"/>
    <cellStyle name="40% - Énfasis4 22 3" xfId="885" xr:uid="{4A39C04C-4C6A-43F9-A104-303B4CF0D91D}"/>
    <cellStyle name="40% - Énfasis4 23" xfId="886" xr:uid="{A00FC3CB-ADF6-446A-882B-3457B39C0BC5}"/>
    <cellStyle name="40% - Énfasis4 24" xfId="887" xr:uid="{196413DD-71F5-424B-9E01-3C2DBC2E5737}"/>
    <cellStyle name="40% - Énfasis4 25" xfId="888" xr:uid="{E1C95A16-8BBD-4E29-866F-BC2875C6C12B}"/>
    <cellStyle name="40% - Énfasis4 3" xfId="889" xr:uid="{5888F89B-D662-4CA3-B634-CD18C148EE20}"/>
    <cellStyle name="40% - Énfasis4 3 2" xfId="890" xr:uid="{61FABC66-3C16-474C-A289-312333D455D6}"/>
    <cellStyle name="40% - Énfasis4 3 3" xfId="891" xr:uid="{506C8B81-6635-40A9-9DBD-7E68019B4441}"/>
    <cellStyle name="40% - Énfasis4 4" xfId="892" xr:uid="{EF4310B4-7353-495D-8AE9-782C937A1B0F}"/>
    <cellStyle name="40% - Énfasis4 4 2" xfId="893" xr:uid="{1EB2A10A-D5EB-4097-923F-05854E11B9A2}"/>
    <cellStyle name="40% - Énfasis4 5" xfId="894" xr:uid="{A357B228-68C3-4852-A8EA-D777FD19D154}"/>
    <cellStyle name="40% - Énfasis4 6" xfId="895" xr:uid="{9BF3E667-CC2B-4E69-AFF6-2222E10AFD4C}"/>
    <cellStyle name="40% - Énfasis4 7" xfId="896" xr:uid="{5AC6C133-0831-4F33-9E0E-9F27FB045D54}"/>
    <cellStyle name="40% - Énfasis4 8" xfId="897" xr:uid="{BA4C770D-3952-4F36-B82C-8E0F94EAF0CC}"/>
    <cellStyle name="40% - Énfasis4 9" xfId="898" xr:uid="{C974A574-5C49-431E-BB80-E599B26D6161}"/>
    <cellStyle name="40% - Énfasis5 2" xfId="899" xr:uid="{471B90B1-EBE2-47DC-A75C-EFBDF549A5D4}"/>
    <cellStyle name="40% - Énfasis5 2 2" xfId="900" xr:uid="{F7072D18-B985-4271-800A-65C257C3E0D5}"/>
    <cellStyle name="40% - Énfasis5 2 2 2" xfId="901" xr:uid="{9C369329-1B18-4CD9-B2F0-B9C873181352}"/>
    <cellStyle name="40% - Énfasis5 2 3" xfId="902" xr:uid="{F46C3C9E-4218-4FF8-9E11-EB8DD5D7B5E9}"/>
    <cellStyle name="40% - Énfasis5 2 3 2" xfId="903" xr:uid="{A577DB1A-758F-433D-8FC5-534514171B89}"/>
    <cellStyle name="40% - Énfasis5 2 4" xfId="904" xr:uid="{2A9242A2-8D33-4A5A-9FF1-86CE510E8154}"/>
    <cellStyle name="40% - Énfasis5 2 5" xfId="905" xr:uid="{27EE224F-AADB-45A2-B94D-A3BE391BE78A}"/>
    <cellStyle name="40% - Énfasis5 3" xfId="906" xr:uid="{70089BCE-745D-4B46-B57F-26D3B10F45A7}"/>
    <cellStyle name="40% - Énfasis5 3 2" xfId="907" xr:uid="{16F70595-0F7D-4E69-BCE5-307679F07736}"/>
    <cellStyle name="40% - Énfasis5 3 2 2" xfId="908" xr:uid="{77F420D1-A1DB-435F-8B78-5BE5F411F9D4}"/>
    <cellStyle name="40% - Énfasis5 3 3" xfId="909" xr:uid="{A44EDFC9-5574-476F-AD60-00049EDA403C}"/>
    <cellStyle name="40% - Énfasis5 3 4" xfId="910" xr:uid="{D8659FFB-146E-499F-B2F3-2758FEE138C0}"/>
    <cellStyle name="40% - Énfasis5 4" xfId="911" xr:uid="{52B28DDE-5C2C-41B9-A490-6C96386771A7}"/>
    <cellStyle name="40% - Énfasis5 5" xfId="912" xr:uid="{368DCBE4-3A47-4EED-94D7-4E39DDC2D7EA}"/>
    <cellStyle name="40% - Énfasis5 6" xfId="913" xr:uid="{AF86757B-343D-4EDE-AAE2-F5EB52744582}"/>
    <cellStyle name="40% - Énfasis5 7" xfId="914" xr:uid="{C6D42C23-1530-4F70-BC39-28A69FEA0B2D}"/>
    <cellStyle name="40% - Énfasis6 10" xfId="915" xr:uid="{3775E4B1-9955-4FFC-A290-07228B282824}"/>
    <cellStyle name="40% - Énfasis6 11" xfId="916" xr:uid="{CEB5EF44-0203-444F-9800-83896B019913}"/>
    <cellStyle name="40% - Énfasis6 12" xfId="917" xr:uid="{77D51CC5-F76B-4322-9ABE-C716FDD6BD00}"/>
    <cellStyle name="40% - Énfasis6 13" xfId="918" xr:uid="{E05D40B5-2BE8-4B4F-9AEC-6198B4009930}"/>
    <cellStyle name="40% - Énfasis6 14" xfId="919" xr:uid="{7DD121E4-6A28-419B-ACCF-7EFC29E22595}"/>
    <cellStyle name="40% - Énfasis6 15" xfId="920" xr:uid="{595AD988-CEF9-4DD7-9CB3-655B231B64E8}"/>
    <cellStyle name="40% - Énfasis6 16" xfId="921" xr:uid="{AB7F61C2-B9B5-4F3A-A6C8-1FC0815F1F7D}"/>
    <cellStyle name="40% - Énfasis6 17" xfId="922" xr:uid="{EF18B444-CB30-4A1E-BDA0-92B943938F5E}"/>
    <cellStyle name="40% - Énfasis6 18" xfId="923" xr:uid="{413655CA-D297-434A-8866-B19B91FC60EC}"/>
    <cellStyle name="40% - Énfasis6 19" xfId="924" xr:uid="{BF396FB1-A28C-4CCF-8944-9AEDFF067D98}"/>
    <cellStyle name="40% - Énfasis6 2" xfId="925" xr:uid="{F46C6610-6935-4500-8695-D57FC934A574}"/>
    <cellStyle name="40% - Énfasis6 2 2" xfId="926" xr:uid="{C339960B-7AF3-422D-95B4-60D288F19F7C}"/>
    <cellStyle name="40% - Énfasis6 2 3" xfId="927" xr:uid="{1A18091D-69BB-4B75-9B75-AE7FEEB5E0AC}"/>
    <cellStyle name="40% - Énfasis6 20" xfId="928" xr:uid="{EB62FEEE-B638-488C-9DBC-A35AA28657A6}"/>
    <cellStyle name="40% - Énfasis6 21" xfId="929" xr:uid="{F0E08A1B-EC8C-495F-93F6-BF241095610A}"/>
    <cellStyle name="40% - Énfasis6 21 2" xfId="930" xr:uid="{64E4A8AC-DA02-49A0-B2A4-B9D5EFF665C1}"/>
    <cellStyle name="40% - Énfasis6 21 2 2" xfId="931" xr:uid="{2DF54BD2-F951-427B-98EF-EEC7AC291B7E}"/>
    <cellStyle name="40% - Énfasis6 21 3" xfId="932" xr:uid="{431E2D7C-B801-4A9F-AA01-7033420C904D}"/>
    <cellStyle name="40% - Énfasis6 21 3 2" xfId="933" xr:uid="{DCA90A82-7BC2-43E4-A112-59E6A690B6D0}"/>
    <cellStyle name="40% - Énfasis6 21 4" xfId="934" xr:uid="{776DFAA7-688E-43F0-BAEC-0B4F435324D7}"/>
    <cellStyle name="40% - Énfasis6 22" xfId="935" xr:uid="{B328DA3D-289D-4C78-98AD-3CFE52113544}"/>
    <cellStyle name="40% - Énfasis6 22 2" xfId="936" xr:uid="{105704AD-AE60-4867-B098-99C2C09B41EE}"/>
    <cellStyle name="40% - Énfasis6 22 2 2" xfId="937" xr:uid="{E53B2BA3-9EFD-4586-832C-865636CC3D02}"/>
    <cellStyle name="40% - Énfasis6 22 3" xfId="938" xr:uid="{C486FDE0-2381-4385-9E99-5D8D84BAB030}"/>
    <cellStyle name="40% - Énfasis6 23" xfId="939" xr:uid="{CD5250A7-65F7-4104-9B65-67CED985D549}"/>
    <cellStyle name="40% - Énfasis6 24" xfId="940" xr:uid="{CFCFADE9-25F0-4B30-BF33-D9F0F7A4E97A}"/>
    <cellStyle name="40% - Énfasis6 25" xfId="941" xr:uid="{DA6B86F7-71AF-4C25-8F97-33B9F8025B2B}"/>
    <cellStyle name="40% - Énfasis6 3" xfId="942" xr:uid="{36FC11E5-3534-4D81-9E40-56A86FAE35F7}"/>
    <cellStyle name="40% - Énfasis6 3 2" xfId="943" xr:uid="{ED0315EF-0886-4ADA-AD0C-8EBF07767483}"/>
    <cellStyle name="40% - Énfasis6 3 3" xfId="944" xr:uid="{4627AFB6-3C95-4A38-914C-8210E70A2FF0}"/>
    <cellStyle name="40% - Énfasis6 4" xfId="945" xr:uid="{73E5B5F5-FD4D-446A-97A0-8ED7461E1D03}"/>
    <cellStyle name="40% - Énfasis6 4 2" xfId="946" xr:uid="{3F0514C1-02D2-48A9-AAD9-269A061DE164}"/>
    <cellStyle name="40% - Énfasis6 5" xfId="947" xr:uid="{0498B111-030A-409A-94B9-7A55393991BD}"/>
    <cellStyle name="40% - Énfasis6 6" xfId="948" xr:uid="{3614D3F2-193B-4244-8E3A-B9DC64A54C0F}"/>
    <cellStyle name="40% - Énfasis6 7" xfId="949" xr:uid="{C84E0951-76B2-4EE1-8086-3C23868FBBF4}"/>
    <cellStyle name="40% - Énfasis6 8" xfId="950" xr:uid="{9552390D-C9D2-4D6F-A53F-F96EF9E12C22}"/>
    <cellStyle name="40% - Énfasis6 9" xfId="951" xr:uid="{718CF74B-B2D1-4139-8E96-F6BDE1F947C8}"/>
    <cellStyle name="60% - Accent1 2" xfId="351" xr:uid="{DA18C4DA-2152-4EF6-9BF9-BF6CB0413541}"/>
    <cellStyle name="60% - Accent1 2 2" xfId="952" xr:uid="{3FB79E96-FB24-46C8-8C33-EA289086E533}"/>
    <cellStyle name="60% - Accent1 2 3" xfId="541" xr:uid="{7F8243B3-BE74-40A5-8C32-AB480C26BF8B}"/>
    <cellStyle name="60% - Accent1 3" xfId="393" xr:uid="{1ED0A580-A5DD-4B0C-8F32-6EBC7327388A}"/>
    <cellStyle name="60% - Accent1 3 2" xfId="557" xr:uid="{368DBEC6-D15A-4F9F-AB4F-062402D84A72}"/>
    <cellStyle name="60% - Accent2 2" xfId="350" xr:uid="{751C2EAF-4312-42C6-B598-C2B4C0F6AE9C}"/>
    <cellStyle name="60% - Accent2 2 2" xfId="953" xr:uid="{EE59FD98-CCAE-4149-9B8B-4C62C467CCE3}"/>
    <cellStyle name="60% - Accent2 2 3" xfId="542" xr:uid="{41AA0632-577E-4024-BD5F-3409BFEFAD8F}"/>
    <cellStyle name="60% - Accent2 3" xfId="389" xr:uid="{0F45AD7C-674E-4A89-935D-6D7F6A7D7116}"/>
    <cellStyle name="60% - Accent2 3 2" xfId="558" xr:uid="{57E0AAB7-3385-436F-B6C1-0AF726DEF0AB}"/>
    <cellStyle name="60% - Accent3 2" xfId="349" xr:uid="{FA4522AF-9995-4BFA-BF5A-E7CD9E231A0C}"/>
    <cellStyle name="60% - Accent3 2 2" xfId="954" xr:uid="{C4FED4E7-93B9-47A1-BE17-72999AFCB5B5}"/>
    <cellStyle name="60% - Accent3 2 3" xfId="543" xr:uid="{6FBE7EDC-3644-4192-BF27-E7167D2C2CF8}"/>
    <cellStyle name="60% - Accent3 3" xfId="385" xr:uid="{45C86C60-7F6C-4D8A-87DE-D9A72013F9E0}"/>
    <cellStyle name="60% - Accent3 3 2" xfId="559" xr:uid="{AC247909-90F6-4D50-98A7-CC5ECB854AAD}"/>
    <cellStyle name="60% - Accent4 2" xfId="348" xr:uid="{044C82C1-F488-4B1D-BEAD-96DC0DB09DA6}"/>
    <cellStyle name="60% - Accent4 2 2" xfId="955" xr:uid="{45248977-4264-4F95-B862-CE05EABA8582}"/>
    <cellStyle name="60% - Accent4 2 3" xfId="544" xr:uid="{391D57F1-AECB-4845-99EE-F26997A79F9A}"/>
    <cellStyle name="60% - Accent4 3" xfId="381" xr:uid="{C5986187-BA90-4F48-B4A6-73CBB8753DFB}"/>
    <cellStyle name="60% - Accent4 3 2" xfId="560" xr:uid="{0EF4C07D-64FE-49C8-9683-D50D5FEC2429}"/>
    <cellStyle name="60% - Accent5 2" xfId="347" xr:uid="{C3BFB672-4AA8-468A-B428-63F3D765164B}"/>
    <cellStyle name="60% - Accent5 2 2" xfId="956" xr:uid="{56C5256D-A294-46CD-AB8D-DCC0802D14D2}"/>
    <cellStyle name="60% - Accent5 2 3" xfId="546" xr:uid="{F82B9C75-6483-4567-8305-24B8AD81F2FC}"/>
    <cellStyle name="60% - Accent5 3" xfId="377" xr:uid="{9C26EB71-5150-4C8C-BFD5-01DD5CCC2EAF}"/>
    <cellStyle name="60% - Accent5 3 2" xfId="561" xr:uid="{8F6503B1-5881-42CD-9C2F-22859D590931}"/>
    <cellStyle name="60% - Accent6 2" xfId="346" xr:uid="{85A4DFE8-2860-46AA-94BA-4F1E9FF5B9CF}"/>
    <cellStyle name="60% - Accent6 2 2" xfId="957" xr:uid="{313DA997-7C93-410F-979D-DAE6592C27E0}"/>
    <cellStyle name="60% - Accent6 2 3" xfId="547" xr:uid="{C7CA1FBF-23AB-4D3C-9ADE-4ABE1467BC6F}"/>
    <cellStyle name="60% - Accent6 3" xfId="373" xr:uid="{954D4AE2-7394-4B4C-A70E-D17B13A4B771}"/>
    <cellStyle name="60% - Accent6 3 2" xfId="562" xr:uid="{D477E0BA-7699-4658-95DD-DDDF5546218A}"/>
    <cellStyle name="60% - Énfasis1 10" xfId="958" xr:uid="{F6938476-7B9A-4F24-B8FB-00DC09877CDE}"/>
    <cellStyle name="60% - Énfasis1 11" xfId="959" xr:uid="{FA0C0C1B-3519-4F56-97CB-62314508C6F1}"/>
    <cellStyle name="60% - Énfasis1 12" xfId="960" xr:uid="{4C2BE748-7B45-4B2F-A2FD-7F9B18F694D6}"/>
    <cellStyle name="60% - Énfasis1 13" xfId="961" xr:uid="{27239B61-3244-41BA-83F3-E0C45C8BABA8}"/>
    <cellStyle name="60% - Énfasis1 14" xfId="962" xr:uid="{05C266CA-2221-407F-BB5B-47558616A93D}"/>
    <cellStyle name="60% - Énfasis1 15" xfId="963" xr:uid="{8FA4C80E-72AF-4FC9-94D9-E0C1B8F6BA9A}"/>
    <cellStyle name="60% - Énfasis1 16" xfId="964" xr:uid="{BFB6CE74-59FB-454B-BD3C-B4A63384A5D8}"/>
    <cellStyle name="60% - Énfasis1 17" xfId="965" xr:uid="{C3139447-3C1D-4BC0-8A77-AAD7461A0AA5}"/>
    <cellStyle name="60% - Énfasis1 18" xfId="966" xr:uid="{CF76699A-7ABC-43B3-8F09-762D32491954}"/>
    <cellStyle name="60% - Énfasis1 19" xfId="967" xr:uid="{C9B539BA-4620-4D52-8D58-ABF0B6AD7EDD}"/>
    <cellStyle name="60% - Énfasis1 2" xfId="968" xr:uid="{0E8AD028-1FDB-409A-986B-8D4AF7F603D8}"/>
    <cellStyle name="60% - Énfasis1 2 2" xfId="969" xr:uid="{F7F7562C-5F87-4D2E-8198-A1B0140650C8}"/>
    <cellStyle name="60% - Énfasis1 20" xfId="970" xr:uid="{756098AF-4649-4F1C-BA89-E9FB48EDBF01}"/>
    <cellStyle name="60% - Énfasis1 21" xfId="971" xr:uid="{FFF5C8B1-49EE-44F9-9525-BC95A737AE97}"/>
    <cellStyle name="60% - Énfasis1 22" xfId="972" xr:uid="{FAB26414-11FE-4BB2-A0B3-018D126C7196}"/>
    <cellStyle name="60% - Énfasis1 23" xfId="973" xr:uid="{95FEFC90-611B-44D4-A537-25F22C14C0AF}"/>
    <cellStyle name="60% - Énfasis1 3" xfId="974" xr:uid="{88A3BE67-260B-49B8-8B21-79AC7F949B37}"/>
    <cellStyle name="60% - Énfasis1 3 2" xfId="975" xr:uid="{B6D01943-0580-4089-A084-DB2F3FD1C006}"/>
    <cellStyle name="60% - Énfasis1 4" xfId="976" xr:uid="{E3551796-CBAC-456C-AF03-2FB8D6F2285E}"/>
    <cellStyle name="60% - Énfasis1 5" xfId="977" xr:uid="{5E4D0852-E3C9-4BE6-BFFF-0E6180E4482D}"/>
    <cellStyle name="60% - Énfasis1 6" xfId="978" xr:uid="{9D120D63-4ADF-4443-B55C-C0DFF5DEBF77}"/>
    <cellStyle name="60% - Énfasis1 7" xfId="979" xr:uid="{D34A8E5F-A24A-420E-98C6-1C0F308124C5}"/>
    <cellStyle name="60% - Énfasis1 8" xfId="980" xr:uid="{678F660B-DE06-4275-AE1E-2B6B44DC768D}"/>
    <cellStyle name="60% - Énfasis1 9" xfId="981" xr:uid="{FA26A030-8877-4F55-94FF-3B5562A48AC7}"/>
    <cellStyle name="60% - Énfasis2 2" xfId="982" xr:uid="{66515F7E-C50F-4C87-A6B0-00BAE1761BBB}"/>
    <cellStyle name="60% - Énfasis2 2 2" xfId="983" xr:uid="{69442DED-7887-4549-A541-F24F1160030C}"/>
    <cellStyle name="60% - Énfasis2 3" xfId="984" xr:uid="{F7C82D40-A002-43D5-97DA-E8072F923310}"/>
    <cellStyle name="60% - Énfasis2 3 2" xfId="985" xr:uid="{B650E165-B4A6-4FA2-AF29-0CA66F7A8AEE}"/>
    <cellStyle name="60% - Énfasis2 4" xfId="986" xr:uid="{194D81E0-BE63-4C5F-827F-E19335B03E16}"/>
    <cellStyle name="60% - Énfasis3 10" xfId="987" xr:uid="{CB32FB1E-8C3B-4E43-A338-0535E7E28F1B}"/>
    <cellStyle name="60% - Énfasis3 11" xfId="988" xr:uid="{D2D5D2DA-8DBC-4499-9B6F-33B23FD44C37}"/>
    <cellStyle name="60% - Énfasis3 12" xfId="989" xr:uid="{8CD2937A-2FDD-47BA-86B8-9A3A551B963F}"/>
    <cellStyle name="60% - Énfasis3 13" xfId="990" xr:uid="{3EB20253-2642-4E85-BAF1-C5BA2E608577}"/>
    <cellStyle name="60% - Énfasis3 14" xfId="991" xr:uid="{9B90907D-8D94-4432-AA76-9F3D0E5AF2C4}"/>
    <cellStyle name="60% - Énfasis3 15" xfId="992" xr:uid="{8D613CC0-2A8D-4C1E-9F75-179AEAEE07D6}"/>
    <cellStyle name="60% - Énfasis3 16" xfId="993" xr:uid="{9A05D945-34A4-4BAC-B8AD-1BA967E20EAD}"/>
    <cellStyle name="60% - Énfasis3 17" xfId="994" xr:uid="{43836252-96CA-44A1-8DE0-F2C69544D77D}"/>
    <cellStyle name="60% - Énfasis3 18" xfId="995" xr:uid="{FC1C7287-956D-4A00-88B6-A4C4C0638B08}"/>
    <cellStyle name="60% - Énfasis3 19" xfId="996" xr:uid="{6089CCCE-24C5-4CB4-823E-3CDD7F71F463}"/>
    <cellStyle name="60% - Énfasis3 2" xfId="997" xr:uid="{35E23671-0A6D-493B-9F81-06993EEF076C}"/>
    <cellStyle name="60% - Énfasis3 2 2" xfId="998" xr:uid="{D3671A7E-8322-4CC3-BC08-ADC494B89447}"/>
    <cellStyle name="60% - Énfasis3 20" xfId="999" xr:uid="{26D5D064-07CF-48CE-86CD-08340C0D3FCA}"/>
    <cellStyle name="60% - Énfasis3 21" xfId="1000" xr:uid="{6E4BDBC7-02ED-4D82-8ED3-13EB73EE9D9B}"/>
    <cellStyle name="60% - Énfasis3 22" xfId="1001" xr:uid="{AEF43947-133F-4877-BD33-E8DD6BDBD2FE}"/>
    <cellStyle name="60% - Énfasis3 23" xfId="1002" xr:uid="{E94F6477-6DCD-4A9F-9602-01D3363CB9FC}"/>
    <cellStyle name="60% - Énfasis3 3" xfId="1003" xr:uid="{20DFB47A-5BD8-4DA8-BED9-C52AA4CC86F3}"/>
    <cellStyle name="60% - Énfasis3 3 2" xfId="1004" xr:uid="{F3A176AF-517F-4CEB-920C-364C87AC08A2}"/>
    <cellStyle name="60% - Énfasis3 4" xfId="1005" xr:uid="{52DF563B-30E5-4D4F-8147-C8D86592E96E}"/>
    <cellStyle name="60% - Énfasis3 5" xfId="1006" xr:uid="{F100891A-ECE6-4889-885A-ABE31B614A9A}"/>
    <cellStyle name="60% - Énfasis3 6" xfId="1007" xr:uid="{0B7F24EF-8376-49EB-AF29-5930A9880320}"/>
    <cellStyle name="60% - Énfasis3 7" xfId="1008" xr:uid="{503169DD-67FB-4A05-9667-D4F50FF4A149}"/>
    <cellStyle name="60% - Énfasis3 8" xfId="1009" xr:uid="{68A5D0C6-9225-4F55-991B-D63140A3D4CE}"/>
    <cellStyle name="60% - Énfasis3 9" xfId="1010" xr:uid="{E1A68526-1E7D-4658-BB34-1F7FCD3FB255}"/>
    <cellStyle name="60% - Énfasis4 10" xfId="1011" xr:uid="{855E0580-B304-4CF6-B003-6C47B991F3FA}"/>
    <cellStyle name="60% - Énfasis4 11" xfId="1012" xr:uid="{BC795F86-5AC7-4F79-901D-3A6582018ED9}"/>
    <cellStyle name="60% - Énfasis4 12" xfId="1013" xr:uid="{E4AC779E-CB4F-4DC6-B924-B0080BE961BD}"/>
    <cellStyle name="60% - Énfasis4 13" xfId="1014" xr:uid="{73B984A2-ACB8-44D9-9198-704FB6D4024B}"/>
    <cellStyle name="60% - Énfasis4 14" xfId="1015" xr:uid="{6FE005F9-E0E3-4525-A4F1-D33D00B5BD91}"/>
    <cellStyle name="60% - Énfasis4 15" xfId="1016" xr:uid="{3BAD20A0-27D6-45C5-B251-69741AD86961}"/>
    <cellStyle name="60% - Énfasis4 16" xfId="1017" xr:uid="{08638F98-7F4E-4E00-9909-781D5D8D08AD}"/>
    <cellStyle name="60% - Énfasis4 17" xfId="1018" xr:uid="{FBF4A8B5-63E6-45DC-A061-32C1279A260C}"/>
    <cellStyle name="60% - Énfasis4 18" xfId="1019" xr:uid="{A1FBB3B9-2BD9-4911-97AC-99A592F7F88C}"/>
    <cellStyle name="60% - Énfasis4 19" xfId="1020" xr:uid="{1EA4DC7C-282F-4DBE-8CE4-C56A9E39B38C}"/>
    <cellStyle name="60% - Énfasis4 2" xfId="1021" xr:uid="{FB491400-E6E5-42AE-A6E5-3066FD51D1FF}"/>
    <cellStyle name="60% - Énfasis4 2 2" xfId="1022" xr:uid="{EECDD9FA-14DA-4439-8D09-F963A812DD81}"/>
    <cellStyle name="60% - Énfasis4 20" xfId="1023" xr:uid="{1C658B02-D1CE-43DC-A5D3-93A0B9944FE1}"/>
    <cellStyle name="60% - Énfasis4 21" xfId="1024" xr:uid="{E070E38B-C9DA-4BA6-AC22-D5154B45F8FE}"/>
    <cellStyle name="60% - Énfasis4 22" xfId="1025" xr:uid="{13FB9F30-A137-44E3-8FBD-4E661DFA5D43}"/>
    <cellStyle name="60% - Énfasis4 23" xfId="1026" xr:uid="{8F502797-A45E-4492-9CFA-BC8A1B539A65}"/>
    <cellStyle name="60% - Énfasis4 3" xfId="1027" xr:uid="{7BF10E9C-1300-4675-BA4A-03E4F5849E76}"/>
    <cellStyle name="60% - Énfasis4 3 2" xfId="1028" xr:uid="{D2C4AF23-6BA6-4727-B696-7FA67E8E46E4}"/>
    <cellStyle name="60% - Énfasis4 4" xfId="1029" xr:uid="{64EC4557-E2F5-427C-9D23-9254BA82CF96}"/>
    <cellStyle name="60% - Énfasis4 5" xfId="1030" xr:uid="{0313AFA5-1E56-4D4A-9179-A13EB6F3E8E0}"/>
    <cellStyle name="60% - Énfasis4 6" xfId="1031" xr:uid="{4B0F7D88-5B8C-4927-9E51-7E1ED6F00AF7}"/>
    <cellStyle name="60% - Énfasis4 7" xfId="1032" xr:uid="{BE7FBE7B-0420-4627-B8D1-FC40A981C333}"/>
    <cellStyle name="60% - Énfasis4 8" xfId="1033" xr:uid="{B261EB98-A25C-46FA-B519-100820241732}"/>
    <cellStyle name="60% - Énfasis4 9" xfId="1034" xr:uid="{A33DD960-95C3-45B5-AF86-58FF822A3413}"/>
    <cellStyle name="60% - Énfasis5 10" xfId="1035" xr:uid="{2F8D2ED6-383B-47E8-AA1B-84CF9D5B0F45}"/>
    <cellStyle name="60% - Énfasis5 11" xfId="1036" xr:uid="{A1BA4F0B-0C93-414A-B0BF-81924C8655B5}"/>
    <cellStyle name="60% - Énfasis5 12" xfId="1037" xr:uid="{4DAE9824-A4BD-478E-8C8F-FDCA2A401346}"/>
    <cellStyle name="60% - Énfasis5 13" xfId="1038" xr:uid="{D12F265E-6874-431D-9213-C1A6E2D3CA50}"/>
    <cellStyle name="60% - Énfasis5 14" xfId="1039" xr:uid="{65F9B1E7-A42D-46EF-9D25-5362EBEAB39F}"/>
    <cellStyle name="60% - Énfasis5 15" xfId="1040" xr:uid="{090B5721-5F46-4A5F-8D87-CBAC514ACB28}"/>
    <cellStyle name="60% - Énfasis5 16" xfId="1041" xr:uid="{710563D7-16C9-4A81-9224-AB8F50B51FAC}"/>
    <cellStyle name="60% - Énfasis5 17" xfId="1042" xr:uid="{F3374E53-23B3-4B6E-B990-8DE7096B7EF3}"/>
    <cellStyle name="60% - Énfasis5 18" xfId="1043" xr:uid="{ED6E8FA6-BB31-43EE-BB84-597157E8AB7C}"/>
    <cellStyle name="60% - Énfasis5 19" xfId="1044" xr:uid="{EA666332-8D6B-4996-807E-992D1FE3122D}"/>
    <cellStyle name="60% - Énfasis5 2" xfId="1045" xr:uid="{D8747598-D1E3-4885-AB3D-6D15931738EC}"/>
    <cellStyle name="60% - Énfasis5 2 2" xfId="1046" xr:uid="{D595324D-A184-4ED8-B943-263E5EEC953A}"/>
    <cellStyle name="60% - Énfasis5 20" xfId="1047" xr:uid="{91BF3860-FB35-4158-BCA8-BCB016BF1B7A}"/>
    <cellStyle name="60% - Énfasis5 21" xfId="1048" xr:uid="{66758FE0-F207-46E2-8D4A-B7D9F5731DFB}"/>
    <cellStyle name="60% - Énfasis5 22" xfId="1049" xr:uid="{04AB5ABB-B31B-4E75-A16C-B4EA439CB8C4}"/>
    <cellStyle name="60% - Énfasis5 23" xfId="1050" xr:uid="{DAFAD649-711D-4E07-81F2-A8FEAB80F717}"/>
    <cellStyle name="60% - Énfasis5 3" xfId="1051" xr:uid="{A9FEBFB6-A0C0-462C-8E20-887F08B0315B}"/>
    <cellStyle name="60% - Énfasis5 3 2" xfId="1052" xr:uid="{569088F4-F06F-469B-95C8-FF6505DAC23C}"/>
    <cellStyle name="60% - Énfasis5 4" xfId="1053" xr:uid="{21CA0B69-4A5C-4886-9E21-5B6BA32F5DF5}"/>
    <cellStyle name="60% - Énfasis5 5" xfId="1054" xr:uid="{2EF1D91A-D575-43C9-9FC4-DC1B945F1964}"/>
    <cellStyle name="60% - Énfasis5 6" xfId="1055" xr:uid="{2DAADED2-E38A-46A1-B3AC-47F97F25BD42}"/>
    <cellStyle name="60% - Énfasis5 7" xfId="1056" xr:uid="{325EC2B4-7571-47E4-8848-23B0823BCA3D}"/>
    <cellStyle name="60% - Énfasis5 8" xfId="1057" xr:uid="{C70E290D-909C-4B89-852B-5340D6CFC778}"/>
    <cellStyle name="60% - Énfasis5 9" xfId="1058" xr:uid="{C289EE10-C14A-4ABF-8EAB-499883568B5D}"/>
    <cellStyle name="60% - Énfasis6 10" xfId="1059" xr:uid="{235B7F5D-0B32-4CA2-8392-A202073BECD5}"/>
    <cellStyle name="60% - Énfasis6 11" xfId="1060" xr:uid="{64A6A88A-6352-41A3-AC96-7B351D349D85}"/>
    <cellStyle name="60% - Énfasis6 12" xfId="1061" xr:uid="{2E0F623F-7E52-43DE-95E8-2949EF1FD21E}"/>
    <cellStyle name="60% - Énfasis6 13" xfId="1062" xr:uid="{1530CEDC-2F29-43F6-8A8B-A13F51FAA0F3}"/>
    <cellStyle name="60% - Énfasis6 14" xfId="1063" xr:uid="{E3EF625E-3EC4-4CAC-9C59-22B221143DD8}"/>
    <cellStyle name="60% - Énfasis6 15" xfId="1064" xr:uid="{2F515D14-4DC6-4671-9CD5-A4CFCDB074D1}"/>
    <cellStyle name="60% - Énfasis6 16" xfId="1065" xr:uid="{47929027-8D56-47F9-96B0-E9E2F31A2E32}"/>
    <cellStyle name="60% - Énfasis6 17" xfId="1066" xr:uid="{7819F21A-12AF-4722-B8F0-391B3410619E}"/>
    <cellStyle name="60% - Énfasis6 18" xfId="1067" xr:uid="{0DA13A12-F250-465E-809B-E1C032F66E73}"/>
    <cellStyle name="60% - Énfasis6 19" xfId="1068" xr:uid="{D5B6AE66-7896-4ACF-8EB9-CFCCE4D2B853}"/>
    <cellStyle name="60% - Énfasis6 2" xfId="1069" xr:uid="{520E04A2-6A9A-42D1-A332-444B3621D360}"/>
    <cellStyle name="60% - Énfasis6 2 2" xfId="1070" xr:uid="{CF9F8B70-1008-43C4-B7FC-C6BF913DC37B}"/>
    <cellStyle name="60% - Énfasis6 20" xfId="1071" xr:uid="{A3EA0CA6-AECF-427B-B8B7-6A5AE3BF41DB}"/>
    <cellStyle name="60% - Énfasis6 21" xfId="1072" xr:uid="{6CAF64C9-BE7B-45EF-876F-758C19DA302D}"/>
    <cellStyle name="60% - Énfasis6 22" xfId="1073" xr:uid="{C8F2D311-95F2-436A-A269-651B39FF7F54}"/>
    <cellStyle name="60% - Énfasis6 3" xfId="1074" xr:uid="{22D61F17-2E63-4E7D-9EB3-B667C5DFA46F}"/>
    <cellStyle name="60% - Énfasis6 3 2" xfId="1075" xr:uid="{1707BA3F-0FA7-4D77-8A50-A6A20CB9D732}"/>
    <cellStyle name="60% - Énfasis6 4" xfId="1076" xr:uid="{B2BDA83F-2BC5-48F0-93C9-85E7A6423765}"/>
    <cellStyle name="60% - Énfasis6 5" xfId="1077" xr:uid="{83D19F13-CA8C-40A0-9C48-A4E2882C9919}"/>
    <cellStyle name="60% - Énfasis6 6" xfId="1078" xr:uid="{C4D471BD-0A21-4A84-8093-7FF24FC98474}"/>
    <cellStyle name="60% - Énfasis6 7" xfId="1079" xr:uid="{D38FE60D-DD2F-4B74-92DA-B0F32154279D}"/>
    <cellStyle name="60% - Énfasis6 8" xfId="1080" xr:uid="{8EAF294D-DB55-49AA-8657-A27D5595277E}"/>
    <cellStyle name="60% - Énfasis6 9" xfId="1081" xr:uid="{4C541B8E-6C23-41B2-9BED-B96D208AA82E}"/>
    <cellStyle name="a_quebra_2" xfId="1082" xr:uid="{930B3921-3475-4ECB-82F8-C07CFE7C3BDC}"/>
    <cellStyle name="A3 297 x 420 mm" xfId="1083" xr:uid="{CC5D54A5-C571-4369-8547-7C56DE78CFEB}"/>
    <cellStyle name="A3 297 x 420 mm 10" xfId="1084" xr:uid="{74294861-7661-472A-8CE1-8FA652F3EB33}"/>
    <cellStyle name="A3 297 x 420 mm 10 2" xfId="1085" xr:uid="{43725750-EA6F-4B4A-8B3F-BF4B4DD2AB0F}"/>
    <cellStyle name="A3 297 x 420 mm 11" xfId="1086" xr:uid="{64479C4E-7D57-4D8F-9C89-52B9699DC64B}"/>
    <cellStyle name="A3 297 x 420 mm 12" xfId="1087" xr:uid="{53D3F822-BF66-42E3-9A7E-06FDC3E14F41}"/>
    <cellStyle name="A3 297 x 420 mm 13" xfId="1088" xr:uid="{097F3812-CF18-4A5C-B511-6609E9D0E4D1}"/>
    <cellStyle name="A3 297 x 420 mm 14" xfId="1089" xr:uid="{B69FFA8D-E183-4D7C-8840-1F04E480CACF}"/>
    <cellStyle name="A3 297 x 420 mm 15" xfId="1090" xr:uid="{72AE1358-B3E9-434F-A39B-746BC84B2B36}"/>
    <cellStyle name="A3 297 x 420 mm 16" xfId="1091" xr:uid="{1EFF881D-DC4E-4BAB-8A67-BD18E673B7BE}"/>
    <cellStyle name="A3 297 x 420 mm 17" xfId="1092" xr:uid="{D9E417F7-4FA7-4786-B997-AFFA19F0E176}"/>
    <cellStyle name="A3 297 x 420 mm 18" xfId="1093" xr:uid="{49E04D6B-4808-4DC8-96AF-0C2DAA2E0C7D}"/>
    <cellStyle name="A3 297 x 420 mm 19" xfId="1094" xr:uid="{51BC3A5A-3662-44C3-A048-9E1FEB0BB30D}"/>
    <cellStyle name="A3 297 x 420 mm 2" xfId="1095" xr:uid="{4E92902F-7D35-487D-92C8-AC5C9B6644FB}"/>
    <cellStyle name="A3 297 x 420 mm 2 2" xfId="1096" xr:uid="{45B326B1-DB90-4757-890A-FF3F0D070CEC}"/>
    <cellStyle name="A3 297 x 420 mm 20" xfId="1097" xr:uid="{EF13CD8B-CAEC-4F79-872A-7EE028433699}"/>
    <cellStyle name="A3 297 x 420 mm 21" xfId="1098" xr:uid="{1A0A6B43-F99C-49EB-9D76-882F6ECBE4DD}"/>
    <cellStyle name="A3 297 x 420 mm 22" xfId="1099" xr:uid="{80173553-BDBE-40C1-927C-32C3AACBB8A6}"/>
    <cellStyle name="A3 297 x 420 mm 23" xfId="1100" xr:uid="{BD9F6E7C-A0DC-4F68-ACCE-D70FB28F464F}"/>
    <cellStyle name="A3 297 x 420 mm 24" xfId="1101" xr:uid="{749F872B-E912-410F-B38D-92C76BA30655}"/>
    <cellStyle name="A3 297 x 420 mm 25" xfId="1102" xr:uid="{119241F3-9D7F-4207-84DC-7C51AB648657}"/>
    <cellStyle name="A3 297 x 420 mm 26" xfId="1103" xr:uid="{17EA40CC-E5D6-43B0-959E-9911D70E711F}"/>
    <cellStyle name="A3 297 x 420 mm 27" xfId="1104" xr:uid="{8FD9B0A8-6042-4DA2-8EA9-90E1E09A462C}"/>
    <cellStyle name="A3 297 x 420 mm 28" xfId="1105" xr:uid="{385382FE-8918-4218-B73E-606494B18667}"/>
    <cellStyle name="A3 297 x 420 mm 29" xfId="1106" xr:uid="{CD01DA54-9FCC-4962-9AD2-3912CFF3FE94}"/>
    <cellStyle name="A3 297 x 420 mm 3" xfId="1107" xr:uid="{9A4C024F-035D-44F9-8705-96EBCF0A4B06}"/>
    <cellStyle name="A3 297 x 420 mm 3 2" xfId="1108" xr:uid="{E1EAD775-E6B8-4770-B490-891191F82091}"/>
    <cellStyle name="A3 297 x 420 mm 30" xfId="1109" xr:uid="{BC125D4B-3CE8-4E20-AEF0-1C23966BFD7C}"/>
    <cellStyle name="A3 297 x 420 mm 31" xfId="1110" xr:uid="{9A31825D-19F8-4BB4-B5D1-A806E9B59B5E}"/>
    <cellStyle name="A3 297 x 420 mm 32" xfId="1111" xr:uid="{A19BCE14-5A33-4973-8588-1B7EC6218DBC}"/>
    <cellStyle name="A3 297 x 420 mm 33" xfId="1112" xr:uid="{A4B2FCE7-CF57-48A8-9AD1-1D20F014FBF3}"/>
    <cellStyle name="A3 297 x 420 mm 34" xfId="1113" xr:uid="{145B0B23-7566-44B8-AC7B-F763191987DE}"/>
    <cellStyle name="A3 297 x 420 mm 35" xfId="1114" xr:uid="{6D07A984-B33F-4B85-B866-548A4C17233F}"/>
    <cellStyle name="A3 297 x 420 mm 36" xfId="1115" xr:uid="{9B0F7E16-1280-4021-A69C-8E4F5CB776ED}"/>
    <cellStyle name="A3 297 x 420 mm 37" xfId="1116" xr:uid="{ABE5DE36-927A-4622-8567-EFE1578C284B}"/>
    <cellStyle name="A3 297 x 420 mm 4" xfId="1117" xr:uid="{46A8C4CF-677D-4B7A-82E5-F07E93AC6F63}"/>
    <cellStyle name="A3 297 x 420 mm 5" xfId="1118" xr:uid="{E39F5570-9065-424B-902D-B691C14E1610}"/>
    <cellStyle name="A3 297 x 420 mm 6" xfId="1119" xr:uid="{65B49AD3-3779-41E6-8E37-6B46A588E96C}"/>
    <cellStyle name="A3 297 x 420 mm 7" xfId="1120" xr:uid="{AB0000EA-1EAA-4518-B810-47DD2E1CC2E0}"/>
    <cellStyle name="A3 297 x 420 mm 8" xfId="1121" xr:uid="{098E7C3A-C261-4D00-A3B8-633909F9A6F0}"/>
    <cellStyle name="A3 297 x 420 mm 9" xfId="1122" xr:uid="{887AA1A5-8525-4FBA-A307-721D17BAB067}"/>
    <cellStyle name="Accent1" xfId="3" builtinId="29" customBuiltin="1"/>
    <cellStyle name="Accent1 2" xfId="1123" xr:uid="{3E369910-CD53-4B20-9ABD-371FFE68BD55}"/>
    <cellStyle name="Accent2" xfId="461" builtinId="33" customBuiltin="1"/>
    <cellStyle name="Accent2 2" xfId="392" xr:uid="{86249903-464A-4929-8BCE-63E0C6CC9FAF}"/>
    <cellStyle name="Accent2 2 2" xfId="1124" xr:uid="{C32AC6F4-1359-4498-BE75-F74F8180F90F}"/>
    <cellStyle name="Accent3" xfId="464" builtinId="37" customBuiltin="1"/>
    <cellStyle name="Accent3 2" xfId="388" xr:uid="{F0438DA2-3BE1-4701-9269-90500B6A51E0}"/>
    <cellStyle name="Accent3 2 2" xfId="1125" xr:uid="{CBEED587-B303-47B3-A04A-0ACB9CA9DA95}"/>
    <cellStyle name="Accent4" xfId="467" builtinId="41" customBuiltin="1"/>
    <cellStyle name="Accent4 2" xfId="384" xr:uid="{2C361301-111C-4CFF-B568-17C39BF86EC2}"/>
    <cellStyle name="Accent4 2 2" xfId="1126" xr:uid="{8308D265-DAE6-44D2-9351-4042C3D175F0}"/>
    <cellStyle name="Accent5" xfId="470" builtinId="45" customBuiltin="1"/>
    <cellStyle name="Accent5 2" xfId="380" xr:uid="{E2FAD51E-DCA3-46F7-BD8B-369051DFDDDB}"/>
    <cellStyle name="Accent5 2 2" xfId="1127" xr:uid="{0313ED4F-C9EC-47BB-AC97-1972D3F3C1E4}"/>
    <cellStyle name="Accent6" xfId="472" builtinId="49" customBuiltin="1"/>
    <cellStyle name="Accent6 2" xfId="376" xr:uid="{DDE9B8E3-52B2-46FB-A111-3D1663C2FFC4}"/>
    <cellStyle name="Accent6 2 2" xfId="1128" xr:uid="{ACF434E1-DA31-4597-97B4-997CFA6A8994}"/>
    <cellStyle name="Bad" xfId="450" builtinId="27" customBuiltin="1"/>
    <cellStyle name="Bad 2" xfId="405" xr:uid="{890CD65C-DE03-495D-8C06-938941E62314}"/>
    <cellStyle name="Bad 2 2" xfId="1129" xr:uid="{30702443-265C-4B6D-9476-C46BDB5AB97B}"/>
    <cellStyle name="Buena 2" xfId="1130" xr:uid="{89B7DD25-6ABC-4F08-BF1B-3238DEBE9209}"/>
    <cellStyle name="Buena 2 2" xfId="1131" xr:uid="{D91A609D-7B4D-4662-8BD4-59B4DC3BE516}"/>
    <cellStyle name="Buena 3" xfId="1132" xr:uid="{8A804412-B41A-4AE0-A26B-C126B14C8863}"/>
    <cellStyle name="Buena 3 2" xfId="1133" xr:uid="{7D7FCDA2-D58A-4571-8107-4472ADAB7D37}"/>
    <cellStyle name="Buena 4" xfId="1134" xr:uid="{5E9A951E-1AAA-433A-B05C-58913AAA90BC}"/>
    <cellStyle name="Cabecera 1" xfId="1135" xr:uid="{2FE19730-3111-4F4E-8CB9-1AAA73648A91}"/>
    <cellStyle name="Cabecera 2" xfId="1136" xr:uid="{95A57925-7292-47BD-ADA9-952DD793DE77}"/>
    <cellStyle name="Calculation" xfId="453" builtinId="22" customBuiltin="1"/>
    <cellStyle name="Calculation 2" xfId="401" xr:uid="{7AE7A3C8-EB89-4474-82EE-9FC32BDFBB96}"/>
    <cellStyle name="Calculation 2 2" xfId="1137" xr:uid="{C8A3BEE2-2104-49AC-8E1A-0C8AF621C842}"/>
    <cellStyle name="Cálculo 10" xfId="1138" xr:uid="{91CD4C41-190E-4F7A-B787-58AAEE054E58}"/>
    <cellStyle name="Cálculo 10 2" xfId="1139" xr:uid="{6AF5EF14-6C81-4F0F-9AF1-E5AF0AAE69AC}"/>
    <cellStyle name="Cálculo 10 2 2" xfId="1140" xr:uid="{504B2306-058A-40FC-84D4-8F08A5840393}"/>
    <cellStyle name="Cálculo 10 3" xfId="1141" xr:uid="{4A0883CD-01C7-43F2-AF9B-133B95E7B783}"/>
    <cellStyle name="Cálculo 10 3 2" xfId="1142" xr:uid="{03BA980C-B41D-4149-BD0D-BBB50F2B2F5E}"/>
    <cellStyle name="Cálculo 10 3 3" xfId="1143" xr:uid="{6B792892-1B8E-4A3D-B93C-141D74BA7B9B}"/>
    <cellStyle name="Cálculo 11" xfId="1144" xr:uid="{D5B33E87-1E84-4BC8-89FE-B19393FECE1F}"/>
    <cellStyle name="Cálculo 11 2" xfId="1145" xr:uid="{28DA3F80-9FC5-48B4-BBA5-8DC6B78FB115}"/>
    <cellStyle name="Cálculo 11 2 2" xfId="1146" xr:uid="{7F903AEB-2B0E-4248-A709-9830C01AAFE0}"/>
    <cellStyle name="Cálculo 11 3" xfId="1147" xr:uid="{B1E2391B-746D-4409-B7D7-4F55C212A68D}"/>
    <cellStyle name="Cálculo 11 3 2" xfId="1148" xr:uid="{C802701E-8FC5-4213-8B99-BE234503D4AE}"/>
    <cellStyle name="Cálculo 11 3 3" xfId="1149" xr:uid="{3A5221E2-D128-4C41-B2C6-309CE9DC78A8}"/>
    <cellStyle name="Cálculo 12" xfId="1150" xr:uid="{30EB8EEA-D526-4790-8EFB-DD61B7C0F5A7}"/>
    <cellStyle name="Cálculo 12 2" xfId="1151" xr:uid="{858AFFDD-5E7B-4D24-880D-E28F212A0466}"/>
    <cellStyle name="Cálculo 12 2 2" xfId="1152" xr:uid="{3A46C170-D1AE-4493-B44F-115228DB15DA}"/>
    <cellStyle name="Cálculo 12 3" xfId="1153" xr:uid="{25E19E99-981B-44BC-AC75-D66A0644923D}"/>
    <cellStyle name="Cálculo 12 3 2" xfId="1154" xr:uid="{35DD6D48-C8B9-4A28-BA10-E6ADD2D43516}"/>
    <cellStyle name="Cálculo 12 3 3" xfId="1155" xr:uid="{44C4C0B3-DA50-4317-9441-C8DEED896BE0}"/>
    <cellStyle name="Cálculo 13" xfId="1156" xr:uid="{6F47AE3D-CBAA-4A4C-9183-8422094A7183}"/>
    <cellStyle name="Cálculo 13 2" xfId="1157" xr:uid="{351FC477-D2B3-48DA-8E1A-37B0A2DEE8F0}"/>
    <cellStyle name="Cálculo 13 2 2" xfId="1158" xr:uid="{0A97512C-24E4-4D07-8819-B373C2C3142F}"/>
    <cellStyle name="Cálculo 13 3" xfId="1159" xr:uid="{2826D51B-F3BF-4921-98C8-475F5C30780E}"/>
    <cellStyle name="Cálculo 13 3 2" xfId="1160" xr:uid="{C99A93AC-1DAB-4CE0-A917-A9B8E5D9652D}"/>
    <cellStyle name="Cálculo 13 3 3" xfId="1161" xr:uid="{50D021F6-1013-4D4A-BBE2-1F515FA1EF07}"/>
    <cellStyle name="Cálculo 14" xfId="1162" xr:uid="{60AF101F-83B5-45E0-8957-BDAA83C19263}"/>
    <cellStyle name="Cálculo 14 2" xfId="1163" xr:uid="{5C46FB75-8902-460D-B4A2-A2F4970A875D}"/>
    <cellStyle name="Cálculo 14 2 2" xfId="1164" xr:uid="{16ABDC8A-79DF-45A6-89BE-687157901BAE}"/>
    <cellStyle name="Cálculo 14 3" xfId="1165" xr:uid="{AE0A0464-0FAD-4F1D-8FC2-AB12B392186C}"/>
    <cellStyle name="Cálculo 14 3 2" xfId="1166" xr:uid="{8F860941-6756-4066-AADF-FEE006105739}"/>
    <cellStyle name="Cálculo 14 3 3" xfId="1167" xr:uid="{0FEC49A3-4EA8-4381-A18D-E1E1B36445C1}"/>
    <cellStyle name="Cálculo 15" xfId="1168" xr:uid="{F6667CAB-E4D4-4E63-8A80-F7E801C5718D}"/>
    <cellStyle name="Cálculo 15 2" xfId="1169" xr:uid="{131695F4-16C8-4011-B668-9AFE865F228E}"/>
    <cellStyle name="Cálculo 15 2 2" xfId="1170" xr:uid="{B466E97F-A545-48A2-B753-CE71E21E4673}"/>
    <cellStyle name="Cálculo 15 3" xfId="1171" xr:uid="{7AA6CCF1-B521-4DC4-9338-3DA9A0476A8D}"/>
    <cellStyle name="Cálculo 15 3 2" xfId="1172" xr:uid="{9354660A-D523-4815-80D3-D5F0268B9FEA}"/>
    <cellStyle name="Cálculo 15 3 3" xfId="1173" xr:uid="{631E7F2B-2B05-4206-BA4B-29D91911C219}"/>
    <cellStyle name="Cálculo 16" xfId="1174" xr:uid="{125E4132-DDA0-41AB-BBB2-1780012C60F9}"/>
    <cellStyle name="Cálculo 16 2" xfId="1175" xr:uid="{BED6322A-FF3D-41C2-B06E-2E61B5B9E9C9}"/>
    <cellStyle name="Cálculo 16 2 2" xfId="1176" xr:uid="{4C92A08C-6BBC-4A7D-9EF6-3997AD60083B}"/>
    <cellStyle name="Cálculo 16 3" xfId="1177" xr:uid="{EF775312-7259-499C-85AE-528AEE8E5602}"/>
    <cellStyle name="Cálculo 16 3 2" xfId="1178" xr:uid="{0E81E7B0-4E62-49AB-9B82-5BBA290A0AD9}"/>
    <cellStyle name="Cálculo 16 3 3" xfId="1179" xr:uid="{5123C2D2-F652-4995-9241-C83B21436D46}"/>
    <cellStyle name="Cálculo 17" xfId="1180" xr:uid="{D9D8B178-74AC-4184-8807-9D55713B2E78}"/>
    <cellStyle name="Cálculo 17 2" xfId="1181" xr:uid="{D28D25B1-3B41-46B0-B257-6EA05230578A}"/>
    <cellStyle name="Cálculo 17 2 2" xfId="1182" xr:uid="{0DF3D120-0AFB-434F-9A7C-07723D05774D}"/>
    <cellStyle name="Cálculo 17 3" xfId="1183" xr:uid="{C48FA7C5-AB2A-4A48-9032-A3E2ADFC941B}"/>
    <cellStyle name="Cálculo 17 3 2" xfId="1184" xr:uid="{1ACFAB23-10EB-4771-B68E-6D8D2B1FCB69}"/>
    <cellStyle name="Cálculo 17 3 3" xfId="1185" xr:uid="{AC46E41B-52CF-4E14-BA69-0AFAF9CE545B}"/>
    <cellStyle name="Cálculo 18" xfId="1186" xr:uid="{30E384E6-10FB-498C-82E4-52A187F169EE}"/>
    <cellStyle name="Cálculo 18 2" xfId="1187" xr:uid="{1629F73D-B9D5-4D93-BE57-C161A139F7B3}"/>
    <cellStyle name="Cálculo 18 2 2" xfId="1188" xr:uid="{1E811B74-F08B-44A3-BE26-C29B9AFA9516}"/>
    <cellStyle name="Cálculo 18 3" xfId="1189" xr:uid="{D5ACE64B-70AB-4CCC-8EAD-FFBF04762D3C}"/>
    <cellStyle name="Cálculo 18 3 2" xfId="1190" xr:uid="{B1D799C1-1116-4B3C-B82B-C37B940E5189}"/>
    <cellStyle name="Cálculo 18 3 3" xfId="1191" xr:uid="{AEEEF97A-9E58-457D-99A1-DAF6BFEC2077}"/>
    <cellStyle name="Cálculo 19" xfId="1192" xr:uid="{B198714B-A31E-4C53-8590-5D86024A9BB9}"/>
    <cellStyle name="Cálculo 19 2" xfId="1193" xr:uid="{6E0F968E-9066-43E9-95EB-097B6301366E}"/>
    <cellStyle name="Cálculo 19 2 2" xfId="1194" xr:uid="{EC770089-14C5-4F91-A8F5-D01F5FF96190}"/>
    <cellStyle name="Cálculo 19 3" xfId="1195" xr:uid="{2F7C4B00-6E98-44E5-BBB3-23DB8B50C282}"/>
    <cellStyle name="Cálculo 19 3 2" xfId="1196" xr:uid="{3714CE36-AD2E-48C7-882F-A39A9CFFA056}"/>
    <cellStyle name="Cálculo 19 3 3" xfId="1197" xr:uid="{47F9E84C-54FC-4CC4-8E05-F7248CE27BD0}"/>
    <cellStyle name="Cálculo 2" xfId="1198" xr:uid="{A7ED26A7-48C8-4EBE-B079-90B9AC533A36}"/>
    <cellStyle name="Cálculo 2 2" xfId="1199" xr:uid="{8D4C1D95-2440-4F37-9452-1A3A224EA307}"/>
    <cellStyle name="Cálculo 2 2 2" xfId="1200" xr:uid="{5BE1E752-3A0A-4458-8FA3-D143947EAE80}"/>
    <cellStyle name="Cálculo 2 2 2 2" xfId="1201" xr:uid="{CA40B54B-F0CF-4643-8CF2-C163069429A3}"/>
    <cellStyle name="Cálculo 2 2 3" xfId="1202" xr:uid="{E622A939-355A-4B86-9A2C-2EE81BF4B6B8}"/>
    <cellStyle name="Cálculo 2 2 3 2" xfId="1203" xr:uid="{D5B70C5B-64DF-40B9-9E4B-67048BACC20A}"/>
    <cellStyle name="Cálculo 2 2 3 3" xfId="1204" xr:uid="{F3CA5B22-8934-4628-BF14-A1F98751F5B4}"/>
    <cellStyle name="Cálculo 2 3" xfId="1205" xr:uid="{4BDC000C-13E4-47E5-A57C-7A316EC467AD}"/>
    <cellStyle name="Cálculo 2 3 2" xfId="1206" xr:uid="{61629088-02C8-49A8-BDE1-FE2F78F3716D}"/>
    <cellStyle name="Cálculo 2 4" xfId="1207" xr:uid="{6308ED72-D06C-4C26-AF2B-D634C51D1A02}"/>
    <cellStyle name="Cálculo 2 4 2" xfId="1208" xr:uid="{86867F01-8634-4DE4-B9C9-A249A483046C}"/>
    <cellStyle name="Cálculo 2 4 3" xfId="1209" xr:uid="{E432D6C9-6B85-4B62-B982-5446C7AD3B57}"/>
    <cellStyle name="Cálculo 2 5" xfId="1210" xr:uid="{88DC4A21-E495-45E3-AF8A-2F08D2F6DAB2}"/>
    <cellStyle name="Cálculo 20" xfId="1211" xr:uid="{2D17465B-A433-48D6-BEE6-7DFED4097B8B}"/>
    <cellStyle name="Cálculo 20 2" xfId="1212" xr:uid="{B7C73D51-F531-4F46-A173-D665890930AD}"/>
    <cellStyle name="Cálculo 20 2 2" xfId="1213" xr:uid="{E71F0560-6D24-44AD-B16C-17CB80C63E8A}"/>
    <cellStyle name="Cálculo 20 3" xfId="1214" xr:uid="{C6D0C96F-F7A2-41CC-BE43-09107BEC4616}"/>
    <cellStyle name="Cálculo 20 3 2" xfId="1215" xr:uid="{765FA86E-3582-4FBA-B9E7-89AD5F5405EF}"/>
    <cellStyle name="Cálculo 20 3 3" xfId="1216" xr:uid="{6AD0C0A3-644F-4D2B-832C-6FE90E51DE79}"/>
    <cellStyle name="Cálculo 21" xfId="1217" xr:uid="{FF36702A-8C73-41AD-8531-594188B92FBA}"/>
    <cellStyle name="Cálculo 22" xfId="1218" xr:uid="{FCBA41FA-2F55-4CAA-907C-87828B42A8DB}"/>
    <cellStyle name="Cálculo 22 2" xfId="1219" xr:uid="{99033E83-E549-4D6D-851D-507FD47A6F9A}"/>
    <cellStyle name="Cálculo 23" xfId="1220" xr:uid="{55066DF0-F441-4327-9D60-B54BD0E01469}"/>
    <cellStyle name="Cálculo 23 2" xfId="1221" xr:uid="{641A64F6-87B5-4E9D-B368-2B4FCF2C123E}"/>
    <cellStyle name="Cálculo 23 3" xfId="1222" xr:uid="{5C786BBE-5028-43BA-9D9D-61D37D81563F}"/>
    <cellStyle name="Cálculo 24" xfId="1223" xr:uid="{F7FEA8AB-471E-445C-8385-89211548A33A}"/>
    <cellStyle name="Cálculo 3" xfId="1224" xr:uid="{74CEF8BF-0BC8-419B-937A-5949B99EAB4C}"/>
    <cellStyle name="Cálculo 3 2" xfId="1225" xr:uid="{8BD77F1A-5207-408B-9293-8981C7470F7C}"/>
    <cellStyle name="Cálculo 3 2 2" xfId="1226" xr:uid="{02E047DC-289D-4D55-9BB1-300FFC13C875}"/>
    <cellStyle name="Cálculo 3 3" xfId="1227" xr:uid="{19B0D6C7-9150-461D-99CC-B61815325D63}"/>
    <cellStyle name="Cálculo 3 3 2" xfId="1228" xr:uid="{92767D51-8EA4-4019-A0B5-78A675631EEF}"/>
    <cellStyle name="Cálculo 3 3 3" xfId="1229" xr:uid="{1D6C3A1C-CFD1-4033-A7A5-7A395E283FA2}"/>
    <cellStyle name="Cálculo 3 4" xfId="1230" xr:uid="{B17149B3-92C2-4F3E-88B2-7A1828B71345}"/>
    <cellStyle name="Cálculo 4" xfId="1231" xr:uid="{E81C9AC6-C08E-4C73-AFB7-7248E6DAD068}"/>
    <cellStyle name="Cálculo 4 2" xfId="1232" xr:uid="{2F91B342-0F3C-40E5-A87B-5C4967AAE696}"/>
    <cellStyle name="Cálculo 4 2 2" xfId="1233" xr:uid="{857F4421-63B5-400F-9538-23E7CE88673A}"/>
    <cellStyle name="Cálculo 4 3" xfId="1234" xr:uid="{8F6E8FB9-2036-48CB-9FBD-80A7D87B8BD0}"/>
    <cellStyle name="Cálculo 4 3 2" xfId="1235" xr:uid="{A6C656F8-2B7B-4B22-9EE7-9DD25D3E0B5D}"/>
    <cellStyle name="Cálculo 4 3 3" xfId="1236" xr:uid="{37460E3C-9DED-467D-A117-EBFAB74122BE}"/>
    <cellStyle name="Cálculo 5" xfId="1237" xr:uid="{D8F3572B-87B9-4E17-8870-3D0162510625}"/>
    <cellStyle name="Cálculo 5 2" xfId="1238" xr:uid="{0D3571E9-8EEE-4732-B06D-9E31EA2158F4}"/>
    <cellStyle name="Cálculo 5 2 2" xfId="1239" xr:uid="{091CCAE9-6FF0-43B1-B0E0-EE3396CDFEA5}"/>
    <cellStyle name="Cálculo 5 3" xfId="1240" xr:uid="{A39BD311-98BF-4728-9AF0-5425AFB443D4}"/>
    <cellStyle name="Cálculo 5 3 2" xfId="1241" xr:uid="{5050AD02-E90F-4EA6-A492-93C94CCA80E4}"/>
    <cellStyle name="Cálculo 5 3 3" xfId="1242" xr:uid="{11123FFC-E8FF-4A3A-8B57-0713E57FDC33}"/>
    <cellStyle name="Cálculo 6" xfId="1243" xr:uid="{7DEE4387-D4E4-47A0-A8DE-2B110C0DA873}"/>
    <cellStyle name="Cálculo 6 2" xfId="1244" xr:uid="{C57D8293-212F-4EA4-8288-575E090FFF42}"/>
    <cellStyle name="Cálculo 6 2 2" xfId="1245" xr:uid="{53848AB0-265B-456F-97A1-F7054E571CB8}"/>
    <cellStyle name="Cálculo 6 3" xfId="1246" xr:uid="{825DBCEA-43D3-4E91-BE80-15E63168CCFF}"/>
    <cellStyle name="Cálculo 6 3 2" xfId="1247" xr:uid="{95E0B032-F92B-492D-9540-2171D96F840B}"/>
    <cellStyle name="Cálculo 6 3 3" xfId="1248" xr:uid="{771CFB7A-204F-4978-A4AB-A479777D38AC}"/>
    <cellStyle name="Cálculo 7" xfId="1249" xr:uid="{EDA8C30C-564D-415C-993A-D8A383F4523E}"/>
    <cellStyle name="Cálculo 7 2" xfId="1250" xr:uid="{599C0460-FC50-444E-9630-529ADFF4A5E3}"/>
    <cellStyle name="Cálculo 7 2 2" xfId="1251" xr:uid="{6D863C5A-6F14-4E92-AD0F-4C86E2768E88}"/>
    <cellStyle name="Cálculo 7 3" xfId="1252" xr:uid="{DE72F56B-C73E-426A-B202-7B41C89B96C8}"/>
    <cellStyle name="Cálculo 7 3 2" xfId="1253" xr:uid="{158AC305-D630-4FCF-8CE5-CC355B062548}"/>
    <cellStyle name="Cálculo 7 3 3" xfId="1254" xr:uid="{2CB864B1-95D8-40EA-892F-56618D9C642F}"/>
    <cellStyle name="Cálculo 8" xfId="1255" xr:uid="{D91157FE-0570-4488-B9A4-F3AA94BBC038}"/>
    <cellStyle name="Cálculo 8 2" xfId="1256" xr:uid="{70D54F27-971C-4524-A657-3066370455C9}"/>
    <cellStyle name="Cálculo 8 2 2" xfId="1257" xr:uid="{E6DEA237-DF42-4A2D-800B-A504CE61CAA9}"/>
    <cellStyle name="Cálculo 8 3" xfId="1258" xr:uid="{3D7CB554-0A8C-42D1-BDF8-1ACA14ACB8EF}"/>
    <cellStyle name="Cálculo 8 3 2" xfId="1259" xr:uid="{AB34B9E6-CF43-4AA8-ADCA-9F1CFADA455D}"/>
    <cellStyle name="Cálculo 8 3 3" xfId="1260" xr:uid="{0B5CF18B-41A0-4FB0-9D54-36A24D21B0BF}"/>
    <cellStyle name="Cálculo 9" xfId="1261" xr:uid="{8BE98CE6-D24B-4328-A58D-8187F8FC58C8}"/>
    <cellStyle name="Cálculo 9 2" xfId="1262" xr:uid="{D15D9F37-D4F8-4E4F-8A04-8098EBB3A3B7}"/>
    <cellStyle name="Cálculo 9 2 2" xfId="1263" xr:uid="{847B57C3-DB4A-48A1-8ED3-1B7CBE23EB95}"/>
    <cellStyle name="Cálculo 9 3" xfId="1264" xr:uid="{B52309C9-80CD-4784-BC50-A42D3CEBDA93}"/>
    <cellStyle name="Cálculo 9 3 2" xfId="1265" xr:uid="{B3959733-B6F9-4F01-91A9-0AD0F2321F51}"/>
    <cellStyle name="Cálculo 9 3 3" xfId="1266" xr:uid="{050EC567-7415-4107-B5FE-32A2FD8774A3}"/>
    <cellStyle name="Celda de comprobación 10" xfId="1267" xr:uid="{EE33B459-A951-4E7F-8A89-35DE230C56B2}"/>
    <cellStyle name="Celda de comprobación 11" xfId="1268" xr:uid="{4702DA33-D675-453B-BDFA-D77237B4ECD5}"/>
    <cellStyle name="Celda de comprobación 12" xfId="1269" xr:uid="{72E171DB-0C14-433E-98A0-DB2111207C22}"/>
    <cellStyle name="Celda de comprobación 13" xfId="1270" xr:uid="{FAE10E02-FF3B-43A1-AAAC-06FFE25414AA}"/>
    <cellStyle name="Celda de comprobación 14" xfId="1271" xr:uid="{880DD3F4-D62E-4725-9BF7-31685997C92B}"/>
    <cellStyle name="Celda de comprobación 15" xfId="1272" xr:uid="{49D79026-0DDB-4A8E-A84B-A0A90EA8D8B3}"/>
    <cellStyle name="Celda de comprobación 16" xfId="1273" xr:uid="{B58F5A59-75F8-4C82-A449-D2C86E174273}"/>
    <cellStyle name="Celda de comprobación 17" xfId="1274" xr:uid="{4710C35D-C512-4C13-9D1A-2F483D0B140C}"/>
    <cellStyle name="Celda de comprobación 18" xfId="1275" xr:uid="{72BAE2DF-86AB-415F-AC1E-576DE6493D75}"/>
    <cellStyle name="Celda de comprobación 19" xfId="1276" xr:uid="{F3784089-8032-4995-91E4-AFB01F308D16}"/>
    <cellStyle name="Celda de comprobación 2" xfId="1277" xr:uid="{EDD10B37-E393-4022-B52C-B22075DBB4EC}"/>
    <cellStyle name="Celda de comprobación 2 2" xfId="1278" xr:uid="{E6DE8529-759F-4491-AB5F-ECBB5DC46B73}"/>
    <cellStyle name="Celda de comprobación 20" xfId="1279" xr:uid="{23102069-5117-482B-8CD6-421B26BEA904}"/>
    <cellStyle name="Celda de comprobación 21" xfId="1280" xr:uid="{5AA611D3-20DF-4EAC-A219-7438C0DF7739}"/>
    <cellStyle name="Celda de comprobación 22" xfId="1281" xr:uid="{C7F2B2FE-7773-4476-8FF9-3ED76191A206}"/>
    <cellStyle name="Celda de comprobación 3" xfId="1282" xr:uid="{91DFB006-9772-4C0B-990E-5EABACACB3B8}"/>
    <cellStyle name="Celda de comprobación 3 2" xfId="1283" xr:uid="{C97CC1B9-D8FB-4610-9926-00F1CD5C0FCF}"/>
    <cellStyle name="Celda de comprobación 4" xfId="1284" xr:uid="{D5DADAA9-B231-48D1-AD48-75E2E63F0AD2}"/>
    <cellStyle name="Celda de comprobación 5" xfId="1285" xr:uid="{52BD6C34-F563-48D5-BD9C-30333FC67B1A}"/>
    <cellStyle name="Celda de comprobación 6" xfId="1286" xr:uid="{AE9831D3-1312-4045-BD9F-4C6052F2160B}"/>
    <cellStyle name="Celda de comprobación 7" xfId="1287" xr:uid="{5F371BEE-DC39-4EC3-A615-8D42F48D3029}"/>
    <cellStyle name="Celda de comprobación 8" xfId="1288" xr:uid="{D60F1011-5B12-47DD-BE71-55802D795A59}"/>
    <cellStyle name="Celda de comprobación 9" xfId="1289" xr:uid="{08DC3B18-5CE0-4797-BE39-43B28C60D634}"/>
    <cellStyle name="Celda vinculada 10" xfId="1290" xr:uid="{2645D1E6-B4A1-4549-9E13-FC675FEB1C3C}"/>
    <cellStyle name="Celda vinculada 11" xfId="1291" xr:uid="{20F98EE2-8FC6-4F85-BDB5-556DDA4D0FDC}"/>
    <cellStyle name="Celda vinculada 12" xfId="1292" xr:uid="{05D3F3B0-F44E-444F-918F-DEDF2E2CD4BE}"/>
    <cellStyle name="Celda vinculada 13" xfId="1293" xr:uid="{3E36CB67-1F19-4B1D-9837-A00C3B2513B9}"/>
    <cellStyle name="Celda vinculada 14" xfId="1294" xr:uid="{0A986D88-40AA-40DF-878E-6A389C66D90E}"/>
    <cellStyle name="Celda vinculada 15" xfId="1295" xr:uid="{7790B703-9DC5-4A70-A61E-D34C3094199F}"/>
    <cellStyle name="Celda vinculada 16" xfId="1296" xr:uid="{263A0CD0-5244-4AF4-B8A9-271A4BAE88C6}"/>
    <cellStyle name="Celda vinculada 17" xfId="1297" xr:uid="{0A146092-11BE-4CE4-9E4E-E15BD22571EC}"/>
    <cellStyle name="Celda vinculada 18" xfId="1298" xr:uid="{7454A0AE-8E24-4965-9986-9CD95C23E95B}"/>
    <cellStyle name="Celda vinculada 19" xfId="1299" xr:uid="{E0B71A4E-96EA-463D-91DB-DCD0C0A4FBC1}"/>
    <cellStyle name="Celda vinculada 2" xfId="1300" xr:uid="{E1540A1F-644C-4708-8BDE-3464F7D3AB8A}"/>
    <cellStyle name="Celda vinculada 2 2" xfId="1301" xr:uid="{E43673CB-2D43-4797-B22C-13E08A8E15FE}"/>
    <cellStyle name="Celda vinculada 20" xfId="1302" xr:uid="{898E0E4E-95D0-44B8-B280-1373B1AF03E4}"/>
    <cellStyle name="Celda vinculada 21" xfId="1303" xr:uid="{645BF368-A712-4C46-8DE1-E764366B9444}"/>
    <cellStyle name="Celda vinculada 22" xfId="1304" xr:uid="{D95167C7-5263-4379-8BFA-88CB32A5740B}"/>
    <cellStyle name="Celda vinculada 23" xfId="1305" xr:uid="{6F0E6221-A283-4771-9590-0376C7353287}"/>
    <cellStyle name="Celda vinculada 3" xfId="1306" xr:uid="{3207F1B6-B8B5-4A7F-B235-B6C55333D70F}"/>
    <cellStyle name="Celda vinculada 3 2" xfId="1307" xr:uid="{48E99268-5067-442F-987A-69BD47DF0DA5}"/>
    <cellStyle name="Celda vinculada 4" xfId="1308" xr:uid="{611AC274-8441-41AE-AE91-31DD919F017F}"/>
    <cellStyle name="Celda vinculada 5" xfId="1309" xr:uid="{1600F998-D561-4168-B0E1-A52D79AAFAED}"/>
    <cellStyle name="Celda vinculada 6" xfId="1310" xr:uid="{CD21EF4F-D3FD-4051-BB0E-60779DDABC45}"/>
    <cellStyle name="Celda vinculada 7" xfId="1311" xr:uid="{124BD068-96C1-452D-9390-0869AC069267}"/>
    <cellStyle name="Celda vinculada 8" xfId="1312" xr:uid="{64010690-CF2B-4B35-B6ED-53284251E957}"/>
    <cellStyle name="Celda vinculada 9" xfId="1313" xr:uid="{8CDDACAF-82DF-4395-A2E9-0C2B20151DD8}"/>
    <cellStyle name="Check Cell" xfId="455" builtinId="23" customBuiltin="1"/>
    <cellStyle name="Check Cell 2" xfId="399" xr:uid="{A51B5C72-F68D-49C7-B2EE-0C0C82208743}"/>
    <cellStyle name="Check Cell 2 2" xfId="1314" xr:uid="{835EB3F7-9DDB-48E3-8F60-DB6072D68D43}"/>
    <cellStyle name="Comma" xfId="1" builtinId="3"/>
    <cellStyle name="Comma [0] 2" xfId="433" xr:uid="{3E27F41D-E256-400D-9EA9-ECFAE83036D0}"/>
    <cellStyle name="Comma [0] 2 2" xfId="513" xr:uid="{2115C067-87EE-44B5-AEC1-FA35E87AA4F9}"/>
    <cellStyle name="Comma [0] 2 2 2" xfId="4561" xr:uid="{86763B42-BF0D-4A66-8076-7869A79BEEC1}"/>
    <cellStyle name="Comma [0] 2 3" xfId="4501" xr:uid="{BC0FDB6C-D4B6-48ED-B4E8-5E1A10CB668C}"/>
    <cellStyle name="Comma [0] 2 4" xfId="492" xr:uid="{911E93FA-0BC9-4618-812C-1F9D8BB41CAA}"/>
    <cellStyle name="Comma [0] 2 5" xfId="4520" xr:uid="{AF6089E2-F929-4E2B-9678-5D8CED3971C8}"/>
    <cellStyle name="Comma 10" xfId="438" xr:uid="{F2DC5805-7F30-4BA0-9357-27EBC97FADC9}"/>
    <cellStyle name="Comma 10 2" xfId="517" xr:uid="{03213665-052F-4906-BDD5-9FEB4B3F4129}"/>
    <cellStyle name="Comma 10 2 2" xfId="4565" xr:uid="{C258C53A-ACCB-4117-98D8-CA5795CBD324}"/>
    <cellStyle name="Comma 10 3" xfId="496" xr:uid="{CEC889E6-6A37-4633-8843-FFBC191F3241}"/>
    <cellStyle name="Comma 10 4" xfId="4524" xr:uid="{B52E3262-6D17-41CC-9A70-F5E43A155457}"/>
    <cellStyle name="Comma 11" xfId="436" xr:uid="{5D8DACCB-1B50-4EB5-8DB3-2D3C790DA8D3}"/>
    <cellStyle name="Comma 11 2" xfId="516" xr:uid="{A87E5697-EBE5-45FD-9335-0BAD549BBC74}"/>
    <cellStyle name="Comma 11 2 2" xfId="4564" xr:uid="{823113BA-4C9F-44DA-929D-8DE7B8896A8E}"/>
    <cellStyle name="Comma 11 3" xfId="495" xr:uid="{652CFF2B-3750-48BF-8638-270B8BDC9571}"/>
    <cellStyle name="Comma 11 4" xfId="4523" xr:uid="{A65C7F1C-2BB7-4944-87AF-0EC03C511554}"/>
    <cellStyle name="Comma 12" xfId="440" xr:uid="{ABEDBAD2-E09C-45BD-976B-44E3DD1F5595}"/>
    <cellStyle name="Comma 12 2" xfId="518" xr:uid="{6B63235D-28C4-4EAA-BF60-26A96E615443}"/>
    <cellStyle name="Comma 12 2 2" xfId="4566" xr:uid="{C80CD18A-A782-4396-949D-6AD677851698}"/>
    <cellStyle name="Comma 12 3" xfId="497" xr:uid="{B2B77517-F333-4EE1-BAD6-938FB3800AE0}"/>
    <cellStyle name="Comma 12 4" xfId="4525" xr:uid="{7987285E-8743-4406-8632-F4EDCACA5E8E}"/>
    <cellStyle name="Comma 13" xfId="365" xr:uid="{98F63BCB-DFC0-4680-8F93-C63075AF25FC}"/>
    <cellStyle name="Comma 13 2" xfId="477" xr:uid="{F2539EFE-8E14-4598-82C6-1B7003566B67}"/>
    <cellStyle name="Comma 13 3" xfId="4541" xr:uid="{7E2F7D02-A746-47E8-A778-E946E8F79996}"/>
    <cellStyle name="Comma 14" xfId="411" xr:uid="{6551133D-9C56-4106-8010-CF8ED5B868ED}"/>
    <cellStyle name="Comma 14 2" xfId="498" xr:uid="{EFEC6CE5-DE46-4E25-B8A7-D4104336925C}"/>
    <cellStyle name="Comma 14 3" xfId="4547" xr:uid="{029D77EA-0972-4325-A7A1-9AEA37845D9F}"/>
    <cellStyle name="Comma 15" xfId="360" xr:uid="{13C951BC-A400-4259-8772-F6171DB8C5D2}"/>
    <cellStyle name="Comma 15 2" xfId="522" xr:uid="{1C49633D-802F-4CDE-8BBE-CE1769A6D83E}"/>
    <cellStyle name="Comma 15 3" xfId="4539" xr:uid="{44567C85-1649-4B13-B249-8D0456B65A76}"/>
    <cellStyle name="Comma 16" xfId="372" xr:uid="{8A8B6BC5-F85B-43B6-823A-A899DD8596B5}"/>
    <cellStyle name="Comma 16 2" xfId="4546" xr:uid="{C8B8EA9F-8A84-4C1F-B928-C5D8A1986C63}"/>
    <cellStyle name="Comma 17" xfId="444" xr:uid="{0A97050B-352F-4F82-8535-0ADB61FBA3D4}"/>
    <cellStyle name="Comma 17 2" xfId="4568" xr:uid="{7C8ABB82-B224-4A08-9169-8E4E9D95166D}"/>
    <cellStyle name="Comma 18" xfId="475" xr:uid="{A9A367D8-4C54-4A4D-9475-DC70FF12A5C8}"/>
    <cellStyle name="Comma 18 2" xfId="4527" xr:uid="{6B3E3A2C-C5B8-4324-B5BE-483CDEF8CAD4}"/>
    <cellStyle name="Comma 19" xfId="4505" xr:uid="{1C8475AC-203F-46D4-B354-DAF4E876D484}"/>
    <cellStyle name="Comma 2" xfId="11" xr:uid="{ACE349D1-D601-4D1E-B118-280A02FCC02C}"/>
    <cellStyle name="Comma 2 10" xfId="479" xr:uid="{5F95C739-EA81-4B7F-8EAF-2CE76A6C4E28}"/>
    <cellStyle name="Comma 2 11" xfId="4507" xr:uid="{D3719A78-5309-46D3-B198-7FC8817C4F23}"/>
    <cellStyle name="Comma 2 2" xfId="356" xr:uid="{80C7F3B9-0D35-40AD-B41B-3D35E38068A5}"/>
    <cellStyle name="Comma 2 2 2" xfId="416" xr:uid="{E8F2373B-9FFF-4DB4-8D73-4CFB5C1BEAEB}"/>
    <cellStyle name="Comma 2 2 2 2" xfId="527" xr:uid="{E711CE2D-E1CD-4D59-A670-850C87B31F50}"/>
    <cellStyle name="Comma 2 2 2 3" xfId="504" xr:uid="{E457D160-772D-4781-A8DA-B3A26CA98D04}"/>
    <cellStyle name="Comma 2 2 2 4" xfId="4551" xr:uid="{88AF44C4-1CCC-4C12-8FBB-21BF5B75C303}"/>
    <cellStyle name="Comma 2 2 3" xfId="536" xr:uid="{1330CE8D-78EA-4E44-BCFA-A8C2C3030D60}"/>
    <cellStyle name="Comma 2 2 3 2" xfId="4536" xr:uid="{578C462A-AF07-44C9-87AB-84FB03906A4B}"/>
    <cellStyle name="Comma 2 2 4" xfId="551" xr:uid="{70A9E567-B7AF-4C32-8009-A4F5B0E9FC5C}"/>
    <cellStyle name="Comma 2 2 5" xfId="524" xr:uid="{29B0C3F1-4B4D-4694-886D-72D0A17EB101}"/>
    <cellStyle name="Comma 2 2 6" xfId="483" xr:uid="{09E2FB64-A4D3-4FC7-BF01-CB115F977416}"/>
    <cellStyle name="Comma 2 2 7" xfId="4511" xr:uid="{6788C73A-A342-44D7-88AA-119D714BF354}"/>
    <cellStyle name="Comma 2 3" xfId="369" xr:uid="{CF07AB0A-2489-4461-9970-C5624C3B8596}"/>
    <cellStyle name="Comma 2 3 2" xfId="537" xr:uid="{AF080334-01D2-44CE-8C41-9BE6311EAC5D}"/>
    <cellStyle name="Comma 2 3 3" xfId="552" xr:uid="{D7C98B09-DB35-4B11-895B-E645E964F1EB}"/>
    <cellStyle name="Comma 2 3 4" xfId="1317" xr:uid="{122B8FE4-946F-4B64-BDB4-DA8987C05EF5}"/>
    <cellStyle name="Comma 2 3 5" xfId="526" xr:uid="{82E1EC84-55DA-44C2-8CA2-ED829104C068}"/>
    <cellStyle name="Comma 2 3 6" xfId="500" xr:uid="{53F8E5E0-45DF-417A-A85F-F9621A685836}"/>
    <cellStyle name="Comma 2 3 7" xfId="4545" xr:uid="{C86089F2-CD17-46A7-A390-6FD9AED483F4}"/>
    <cellStyle name="Comma 2 4" xfId="533" xr:uid="{6DDEED14-731E-4406-9224-90D1ECA2D6A3}"/>
    <cellStyle name="Comma 2 4 2" xfId="1319" xr:uid="{0C85DEB4-CD38-4E0C-9F46-644300383976}"/>
    <cellStyle name="Comma 2 4 3" xfId="1318" xr:uid="{A73D5E11-AF6F-41E1-8C59-E1AC89EE2525}"/>
    <cellStyle name="Comma 2 4 4" xfId="4532" xr:uid="{00A6C320-D8B5-4294-9E86-F0FFCE1D2B30}"/>
    <cellStyle name="Comma 2 5" xfId="550" xr:uid="{190FD88F-8AA0-493B-9940-A6DA74D36B57}"/>
    <cellStyle name="Comma 2 5 2" xfId="1321" xr:uid="{86E2F53E-3AA2-4209-8C5E-24A1513721D9}"/>
    <cellStyle name="Comma 2 5 3" xfId="1322" xr:uid="{2492A39F-D356-4EC8-BC7B-3990B3C25B86}"/>
    <cellStyle name="Comma 2 5 4" xfId="1320" xr:uid="{F7C16D5A-C352-425B-B5BB-2C51902A18DD}"/>
    <cellStyle name="Comma 2 6" xfId="1323" xr:uid="{A2EC21A6-9C25-47D7-9A5F-D9B0C45427B5}"/>
    <cellStyle name="Comma 2 6 2" xfId="1324" xr:uid="{64C3934E-4BAE-4A07-A66C-6C7A62DE47E2}"/>
    <cellStyle name="Comma 2 6 3" xfId="1325" xr:uid="{69EF1038-01AC-4BB0-92CA-B7658550CB3F}"/>
    <cellStyle name="Comma 2 7" xfId="1326" xr:uid="{D5ABFF42-43EC-409E-B37B-2AFAB06A95C2}"/>
    <cellStyle name="Comma 2 8" xfId="1316" xr:uid="{E36D17FD-4471-4C7D-94FF-56358697081C}"/>
    <cellStyle name="Comma 2 9" xfId="523" xr:uid="{6C571BC5-0962-4964-9A7D-12FBDB6C9E63}"/>
    <cellStyle name="Comma 3" xfId="9" xr:uid="{8CA971C9-1CEF-4C65-A82A-4F179BA56EBA}"/>
    <cellStyle name="Comma 3 2" xfId="357" xr:uid="{5E2202E5-3D6C-442F-B20C-B83A622A68FD}"/>
    <cellStyle name="Comma 3 2 2" xfId="417" xr:uid="{45BE1569-2633-4346-88B2-6D01F80E5C3D}"/>
    <cellStyle name="Comma 3 2 2 2" xfId="505" xr:uid="{903AF450-CC21-4951-9DC8-1ABF497E2708}"/>
    <cellStyle name="Comma 3 2 2 3" xfId="4552" xr:uid="{3B5118A6-C843-49A3-B6C1-5D8B076C0D46}"/>
    <cellStyle name="Comma 3 2 3" xfId="538" xr:uid="{F5B5829E-23EA-4446-82FE-E41DEBAFC1BD}"/>
    <cellStyle name="Comma 3 2 3 2" xfId="4537" xr:uid="{82CA1BB9-B717-4A12-9BF1-D04256DEE67B}"/>
    <cellStyle name="Comma 3 2 4" xfId="484" xr:uid="{94F264D4-C121-44A4-A6E3-E2442EE2392E}"/>
    <cellStyle name="Comma 3 2 5" xfId="4512" xr:uid="{7EB6EF1B-BAEA-4513-A587-74D7E3C47C2C}"/>
    <cellStyle name="Comma 3 3" xfId="413" xr:uid="{65DEB98A-7C2B-4424-8152-DA9AF0C82BB7}"/>
    <cellStyle name="Comma 3 3 2" xfId="553" xr:uid="{4FECC801-17C8-4F33-B48A-D5CD30FFEF48}"/>
    <cellStyle name="Comma 3 3 3" xfId="501" xr:uid="{94FD9B8F-3BFE-4187-B5D8-12B54368C1F3}"/>
    <cellStyle name="Comma 3 3 4" xfId="4548" xr:uid="{2826CC32-23A0-4BBF-8066-64E5A5C58D42}"/>
    <cellStyle name="Comma 3 4" xfId="1327" xr:uid="{3E6D5EA5-CB34-4F54-91D7-8F2D2B881CE7}"/>
    <cellStyle name="Comma 3 4 2" xfId="4530" xr:uid="{D4078C90-9E37-466D-A098-8DF6061C0D26}"/>
    <cellStyle name="Comma 3 5" xfId="525" xr:uid="{6554C8D3-BB27-44C1-A1F0-4F0E11318B94}"/>
    <cellStyle name="Comma 3 6" xfId="480" xr:uid="{31FE7520-B075-4005-8DEC-83D32483E5FA}"/>
    <cellStyle name="Comma 3 7" xfId="4508" xr:uid="{C2136A7F-4249-4DB1-839D-61E63C2664BD}"/>
    <cellStyle name="Comma 4" xfId="354" xr:uid="{F1D8F7F0-2062-4385-845E-3FD2DA1A8F8F}"/>
    <cellStyle name="Comma 4 2" xfId="358" xr:uid="{16A61B42-93E3-47F5-A59F-39931BA94953}"/>
    <cellStyle name="Comma 4 2 2" xfId="418" xr:uid="{CD86AFB9-830F-4347-A3FB-85281B946DFC}"/>
    <cellStyle name="Comma 4 2 2 2" xfId="506" xr:uid="{382AE28E-3BCE-4FE4-A61B-C421E5BE238D}"/>
    <cellStyle name="Comma 4 2 2 3" xfId="4553" xr:uid="{966201C8-8BC5-4CBB-B218-DBDE38D0C5E7}"/>
    <cellStyle name="Comma 4 2 3" xfId="554" xr:uid="{14C8040F-E52C-4C8F-BB53-E1DB8E91E38E}"/>
    <cellStyle name="Comma 4 2 3 2" xfId="4538" xr:uid="{A6F872D8-BB17-4857-A310-41084A725A09}"/>
    <cellStyle name="Comma 4 2 4" xfId="485" xr:uid="{D04E924F-B97B-4C19-A1AE-A1AD9E8F3886}"/>
    <cellStyle name="Comma 4 2 5" xfId="4513" xr:uid="{C9995BB8-8A8C-44D4-9747-3904724341FA}"/>
    <cellStyle name="Comma 4 3" xfId="414" xr:uid="{57A21BFF-25E6-46C5-A861-BBC91FA3BC19}"/>
    <cellStyle name="Comma 4 3 2" xfId="1328" xr:uid="{37202426-ED2D-420A-9698-C2B819DBFC24}"/>
    <cellStyle name="Comma 4 3 3" xfId="4497" xr:uid="{F94CB208-99D6-47EC-9A0D-1063B3DCF3F8}"/>
    <cellStyle name="Comma 4 3 4" xfId="502" xr:uid="{312B2152-C466-42BC-BDA9-807CA3D03A5E}"/>
    <cellStyle name="Comma 4 3 5" xfId="4549" xr:uid="{377455FD-EA7D-4A10-91DF-94F28DF526B1}"/>
    <cellStyle name="Comma 4 4" xfId="548" xr:uid="{DDB7F159-C8D8-4AAB-8877-E8298F35144F}"/>
    <cellStyle name="Comma 4 4 2" xfId="4534" xr:uid="{951CE4A9-BC6D-491B-8A0A-089DB4660268}"/>
    <cellStyle name="Comma 4 5" xfId="481" xr:uid="{1260E96D-E784-420E-8538-31C270FCE72B}"/>
    <cellStyle name="Comma 4 6" xfId="4509" xr:uid="{878211AB-3F7E-4C45-9067-8C03895B718A}"/>
    <cellStyle name="Comma 5" xfId="355" xr:uid="{646FBC4A-258B-4CCF-8FB2-190ED60C83CC}"/>
    <cellStyle name="Comma 5 2" xfId="432" xr:uid="{3B1E0C3A-0990-405C-8D38-363C93A5F8D7}"/>
    <cellStyle name="Comma 5 2 2" xfId="512" xr:uid="{714D6EBF-1E1A-4B51-B04D-6C99E2803F53}"/>
    <cellStyle name="Comma 5 2 2 2" xfId="4560" xr:uid="{03A04BE8-1AA1-4B1A-B7C5-70DFAD139BF0}"/>
    <cellStyle name="Comma 5 2 3" xfId="549" xr:uid="{1FADBD06-CF5E-464F-816A-2344A9975D16}"/>
    <cellStyle name="Comma 5 2 4" xfId="4500" xr:uid="{0B04E123-72DC-4D76-A2F3-33C0B2235413}"/>
    <cellStyle name="Comma 5 2 5" xfId="491" xr:uid="{9D9C1838-3AED-45D8-8EE2-10ECF5A1DA13}"/>
    <cellStyle name="Comma 5 2 6" xfId="4519" xr:uid="{BB857F90-6057-4365-91A9-27CD0036940E}"/>
    <cellStyle name="Comma 5 3" xfId="415" xr:uid="{B8B9F4A1-97C1-44C8-889C-8F103B85F85F}"/>
    <cellStyle name="Comma 5 3 2" xfId="1329" xr:uid="{82E9E8C0-8543-4430-A3F0-1B0B9338263C}"/>
    <cellStyle name="Comma 5 3 3" xfId="503" xr:uid="{DD1662CD-554B-453A-AD70-F259644C73FE}"/>
    <cellStyle name="Comma 5 3 4" xfId="4550" xr:uid="{4B8D6812-FD85-4636-98A7-744C066E875F}"/>
    <cellStyle name="Comma 5 4" xfId="528" xr:uid="{0DEDDB79-14EA-4381-B269-45531D7BBA1A}"/>
    <cellStyle name="Comma 5 4 2" xfId="4535" xr:uid="{6D429FC9-D03F-4F9B-AB33-A2C611E87370}"/>
    <cellStyle name="Comma 5 5" xfId="482" xr:uid="{C550D2F2-21BD-4B31-97B6-3A7B99666700}"/>
    <cellStyle name="Comma 5 6" xfId="4510" xr:uid="{078746E3-F8C7-4095-94CE-803033755761}"/>
    <cellStyle name="Comma 6" xfId="368" xr:uid="{4C23CF33-F482-45C2-BE26-7A646594D84A}"/>
    <cellStyle name="Comma 6 2" xfId="435" xr:uid="{E14F5093-38B0-4F43-805F-88C3132EFA55}"/>
    <cellStyle name="Comma 6 2 2" xfId="515" xr:uid="{0A6DAA56-92BB-490D-925A-F450310610C0}"/>
    <cellStyle name="Comma 6 2 2 2" xfId="4563" xr:uid="{B57CDEC8-8B4A-48E0-906E-63AD76C2F64F}"/>
    <cellStyle name="Comma 6 2 3" xfId="494" xr:uid="{13C8CBA4-671A-49E1-A58E-04A305D9C85A}"/>
    <cellStyle name="Comma 6 2 4" xfId="4522" xr:uid="{5E5604B8-7493-49F1-B7A4-28CF02E542C5}"/>
    <cellStyle name="Comma 6 3" xfId="499" xr:uid="{0D3B4AD4-D1E0-4C5B-8912-320777C21498}"/>
    <cellStyle name="Comma 6 3 2" xfId="4544" xr:uid="{775F59AD-CEA6-4D0E-B824-21892D29A067}"/>
    <cellStyle name="Comma 6 4" xfId="1330" xr:uid="{95CBF06E-AD89-4C9A-A496-FC5252C42172}"/>
    <cellStyle name="Comma 6 5" xfId="4503" xr:uid="{00C5241C-142E-4B9E-A424-968782018F21}"/>
    <cellStyle name="Comma 6 6" xfId="478" xr:uid="{7BBA72D5-A76B-402D-8651-A418A02F7277}"/>
    <cellStyle name="Comma 6 7" xfId="4506" xr:uid="{0BD525E4-580A-4D22-B554-E123F1533CE3}"/>
    <cellStyle name="Comma 7" xfId="421" xr:uid="{888F3F7D-CD0C-4EB3-8A0D-0EF0A4EA6432}"/>
    <cellStyle name="Comma 7 2" xfId="507" xr:uid="{8B467F38-B118-49CD-9D49-FBD71293D0A3}"/>
    <cellStyle name="Comma 7 2 2" xfId="4554" xr:uid="{93513A0E-B633-4907-85C2-30C3E94510B7}"/>
    <cellStyle name="Comma 7 3" xfId="1315" xr:uid="{89B03A1E-AAE1-45BE-B57F-39CF872B3E4E}"/>
    <cellStyle name="Comma 7 4" xfId="4496" xr:uid="{CDADC8A8-22F8-43BB-957A-B524CF2734C6}"/>
    <cellStyle name="Comma 7 5" xfId="486" xr:uid="{3F6AD26A-D48D-4579-B6F6-C1240A9485D3}"/>
    <cellStyle name="Comma 7 6" xfId="4514" xr:uid="{9C6DE017-D00C-42D3-910E-2736E5EE38AE}"/>
    <cellStyle name="Comma 8" xfId="424" xr:uid="{E9ACC1B4-A31C-4256-BA75-E93E318F9824}"/>
    <cellStyle name="Comma 8 2" xfId="508" xr:uid="{35FF6E28-F024-47EF-A529-6DA4647305A2}"/>
    <cellStyle name="Comma 8 2 2" xfId="4556" xr:uid="{CFB3CD18-A6DB-423D-9B4E-BC85D2BB1705}"/>
    <cellStyle name="Comma 8 3" xfId="487" xr:uid="{09505823-43A3-417B-B2CE-8428D2CC516F}"/>
    <cellStyle name="Comma 8 4" xfId="4515" xr:uid="{0D3B9432-7120-46AB-BF32-5CD1BB0E8048}"/>
    <cellStyle name="Comma 9" xfId="428" xr:uid="{623C3C32-A52A-40A1-A2BE-24C221265BFC}"/>
    <cellStyle name="Comma 9 2" xfId="509" xr:uid="{C6A575F5-5D8D-4C56-92D3-973BE3E18769}"/>
    <cellStyle name="Comma 9 2 2" xfId="4557" xr:uid="{327247F7-22EE-4558-8BE2-AAEDCD01BA8B}"/>
    <cellStyle name="Comma 9 3" xfId="488" xr:uid="{609CB5A5-9A81-49C3-9592-A2CAD6D30E15}"/>
    <cellStyle name="Comma 9 4" xfId="4516" xr:uid="{63F7EF3B-AD41-4261-9FB0-30C4221C8D73}"/>
    <cellStyle name="Comma0" xfId="1331" xr:uid="{0FCE68EA-AD89-441F-A840-F77F56E62D77}"/>
    <cellStyle name="Currency [0] 2" xfId="431" xr:uid="{4D92056F-3C5D-4185-8A61-823062F74F91}"/>
    <cellStyle name="Currency [0] 2 2" xfId="511" xr:uid="{9B493599-BF98-4822-A0A4-12DB40A77745}"/>
    <cellStyle name="Currency [0] 2 2 2" xfId="4559" xr:uid="{BCB647CA-8430-4B83-AB37-5E87C4C69C1B}"/>
    <cellStyle name="Currency [0] 2 3" xfId="4499" xr:uid="{C8185029-FF11-46D6-B259-F0A1398028D7}"/>
    <cellStyle name="Currency [0] 2 4" xfId="490" xr:uid="{8AE5C07B-7C03-4627-827B-FD552C9A80E3}"/>
    <cellStyle name="Currency [0] 2 5" xfId="4518" xr:uid="{2B4AD4A0-916E-4A35-840F-8891CAC47543}"/>
    <cellStyle name="Currency 2" xfId="13" xr:uid="{F6D14EA7-1951-4C5E-B713-AD1C857C8629}"/>
    <cellStyle name="Currency 2 2" xfId="14" xr:uid="{61492B7F-DE37-47B9-80AF-59B73F79C58F}"/>
    <cellStyle name="Currency 2 3" xfId="430" xr:uid="{02C18876-A68F-4799-B92E-C8AEEC57F42A}"/>
    <cellStyle name="Currency 2 3 2" xfId="510" xr:uid="{54F3F1A0-6628-4B2F-A38B-2409C51B1E80}"/>
    <cellStyle name="Currency 2 3 2 2" xfId="4558" xr:uid="{5D67B2B4-1D9E-43B4-A9FF-F1502B7D2911}"/>
    <cellStyle name="Currency 2 3 3" xfId="4498" xr:uid="{91B8D190-E9AF-4AAF-BC28-9AEC2D229C68}"/>
    <cellStyle name="Currency 2 3 4" xfId="489" xr:uid="{2AF57E6C-191C-4CF9-A685-F5538BF4215B}"/>
    <cellStyle name="Currency 2 3 5" xfId="4517" xr:uid="{44131AD2-CF3F-4095-8D8B-D99AAD5FEE24}"/>
    <cellStyle name="Currency 2 4" xfId="1332" xr:uid="{9F7B7D4E-A683-4122-B560-FB2A4448422C}"/>
    <cellStyle name="Currency 3" xfId="15" xr:uid="{96218DBB-A652-412D-AD9A-E5F562AD3D9E}"/>
    <cellStyle name="Currency 3 2" xfId="434" xr:uid="{7E0ABA95-696A-49C7-B77B-324A8FFF915A}"/>
    <cellStyle name="Currency 3 2 2" xfId="514" xr:uid="{84E3EB2F-43FC-41EC-AD8A-9F9FFF228FF4}"/>
    <cellStyle name="Currency 3 2 2 2" xfId="4562" xr:uid="{ECA41130-FEBA-4CE7-8D24-BCA4F711DD07}"/>
    <cellStyle name="Currency 3 2 3" xfId="4502" xr:uid="{2C50BEFE-DF38-4B05-9E1B-3CDEE6487E4B}"/>
    <cellStyle name="Currency 3 2 4" xfId="493" xr:uid="{5A2BCAF2-044D-46A5-A0AB-B9CD9FBB83AB}"/>
    <cellStyle name="Currency 3 2 5" xfId="4521" xr:uid="{C2ED242E-E8E4-4D10-84DE-9AEAE3D9800B}"/>
    <cellStyle name="Currency 4" xfId="16" xr:uid="{1619BFBA-7407-4FAA-A88F-8B92BAD0075A}"/>
    <cellStyle name="Currency 4 2" xfId="17" xr:uid="{95E2E551-4EBE-40E2-83D9-BE8996BFFC5F}"/>
    <cellStyle name="Currency 4 3" xfId="18" xr:uid="{E044EA95-886F-40A1-A8D1-71199ED59F5D}"/>
    <cellStyle name="Currency0" xfId="1333" xr:uid="{690F6B79-8EB3-4F25-BE27-3F3053A1AAB0}"/>
    <cellStyle name="Date" xfId="1334" xr:uid="{9BFD6A19-5FA7-48EB-84C4-2519A512BD23}"/>
    <cellStyle name="Date 2" xfId="1335" xr:uid="{239C4B18-31EC-452F-BFBE-F99A8AFA782A}"/>
    <cellStyle name="Dia" xfId="1336" xr:uid="{4FC3CFA4-F1E2-4290-87DD-0A825B117181}"/>
    <cellStyle name="Encabez1" xfId="1337" xr:uid="{C98785B9-631F-40ED-A9F2-890C6EF66D30}"/>
    <cellStyle name="Encabez2" xfId="1338" xr:uid="{0E8173D8-A87D-423E-9212-666BA1BD6E51}"/>
    <cellStyle name="Encabezado 4 10" xfId="1339" xr:uid="{0F3EEEBC-3115-44D9-8C53-CCA092A2994A}"/>
    <cellStyle name="Encabezado 4 11" xfId="1340" xr:uid="{086F9587-E31B-46EA-B332-3A58481C780F}"/>
    <cellStyle name="Encabezado 4 12" xfId="1341" xr:uid="{661767D0-C54E-425D-86CB-FBD3ECCEBA9B}"/>
    <cellStyle name="Encabezado 4 13" xfId="1342" xr:uid="{1718EE9C-7DB8-4612-92F7-15FC64A464A6}"/>
    <cellStyle name="Encabezado 4 14" xfId="1343" xr:uid="{653E6CA9-4635-46CF-93F6-6494B6EB4F1D}"/>
    <cellStyle name="Encabezado 4 15" xfId="1344" xr:uid="{4DE771C1-7429-40C1-926E-7081627A4104}"/>
    <cellStyle name="Encabezado 4 16" xfId="1345" xr:uid="{E7AF81DB-5B99-43EE-9C6E-D88D6DB215DD}"/>
    <cellStyle name="Encabezado 4 17" xfId="1346" xr:uid="{08411745-EC45-4059-A705-63D3D2A75523}"/>
    <cellStyle name="Encabezado 4 18" xfId="1347" xr:uid="{D1A5FF34-402E-45E4-8983-EE6E420037C7}"/>
    <cellStyle name="Encabezado 4 19" xfId="1348" xr:uid="{E28B798A-19EE-474C-B9C6-501B977F402E}"/>
    <cellStyle name="Encabezado 4 2" xfId="1349" xr:uid="{304A644A-3E6F-46E4-847C-623DB89951E0}"/>
    <cellStyle name="Encabezado 4 2 2" xfId="1350" xr:uid="{288D45F1-2A2D-4C0A-81CA-4BA3611BD8C8}"/>
    <cellStyle name="Encabezado 4 20" xfId="1351" xr:uid="{FE03D791-6AFB-4072-ACC0-23C6848C2A06}"/>
    <cellStyle name="Encabezado 4 21" xfId="1352" xr:uid="{C1472485-5CEF-4CB6-8A84-3A0C98365735}"/>
    <cellStyle name="Encabezado 4 22" xfId="1353" xr:uid="{46A00D5C-EE22-4E15-AAA3-DA04FFDAC0C3}"/>
    <cellStyle name="Encabezado 4 23" xfId="1354" xr:uid="{58B7335C-1312-443C-8F98-F208166EE298}"/>
    <cellStyle name="Encabezado 4 24" xfId="1355" xr:uid="{B9AF90ED-03FD-4EDD-BCF5-1769AD1B0C8C}"/>
    <cellStyle name="Encabezado 4 3" xfId="1356" xr:uid="{3AB0A55F-7A29-4F04-873B-4F81F6BC807E}"/>
    <cellStyle name="Encabezado 4 3 2" xfId="1357" xr:uid="{B560C077-976D-4238-BC71-A8AC41F55A97}"/>
    <cellStyle name="Encabezado 4 4" xfId="1358" xr:uid="{66A38882-47A3-48D9-9BB5-5E67B3086563}"/>
    <cellStyle name="Encabezado 4 5" xfId="1359" xr:uid="{35BA5462-E844-4336-8313-6AD9C9C44B02}"/>
    <cellStyle name="Encabezado 4 6" xfId="1360" xr:uid="{966D0C4B-6C76-4A46-96D1-AB3D28F3CFD7}"/>
    <cellStyle name="Encabezado 4 7" xfId="1361" xr:uid="{22F61296-4981-47E0-B48C-0B1A8BB52347}"/>
    <cellStyle name="Encabezado 4 8" xfId="1362" xr:uid="{D9230D71-B14A-4934-9487-786758E8F031}"/>
    <cellStyle name="Encabezado 4 9" xfId="1363" xr:uid="{8627EB3F-6365-4885-B18B-2D944BCA7C65}"/>
    <cellStyle name="Énfasis1 10" xfId="1364" xr:uid="{BD2FD161-E3FC-4E05-A832-D5F4632E0A0D}"/>
    <cellStyle name="Énfasis1 11" xfId="1365" xr:uid="{69558091-383F-494D-AED3-B1281FEC9051}"/>
    <cellStyle name="Énfasis1 12" xfId="1366" xr:uid="{977A18DC-6243-4FDD-914D-81E4E4D885B4}"/>
    <cellStyle name="Énfasis1 13" xfId="1367" xr:uid="{08E949B3-52DA-4352-9535-0FBC1F1A27CF}"/>
    <cellStyle name="Énfasis1 14" xfId="1368" xr:uid="{BDD28B46-4A68-4BE2-8020-78F5234B67FD}"/>
    <cellStyle name="Énfasis1 15" xfId="1369" xr:uid="{28ACCBFA-2F78-43CF-8BE9-49D579D0F505}"/>
    <cellStyle name="Énfasis1 16" xfId="1370" xr:uid="{F46EB814-B847-4F14-A7B1-A064B604BB63}"/>
    <cellStyle name="Énfasis1 17" xfId="1371" xr:uid="{10925F89-F718-4A3A-ABD5-CCCEA7F7F921}"/>
    <cellStyle name="Énfasis1 18" xfId="1372" xr:uid="{AC0C86B8-C3C2-49E0-8648-6B80B72C8B70}"/>
    <cellStyle name="Énfasis1 19" xfId="1373" xr:uid="{624D1D11-322E-499C-A515-92BF62BAE927}"/>
    <cellStyle name="Énfasis1 2" xfId="1374" xr:uid="{D04EB1FA-2602-46D2-A458-911BD6D1BE82}"/>
    <cellStyle name="Énfasis1 2 2" xfId="1375" xr:uid="{46BA9653-1D1E-47DF-9758-3751863E43B3}"/>
    <cellStyle name="Énfasis1 20" xfId="1376" xr:uid="{27AAB64E-DB0E-420B-8538-FD80177A0018}"/>
    <cellStyle name="Énfasis1 21" xfId="1377" xr:uid="{E20F3EC0-7FFA-4EB0-A18C-7384D7A09903}"/>
    <cellStyle name="Énfasis1 22" xfId="1378" xr:uid="{34E9584C-D253-4021-BEBB-D3E734B8BC1D}"/>
    <cellStyle name="Énfasis1 23" xfId="1379" xr:uid="{F3CCD118-4EEC-4DBF-AE1D-BB4AAA5C8EE8}"/>
    <cellStyle name="Énfasis1 3" xfId="1380" xr:uid="{0AFD1690-1006-4A27-ABEC-CB0147DCCE16}"/>
    <cellStyle name="Énfasis1 3 2" xfId="1381" xr:uid="{F6C80EE6-0B79-4154-BB21-9E6373215AE8}"/>
    <cellStyle name="Énfasis1 4" xfId="1382" xr:uid="{92FDCD2A-4EB4-4B50-99A3-940BBEC070DD}"/>
    <cellStyle name="Énfasis1 5" xfId="1383" xr:uid="{85BCAEAA-A69A-48FB-8FAA-BDAFE210B8DE}"/>
    <cellStyle name="Énfasis1 6" xfId="1384" xr:uid="{8A7C7BE7-323F-4F2A-B179-67198D8D3650}"/>
    <cellStyle name="Énfasis1 7" xfId="1385" xr:uid="{C0D71755-1A2C-4511-94AC-8D6C037E1E88}"/>
    <cellStyle name="Énfasis1 8" xfId="1386" xr:uid="{53717AB6-6A52-49E3-9E6B-DAD2AA926F80}"/>
    <cellStyle name="Énfasis1 9" xfId="1387" xr:uid="{45251905-9874-4244-A526-3C05F906BC40}"/>
    <cellStyle name="Énfasis2 2" xfId="1388" xr:uid="{24972626-9C74-48A7-909F-4EACBDD0C85D}"/>
    <cellStyle name="Énfasis2 2 2" xfId="1389" xr:uid="{73265338-FC8E-4489-8AB9-A5BEE247260C}"/>
    <cellStyle name="Énfasis2 3" xfId="1390" xr:uid="{37C4D055-D8DC-4EA8-A2A9-643AF8F9FA53}"/>
    <cellStyle name="Énfasis2 3 2" xfId="1391" xr:uid="{E2B077D2-CA9E-4B6B-A3B3-52716975B539}"/>
    <cellStyle name="Énfasis2 4" xfId="1392" xr:uid="{5EAEF7E2-4715-4A09-8BB2-29B5D6117DDD}"/>
    <cellStyle name="Énfasis3 10" xfId="1393" xr:uid="{8E8D6456-DF77-4481-BB06-D7E315F518E7}"/>
    <cellStyle name="Énfasis3 11" xfId="1394" xr:uid="{BE4BD4F3-6B5C-44B4-AA32-80A3A001374E}"/>
    <cellStyle name="Énfasis3 12" xfId="1395" xr:uid="{EE63FAD4-B7CE-44C1-AEB7-4FE2EA23FE10}"/>
    <cellStyle name="Énfasis3 13" xfId="1396" xr:uid="{567A28BC-12B5-4E6E-B6F8-19A16077F8BE}"/>
    <cellStyle name="Énfasis3 14" xfId="1397" xr:uid="{318C2E80-E31B-4B34-AA46-F05E3E23C4F9}"/>
    <cellStyle name="Énfasis3 15" xfId="1398" xr:uid="{89EEEE2F-74DB-4F36-8494-FFADFD8B5200}"/>
    <cellStyle name="Énfasis3 16" xfId="1399" xr:uid="{5565BA02-AB41-438A-960D-FBEA5B330769}"/>
    <cellStyle name="Énfasis3 17" xfId="1400" xr:uid="{E3FF3914-32DD-4A7B-9175-EA4976315057}"/>
    <cellStyle name="Énfasis3 18" xfId="1401" xr:uid="{16BC5577-8627-4F99-8D41-5FC4EFA8F42E}"/>
    <cellStyle name="Énfasis3 19" xfId="1402" xr:uid="{B7D2AD2B-835B-4416-8DF5-76845C6E78E4}"/>
    <cellStyle name="Énfasis3 2" xfId="1403" xr:uid="{F5A0DBBB-8AD7-4039-9C8F-3937A01F5CE7}"/>
    <cellStyle name="Énfasis3 2 2" xfId="1404" xr:uid="{A1B11BC1-9643-45CF-BD67-C9226800F716}"/>
    <cellStyle name="Énfasis3 20" xfId="1405" xr:uid="{BEE1C00E-AD06-45EE-9012-53CBD631275A}"/>
    <cellStyle name="Énfasis3 21" xfId="1406" xr:uid="{76DEA7D8-D374-4178-85AD-86F19F2FB485}"/>
    <cellStyle name="Énfasis3 22" xfId="1407" xr:uid="{FED4D367-A400-4EE8-A235-E0F7D39AE014}"/>
    <cellStyle name="Énfasis3 23" xfId="1408" xr:uid="{38EC811F-E366-4045-BD5A-D4812E275BCC}"/>
    <cellStyle name="Énfasis3 3" xfId="1409" xr:uid="{EC14B79F-DEF4-4DDF-BD0A-5AC9A5633DEB}"/>
    <cellStyle name="Énfasis3 3 2" xfId="1410" xr:uid="{660FC723-497F-4CD4-AFC4-BB0925F7F6C0}"/>
    <cellStyle name="Énfasis3 4" xfId="1411" xr:uid="{DB331E33-31B4-4AEA-8C18-F36658F8FDF2}"/>
    <cellStyle name="Énfasis3 5" xfId="1412" xr:uid="{7284ED01-CC78-43CF-AF56-45E7D64AD490}"/>
    <cellStyle name="Énfasis3 6" xfId="1413" xr:uid="{E2858B80-841F-4036-AB32-80331502A38D}"/>
    <cellStyle name="Énfasis3 7" xfId="1414" xr:uid="{1840F74F-8B2D-43B7-A854-E4871A7219C1}"/>
    <cellStyle name="Énfasis3 8" xfId="1415" xr:uid="{059A1056-01B1-4DC4-8CAF-F632A7B05630}"/>
    <cellStyle name="Énfasis3 9" xfId="1416" xr:uid="{999D046A-7918-4408-9411-374EB26B4C2C}"/>
    <cellStyle name="Énfasis4 10" xfId="1417" xr:uid="{6B62A987-6118-4D42-9551-FC499F1E6D56}"/>
    <cellStyle name="Énfasis4 11" xfId="1418" xr:uid="{5CB763AD-986E-4A50-8071-FB205E11FF98}"/>
    <cellStyle name="Énfasis4 12" xfId="1419" xr:uid="{44C1D07B-EF8B-4C4C-8143-8CBD881AFE01}"/>
    <cellStyle name="Énfasis4 13" xfId="1420" xr:uid="{553BE2D8-726D-4E62-B6F6-CD850481782F}"/>
    <cellStyle name="Énfasis4 14" xfId="1421" xr:uid="{FE291393-6AA9-4BFB-8F26-42DA35C2C1E9}"/>
    <cellStyle name="Énfasis4 15" xfId="1422" xr:uid="{1515C860-9668-4CA0-BAE1-713F64AD32CA}"/>
    <cellStyle name="Énfasis4 16" xfId="1423" xr:uid="{A4906240-C780-49E2-95D3-9FCB89BCED2C}"/>
    <cellStyle name="Énfasis4 17" xfId="1424" xr:uid="{DBD7BAFE-EE7B-4577-90F2-FA51B4313418}"/>
    <cellStyle name="Énfasis4 18" xfId="1425" xr:uid="{73218CFD-15E1-43A9-8927-058CBB0875D7}"/>
    <cellStyle name="Énfasis4 19" xfId="1426" xr:uid="{056E822A-CF82-412A-A23F-EA139C5E2770}"/>
    <cellStyle name="Énfasis4 2" xfId="1427" xr:uid="{604A3D5B-F855-49F5-99F7-342A76E3F923}"/>
    <cellStyle name="Énfasis4 2 2" xfId="1428" xr:uid="{6882A7A8-144F-4807-9CB5-16E9AFBFCDE8}"/>
    <cellStyle name="Énfasis4 20" xfId="1429" xr:uid="{00E10243-6CF8-4BBB-BA7A-74FB80C5EED3}"/>
    <cellStyle name="Énfasis4 21" xfId="1430" xr:uid="{4608629D-3B15-4D29-9A0E-1295B7F20DFF}"/>
    <cellStyle name="Énfasis4 22" xfId="1431" xr:uid="{8851A85A-6CA8-45CE-AAD8-B982348FC539}"/>
    <cellStyle name="Énfasis4 23" xfId="1432" xr:uid="{1F12CBA2-AB92-48B4-80AB-3DD44AF68DDA}"/>
    <cellStyle name="Énfasis4 3" xfId="1433" xr:uid="{3999F208-BE67-419E-9410-C6F09996EBB5}"/>
    <cellStyle name="Énfasis4 3 2" xfId="1434" xr:uid="{0BDE1529-E475-4FBD-822E-8074E2CCD5F5}"/>
    <cellStyle name="Énfasis4 4" xfId="1435" xr:uid="{FBD3C9F0-D602-496F-9A54-1E0E71139635}"/>
    <cellStyle name="Énfasis4 5" xfId="1436" xr:uid="{FED2BAB6-2F8D-4F91-954F-B13A8764FD64}"/>
    <cellStyle name="Énfasis4 6" xfId="1437" xr:uid="{BCB5A8E3-21FA-4FAE-97F6-F8E5688B3415}"/>
    <cellStyle name="Énfasis4 7" xfId="1438" xr:uid="{A1B377A4-BE52-4ED0-AC26-7560ADA5694B}"/>
    <cellStyle name="Énfasis4 8" xfId="1439" xr:uid="{D8CD040C-4D7E-46D0-BE35-70CE3A105887}"/>
    <cellStyle name="Énfasis4 9" xfId="1440" xr:uid="{F05B281B-2E4C-4C46-B679-88A75636BF36}"/>
    <cellStyle name="Énfasis5 10" xfId="1441" xr:uid="{025CE82F-C649-4924-A195-87ABADEB3D55}"/>
    <cellStyle name="Énfasis5 11" xfId="1442" xr:uid="{241C5FC8-1A54-40EA-86A9-584B9AFA5D55}"/>
    <cellStyle name="Énfasis5 12" xfId="1443" xr:uid="{A767BEC4-3874-440E-BF26-AE0905E7AAD3}"/>
    <cellStyle name="Énfasis5 13" xfId="1444" xr:uid="{E09AD23C-DF9F-4D87-B010-4EC5EB5E9317}"/>
    <cellStyle name="Énfasis5 14" xfId="1445" xr:uid="{34EA693C-7777-44EA-B961-EFD48CECDE0D}"/>
    <cellStyle name="Énfasis5 15" xfId="1446" xr:uid="{33A76175-1D35-49C3-875F-DC623EF474AE}"/>
    <cellStyle name="Énfasis5 16" xfId="1447" xr:uid="{03A32970-9B50-42D9-8E5D-79034734F508}"/>
    <cellStyle name="Énfasis5 17" xfId="1448" xr:uid="{3E0D4167-C585-494F-9E91-ECD9E5708449}"/>
    <cellStyle name="Énfasis5 18" xfId="1449" xr:uid="{D476941F-52FF-43E0-80F1-6E5F1C861EDE}"/>
    <cellStyle name="Énfasis5 19" xfId="1450" xr:uid="{C1662077-B8C3-4526-9028-668F001017C8}"/>
    <cellStyle name="Énfasis5 2" xfId="1451" xr:uid="{A541B05A-A8B4-4171-A69E-6187D03BE142}"/>
    <cellStyle name="Énfasis5 2 2" xfId="1452" xr:uid="{4D8CF07D-A90A-436D-9C5C-F0D0E4B6C2CB}"/>
    <cellStyle name="Énfasis5 20" xfId="1453" xr:uid="{C42C4648-6F8F-4895-869C-289C2374F91A}"/>
    <cellStyle name="Énfasis5 21" xfId="1454" xr:uid="{AEB89808-3E8E-4F05-90FB-73CEFDFDA8B4}"/>
    <cellStyle name="Énfasis5 22" xfId="1455" xr:uid="{D6090982-86AA-4CFA-87AA-E0A338F1A4EB}"/>
    <cellStyle name="Énfasis5 3" xfId="1456" xr:uid="{04B49505-3B54-4A0D-83D8-5B35CDCFF6D2}"/>
    <cellStyle name="Énfasis5 3 2" xfId="1457" xr:uid="{D788A77D-EDC7-41F0-95ED-C0F2FBD5C2C7}"/>
    <cellStyle name="Énfasis5 4" xfId="1458" xr:uid="{55444B2E-9676-4102-8771-04424C01364F}"/>
    <cellStyle name="Énfasis5 5" xfId="1459" xr:uid="{BB9C103E-03AA-4D9B-AF3F-1F2DDC247F65}"/>
    <cellStyle name="Énfasis5 6" xfId="1460" xr:uid="{63E66BB4-BC18-434D-B6C2-EDA88161E295}"/>
    <cellStyle name="Énfasis5 7" xfId="1461" xr:uid="{F633CE35-18CF-4D9C-9ECB-8AD0B6AFA97F}"/>
    <cellStyle name="Énfasis5 8" xfId="1462" xr:uid="{20E9F1ED-98C3-4BB8-905F-CC76223F289F}"/>
    <cellStyle name="Énfasis5 9" xfId="1463" xr:uid="{3A3D5DCB-46D3-42C4-A763-7387E0BBA1E8}"/>
    <cellStyle name="Énfasis6 10" xfId="1464" xr:uid="{2D8D0FF8-7F49-4E5E-9D3A-504C4F65F131}"/>
    <cellStyle name="Énfasis6 11" xfId="1465" xr:uid="{AEC65870-65F9-4E55-97DD-68446AD7FADC}"/>
    <cellStyle name="Énfasis6 12" xfId="1466" xr:uid="{A306E53F-6481-4506-9C89-A28F23BA9B3F}"/>
    <cellStyle name="Énfasis6 13" xfId="1467" xr:uid="{0CC328C5-2D0E-4480-97BF-1A3F5A95905C}"/>
    <cellStyle name="Énfasis6 14" xfId="1468" xr:uid="{DA6BF404-54B7-4DF0-BF06-62AD9639D1C3}"/>
    <cellStyle name="Énfasis6 15" xfId="1469" xr:uid="{A6558351-5496-499A-990D-3E859C806D95}"/>
    <cellStyle name="Énfasis6 16" xfId="1470" xr:uid="{A889ADEA-7640-4B8A-8C9E-1E78247F1000}"/>
    <cellStyle name="Énfasis6 17" xfId="1471" xr:uid="{F150FADF-158E-4DA7-A6BF-F391FB7058D9}"/>
    <cellStyle name="Énfasis6 18" xfId="1472" xr:uid="{E6EF97BF-03BF-4E04-8496-D5CB119EAE0C}"/>
    <cellStyle name="Énfasis6 19" xfId="1473" xr:uid="{E9BCE48A-88FB-4868-AA55-79FD094693DC}"/>
    <cellStyle name="Énfasis6 2" xfId="1474" xr:uid="{29FF5DD5-B120-42BA-9691-3873593C3889}"/>
    <cellStyle name="Énfasis6 2 2" xfId="1475" xr:uid="{7AC02AC6-0A79-4E1E-9BB6-AB40FA70DC8A}"/>
    <cellStyle name="Énfasis6 20" xfId="1476" xr:uid="{247E06E5-78E5-4B42-8C4F-5A382E12D2AC}"/>
    <cellStyle name="Énfasis6 21" xfId="1477" xr:uid="{E6D31335-27D2-47D3-BE31-F5B4463ECC25}"/>
    <cellStyle name="Énfasis6 22" xfId="1478" xr:uid="{0E4DBA65-8156-49C8-83A7-BFEB40ED8C7A}"/>
    <cellStyle name="Énfasis6 23" xfId="1479" xr:uid="{A56B6DF0-764C-4EDB-ACAF-B5B2982ED810}"/>
    <cellStyle name="Énfasis6 3" xfId="1480" xr:uid="{138673C8-8E26-417B-BB51-78939B8B7B28}"/>
    <cellStyle name="Énfasis6 3 2" xfId="1481" xr:uid="{F4FADD2E-88B2-4DDC-8C72-819654372325}"/>
    <cellStyle name="Énfasis6 4" xfId="1482" xr:uid="{B29EF4D2-6EEA-4760-8010-4FC9D137C396}"/>
    <cellStyle name="Énfasis6 5" xfId="1483" xr:uid="{70667618-9C6F-4044-9DDD-52B4E241AAAF}"/>
    <cellStyle name="Énfasis6 6" xfId="1484" xr:uid="{264DFD00-419B-4EE8-83AA-6580E1548D14}"/>
    <cellStyle name="Énfasis6 7" xfId="1485" xr:uid="{958853B0-A965-45CD-977B-243E3112CE15}"/>
    <cellStyle name="Énfasis6 8" xfId="1486" xr:uid="{B77FAAA8-1984-4DB2-835D-64F7150F8AF1}"/>
    <cellStyle name="Énfasis6 9" xfId="1487" xr:uid="{3E71A21A-C2FB-4078-B0D0-C75339162563}"/>
    <cellStyle name="Entrada 10" xfId="1488" xr:uid="{5F7FE924-0DC3-4F49-85D9-B13407D76B20}"/>
    <cellStyle name="Entrada 10 2" xfId="1489" xr:uid="{305E831B-C546-4483-95FC-482F6BDCAE14}"/>
    <cellStyle name="Entrada 10 2 2" xfId="1490" xr:uid="{8F0CE1AD-AC26-4EC1-8F82-679820AE55D5}"/>
    <cellStyle name="Entrada 10 3" xfId="1491" xr:uid="{76150C4C-653D-4F65-B113-16EF73169BE2}"/>
    <cellStyle name="Entrada 10 3 2" xfId="1492" xr:uid="{2B1B07D1-B8EC-4124-8D7D-59DEAAF0537C}"/>
    <cellStyle name="Entrada 10 3 3" xfId="1493" xr:uid="{54E0ED74-FFAE-41BA-9AB8-7B8236B9AE79}"/>
    <cellStyle name="Entrada 11" xfId="1494" xr:uid="{056C1E18-A90F-4A34-AE3A-1C336290F46C}"/>
    <cellStyle name="Entrada 11 2" xfId="1495" xr:uid="{5C67F861-6D82-44EF-9760-A74BED2A311D}"/>
    <cellStyle name="Entrada 11 2 2" xfId="1496" xr:uid="{18976EA6-98EC-4E42-9160-05A316AEBB43}"/>
    <cellStyle name="Entrada 11 3" xfId="1497" xr:uid="{1F2E0E81-37F7-4756-BD46-C21AABC4E253}"/>
    <cellStyle name="Entrada 11 3 2" xfId="1498" xr:uid="{FC2CB709-FC81-4378-B614-6175F0938A62}"/>
    <cellStyle name="Entrada 11 3 3" xfId="1499" xr:uid="{7AF5A7A3-084C-468A-B1F1-C60FD2A23085}"/>
    <cellStyle name="Entrada 12" xfId="1500" xr:uid="{B06C3A4C-0148-4ACA-B780-046D128A0A14}"/>
    <cellStyle name="Entrada 12 2" xfId="1501" xr:uid="{015E7944-1BC9-45E2-97A1-382D3D9C80AA}"/>
    <cellStyle name="Entrada 12 2 2" xfId="1502" xr:uid="{A53596DF-B7F7-4975-AAE8-486D15ACADCE}"/>
    <cellStyle name="Entrada 12 3" xfId="1503" xr:uid="{052DFEE8-4285-4F2C-8E40-B5E93A14DE8E}"/>
    <cellStyle name="Entrada 12 3 2" xfId="1504" xr:uid="{9A2B1B09-9E97-4B6B-A3CF-B87A81194748}"/>
    <cellStyle name="Entrada 12 3 3" xfId="1505" xr:uid="{4F5AEE64-BAA5-480A-96D3-7134ABAAFB92}"/>
    <cellStyle name="Entrada 13" xfId="1506" xr:uid="{0EB4EB00-FE12-4F53-AA7D-9D8CCE66EC59}"/>
    <cellStyle name="Entrada 13 2" xfId="1507" xr:uid="{8974525E-A80F-4BF5-97CB-34FE00891D7F}"/>
    <cellStyle name="Entrada 13 2 2" xfId="1508" xr:uid="{5198300F-43CE-4594-9ADA-249892603487}"/>
    <cellStyle name="Entrada 13 3" xfId="1509" xr:uid="{0CEA54F5-43C3-4F0B-B095-2B5AEF44F5FF}"/>
    <cellStyle name="Entrada 13 3 2" xfId="1510" xr:uid="{F1CC6708-9814-4132-ADF3-89B576B9A1C7}"/>
    <cellStyle name="Entrada 13 3 3" xfId="1511" xr:uid="{32833D97-30A0-493D-9008-814E76C3B1B4}"/>
    <cellStyle name="Entrada 14" xfId="1512" xr:uid="{4B717725-4FBD-4C0B-8895-1D77E447551E}"/>
    <cellStyle name="Entrada 14 2" xfId="1513" xr:uid="{42516466-23A1-4DCE-AA03-CC932A875122}"/>
    <cellStyle name="Entrada 14 2 2" xfId="1514" xr:uid="{9ABD55F7-B2D0-4853-BBD4-94F1BF284B4F}"/>
    <cellStyle name="Entrada 14 3" xfId="1515" xr:uid="{96BD2D52-1B5D-4862-A4C1-1448722E43C3}"/>
    <cellStyle name="Entrada 14 3 2" xfId="1516" xr:uid="{E323DC28-9E3C-4B9F-AFB5-1022AE3DB280}"/>
    <cellStyle name="Entrada 14 3 3" xfId="1517" xr:uid="{76594B63-68A4-4C48-8FFD-EBF0D7602D45}"/>
    <cellStyle name="Entrada 15" xfId="1518" xr:uid="{B97CEFF2-A423-4F19-96CA-EFCFB802CF97}"/>
    <cellStyle name="Entrada 15 2" xfId="1519" xr:uid="{73F975B7-C8E4-4783-825F-C42D7887CC4C}"/>
    <cellStyle name="Entrada 15 2 2" xfId="1520" xr:uid="{0BB9AB6A-7DB1-4507-B602-97522D3FC9A1}"/>
    <cellStyle name="Entrada 15 3" xfId="1521" xr:uid="{FC8AA070-B984-4264-94A1-F96C63208AFB}"/>
    <cellStyle name="Entrada 15 3 2" xfId="1522" xr:uid="{41C38EFA-085A-4F7E-BFA8-82EFC19BCA22}"/>
    <cellStyle name="Entrada 15 3 3" xfId="1523" xr:uid="{476A24F6-6283-477A-8E99-4E12F334DE71}"/>
    <cellStyle name="Entrada 16" xfId="1524" xr:uid="{F98A7B69-A816-4704-BFE7-52FEDE204423}"/>
    <cellStyle name="Entrada 16 2" xfId="1525" xr:uid="{93989119-D267-4A23-9937-639827AAEF00}"/>
    <cellStyle name="Entrada 16 2 2" xfId="1526" xr:uid="{81B5B868-4661-4DF4-8C41-F9453D09D4E2}"/>
    <cellStyle name="Entrada 16 3" xfId="1527" xr:uid="{6177BDEB-FB9E-4BA4-89FE-C38420E1F838}"/>
    <cellStyle name="Entrada 16 3 2" xfId="1528" xr:uid="{258C3A11-2494-42D2-81A3-ADFC17EDEFFB}"/>
    <cellStyle name="Entrada 16 3 3" xfId="1529" xr:uid="{11C77A55-9453-46E1-8F79-E4410C16A26B}"/>
    <cellStyle name="Entrada 17" xfId="1530" xr:uid="{1B6BA64D-2569-4E4A-ADA0-F2DD880CBCE3}"/>
    <cellStyle name="Entrada 17 2" xfId="1531" xr:uid="{41F77C35-EC2B-4648-B5DD-25F05D4B6AA3}"/>
    <cellStyle name="Entrada 17 2 2" xfId="1532" xr:uid="{56A9D9F9-A91E-493C-A98E-E9C7CEFE2734}"/>
    <cellStyle name="Entrada 17 3" xfId="1533" xr:uid="{8B579D82-A4E4-4017-AAF1-DA3BC42B5454}"/>
    <cellStyle name="Entrada 17 3 2" xfId="1534" xr:uid="{08BE4F40-FAA2-42A4-B112-2CEAAE6B3F5B}"/>
    <cellStyle name="Entrada 17 3 3" xfId="1535" xr:uid="{B168626E-C23B-4CDB-A118-70D6C1F50653}"/>
    <cellStyle name="Entrada 18" xfId="1536" xr:uid="{2B6A0536-1FEE-4CFC-A24A-62BFFDB622FC}"/>
    <cellStyle name="Entrada 18 2" xfId="1537" xr:uid="{127CDDD6-5BFA-4B19-A8C3-6043852A7BE2}"/>
    <cellStyle name="Entrada 18 2 2" xfId="1538" xr:uid="{C246A4EB-9BC0-4C42-8673-ED8E5C73DDFC}"/>
    <cellStyle name="Entrada 18 3" xfId="1539" xr:uid="{C4D21539-23E0-4168-B94D-9DB25E5F565F}"/>
    <cellStyle name="Entrada 18 3 2" xfId="1540" xr:uid="{42F29755-E3E6-41E9-8146-617CC7358AF2}"/>
    <cellStyle name="Entrada 18 3 3" xfId="1541" xr:uid="{83FB9E7B-F34E-47BF-AC31-539641D68DF9}"/>
    <cellStyle name="Entrada 19" xfId="1542" xr:uid="{4CAF8BA8-5CAB-4C78-AB78-40D550E7FDE7}"/>
    <cellStyle name="Entrada 19 2" xfId="1543" xr:uid="{226E5BEA-47E2-4D88-85D2-927234FFE7B0}"/>
    <cellStyle name="Entrada 19 2 2" xfId="1544" xr:uid="{C38B58BA-718B-4B38-BBE1-39D24638133A}"/>
    <cellStyle name="Entrada 19 3" xfId="1545" xr:uid="{C4AEA071-B77F-4C28-ADB3-A28D9011B33C}"/>
    <cellStyle name="Entrada 19 3 2" xfId="1546" xr:uid="{45B028D6-46D7-4213-8937-64F869F9BFAC}"/>
    <cellStyle name="Entrada 19 3 3" xfId="1547" xr:uid="{16AD2A79-68E1-4E9B-9A6D-A88CC3632CDE}"/>
    <cellStyle name="Entrada 2" xfId="1548" xr:uid="{ED79EE15-C9EF-4F5C-975F-69CB68C3475D}"/>
    <cellStyle name="Entrada 2 2" xfId="1549" xr:uid="{F9471CB6-3DD9-4C4C-8B6A-86A406BC54A6}"/>
    <cellStyle name="Entrada 2 2 2" xfId="1550" xr:uid="{9E99C6EB-7941-4E16-B539-2F94F85A8E2C}"/>
    <cellStyle name="Entrada 2 2 2 2" xfId="1551" xr:uid="{3CC99A82-DDAA-4764-A916-883FE1250320}"/>
    <cellStyle name="Entrada 2 2 3" xfId="1552" xr:uid="{9AA35702-87BD-4F02-9BAE-42A1346DB4EE}"/>
    <cellStyle name="Entrada 2 2 3 2" xfId="1553" xr:uid="{B01255AB-E451-4C6E-8183-2EC12CCEB982}"/>
    <cellStyle name="Entrada 2 2 3 3" xfId="1554" xr:uid="{0C1759DC-3C0B-41FF-AA45-E0D0992E4907}"/>
    <cellStyle name="Entrada 2 3" xfId="1555" xr:uid="{416E99B3-305F-4D6F-966E-5E1FE46B5F2A}"/>
    <cellStyle name="Entrada 2 3 2" xfId="1556" xr:uid="{0ECC8D02-66BC-4BE4-BBF5-F8593FB5A652}"/>
    <cellStyle name="Entrada 2 4" xfId="1557" xr:uid="{59F6412E-9C69-45D8-8EE8-D7B77A05297F}"/>
    <cellStyle name="Entrada 2 4 2" xfId="1558" xr:uid="{6FB24C7D-FEAD-458C-A0B5-C3CCA71A6B27}"/>
    <cellStyle name="Entrada 2 4 3" xfId="1559" xr:uid="{1E14119D-F754-4B34-9875-1E995AE99097}"/>
    <cellStyle name="Entrada 2 5" xfId="1560" xr:uid="{72FCAF84-84E0-4B85-BD72-F831C1E4BB5F}"/>
    <cellStyle name="Entrada 20" xfId="1561" xr:uid="{1FA4E4F9-0B5D-43DA-9C26-FB5DC9694191}"/>
    <cellStyle name="Entrada 20 2" xfId="1562" xr:uid="{55389D57-539A-4939-8EAC-B5E3BB45EAAD}"/>
    <cellStyle name="Entrada 20 2 2" xfId="1563" xr:uid="{D6F75C81-8D4A-4C00-BD6C-D886857DE25A}"/>
    <cellStyle name="Entrada 20 3" xfId="1564" xr:uid="{E2A01E57-D344-4C9B-82CA-39CBDDB95813}"/>
    <cellStyle name="Entrada 20 3 2" xfId="1565" xr:uid="{2FD2F488-FD2D-4A69-8D66-DF7B8833DE58}"/>
    <cellStyle name="Entrada 20 3 3" xfId="1566" xr:uid="{3DA8C331-A1A7-4C22-BBC5-C4CCDFE69D19}"/>
    <cellStyle name="Entrada 21" xfId="1567" xr:uid="{29CAF8B5-5A64-47DF-BDE2-83A8B360A493}"/>
    <cellStyle name="Entrada 22" xfId="1568" xr:uid="{206A89AF-3748-425E-89A9-9D2F45841280}"/>
    <cellStyle name="Entrada 22 2" xfId="1569" xr:uid="{22444546-95E7-4192-8FBC-01AF732C66EA}"/>
    <cellStyle name="Entrada 23" xfId="1570" xr:uid="{B9B88393-260A-498E-9592-1269937A5D5C}"/>
    <cellStyle name="Entrada 23 2" xfId="1571" xr:uid="{B52D82F5-1315-4238-824A-F400285B3658}"/>
    <cellStyle name="Entrada 23 3" xfId="1572" xr:uid="{DB1DC4C8-7BE0-4CC1-A6B3-F2FD8A9722C8}"/>
    <cellStyle name="Entrada 24" xfId="1573" xr:uid="{EC2F6730-E370-4E19-946D-BAEDBAD6F40A}"/>
    <cellStyle name="Entrada 3" xfId="1574" xr:uid="{BF51AC78-5467-4B2A-BEA0-B99C633D69B4}"/>
    <cellStyle name="Entrada 3 2" xfId="1575" xr:uid="{568C12E6-F963-465C-A5E2-86807760C9F0}"/>
    <cellStyle name="Entrada 3 2 2" xfId="1576" xr:uid="{425029FB-E312-452A-AF1B-EE0C52EA208B}"/>
    <cellStyle name="Entrada 3 3" xfId="1577" xr:uid="{67B02A18-398F-469D-9C13-FDDF5412D049}"/>
    <cellStyle name="Entrada 3 3 2" xfId="1578" xr:uid="{7C8989EB-8D7E-4117-A742-48CCBB89ACA6}"/>
    <cellStyle name="Entrada 3 3 3" xfId="1579" xr:uid="{C2431811-C7E6-4C6C-AAAC-3D3C4D1B9A1F}"/>
    <cellStyle name="Entrada 3 4" xfId="1580" xr:uid="{CB97DDCF-63B7-417D-BA58-4F88A53E0DC0}"/>
    <cellStyle name="Entrada 4" xfId="1581" xr:uid="{9265E4A3-6471-41C8-99C6-BF16842FBF63}"/>
    <cellStyle name="Entrada 4 2" xfId="1582" xr:uid="{60FFE21D-5E1F-495E-89A3-901508F53DE1}"/>
    <cellStyle name="Entrada 4 2 2" xfId="1583" xr:uid="{DD308B2C-BBCD-400F-85C7-82DD399A8960}"/>
    <cellStyle name="Entrada 4 3" xfId="1584" xr:uid="{97F4E4FF-8C01-4F9E-8C15-FDADDDE47F03}"/>
    <cellStyle name="Entrada 4 3 2" xfId="1585" xr:uid="{0FEB7DCD-C390-47BE-86F4-8E13E6312E6A}"/>
    <cellStyle name="Entrada 4 3 3" xfId="1586" xr:uid="{CD99D4B8-ECD4-4616-889A-90D3906FF88C}"/>
    <cellStyle name="Entrada 5" xfId="1587" xr:uid="{26D71312-940E-49EE-A5EF-B3D2AA4D0750}"/>
    <cellStyle name="Entrada 5 2" xfId="1588" xr:uid="{EF487275-DC35-42F8-A386-25FCE968E3B4}"/>
    <cellStyle name="Entrada 5 2 2" xfId="1589" xr:uid="{25500B1A-AA5B-4533-B22E-A7E99E06E899}"/>
    <cellStyle name="Entrada 5 3" xfId="1590" xr:uid="{4632A171-E2E5-4EB7-90A3-9FA0D5E966CF}"/>
    <cellStyle name="Entrada 5 3 2" xfId="1591" xr:uid="{30D3ACE8-9450-4F70-9E75-2059004AAEB6}"/>
    <cellStyle name="Entrada 5 3 3" xfId="1592" xr:uid="{F4DDFC79-9970-4E4B-A544-328F0F3911FC}"/>
    <cellStyle name="Entrada 6" xfId="1593" xr:uid="{0343A7A0-52C7-4F81-BAAB-C64A0E0C74B2}"/>
    <cellStyle name="Entrada 6 2" xfId="1594" xr:uid="{098DD9EC-6018-4AB2-9055-0BBDE1D809FB}"/>
    <cellStyle name="Entrada 6 2 2" xfId="1595" xr:uid="{4BB6BC95-6840-4E27-B1F2-DC7907A84CCD}"/>
    <cellStyle name="Entrada 6 3" xfId="1596" xr:uid="{3D4A6422-24BA-40CB-9EA3-AC6E0B533DE8}"/>
    <cellStyle name="Entrada 6 3 2" xfId="1597" xr:uid="{C1943F47-E972-43E3-A1D9-12C62F3974E2}"/>
    <cellStyle name="Entrada 6 3 3" xfId="1598" xr:uid="{A49A4658-A58C-460A-B7A6-64DC9ECF6FD5}"/>
    <cellStyle name="Entrada 7" xfId="1599" xr:uid="{FD4E0ED9-9AC0-4815-83CD-84B13F784539}"/>
    <cellStyle name="Entrada 7 2" xfId="1600" xr:uid="{5D3EA1CC-BBB6-4D76-A6C7-1F51FFBA45FB}"/>
    <cellStyle name="Entrada 7 2 2" xfId="1601" xr:uid="{A6350682-6A99-482B-A3AF-813D8665264A}"/>
    <cellStyle name="Entrada 7 3" xfId="1602" xr:uid="{75EF74FF-308E-4318-9A1B-E4136B5A5332}"/>
    <cellStyle name="Entrada 7 3 2" xfId="1603" xr:uid="{45C2B157-9659-4778-BC9E-F055EDF731A7}"/>
    <cellStyle name="Entrada 7 3 3" xfId="1604" xr:uid="{8CE69CB1-4A11-4E1A-9ABD-7D17C898768E}"/>
    <cellStyle name="Entrada 8" xfId="1605" xr:uid="{74BE998A-4DE4-4B0C-8631-8BB10720123C}"/>
    <cellStyle name="Entrada 8 2" xfId="1606" xr:uid="{64A92268-2575-4D18-9CA9-4EE935D9FD86}"/>
    <cellStyle name="Entrada 8 2 2" xfId="1607" xr:uid="{BCC9A6D7-37F2-42BF-81F5-4FBAE1D84710}"/>
    <cellStyle name="Entrada 8 3" xfId="1608" xr:uid="{08518B86-35A5-4212-8D10-10B329673739}"/>
    <cellStyle name="Entrada 8 3 2" xfId="1609" xr:uid="{EA8307B9-BF3F-4FA8-B8E2-E9C38E11207C}"/>
    <cellStyle name="Entrada 8 3 3" xfId="1610" xr:uid="{2444FCB8-FBCF-4772-8E0A-87DDD9BA2AAF}"/>
    <cellStyle name="Entrada 9" xfId="1611" xr:uid="{56576ED3-4262-4EF8-93E8-BD0E0B45C7A4}"/>
    <cellStyle name="Entrada 9 2" xfId="1612" xr:uid="{DE188506-3146-4615-A134-8ECDC7B40EA4}"/>
    <cellStyle name="Entrada 9 2 2" xfId="1613" xr:uid="{889156A8-D3F0-499A-847D-0DBCDBBF59FB}"/>
    <cellStyle name="Entrada 9 3" xfId="1614" xr:uid="{EA4EC424-FE57-4E99-8D2C-DD45913292F9}"/>
    <cellStyle name="Entrada 9 3 2" xfId="1615" xr:uid="{03876967-787F-4282-8964-008A51B58F69}"/>
    <cellStyle name="Entrada 9 3 3" xfId="1616" xr:uid="{A8FB3F7F-A9CB-4459-A8E0-C44518312B9E}"/>
    <cellStyle name="Estilo 1" xfId="1617" xr:uid="{AB06D87E-ACE8-45B6-8526-3D355AE61243}"/>
    <cellStyle name="Euro" xfId="1618" xr:uid="{F3531895-1191-405A-9473-36CD068B0E36}"/>
    <cellStyle name="Euro 10" xfId="1619" xr:uid="{41EE385E-D968-4F38-B15A-0574B7192EC8}"/>
    <cellStyle name="Euro 10 2" xfId="1620" xr:uid="{8F75C066-BB01-4F6B-86C3-291F44D597E9}"/>
    <cellStyle name="Euro 11" xfId="1621" xr:uid="{2269F18B-9EED-4460-A189-6C1D8F392AF5}"/>
    <cellStyle name="Euro 11 2" xfId="1622" xr:uid="{917E35D3-EFB7-463A-895A-7C798618C9AE}"/>
    <cellStyle name="Euro 12" xfId="1623" xr:uid="{0B40040F-E5E5-4B06-9D82-7E68A3916E77}"/>
    <cellStyle name="Euro 12 2" xfId="1624" xr:uid="{D51900E0-19BE-48E8-8BD4-133ED39BFE42}"/>
    <cellStyle name="Euro 13" xfId="1625" xr:uid="{6A8B97F7-304B-4715-986E-1205E7F95F2A}"/>
    <cellStyle name="Euro 13 2" xfId="1626" xr:uid="{C43C180C-AA41-4EE7-8E86-587C104E49EB}"/>
    <cellStyle name="Euro 14" xfId="1627" xr:uid="{60A11B00-C6D7-4549-B48E-B49EC194CD98}"/>
    <cellStyle name="Euro 14 2" xfId="1628" xr:uid="{6EA5C13A-4D9A-47B9-A3F3-AD5D4B107E93}"/>
    <cellStyle name="Euro 15" xfId="1629" xr:uid="{FAD3FBF9-0493-4628-A522-F6D36EF14E3C}"/>
    <cellStyle name="Euro 15 2" xfId="1630" xr:uid="{D6C2DA79-F1AF-411F-99AD-E895DB14EE02}"/>
    <cellStyle name="Euro 16" xfId="1631" xr:uid="{8C0EA0E2-41BF-4F0A-AC4C-D44728E4F0B6}"/>
    <cellStyle name="Euro 16 2" xfId="1632" xr:uid="{8F95506F-7752-40B3-8E82-5A733509BE1F}"/>
    <cellStyle name="Euro 17" xfId="1633" xr:uid="{64A0435E-CB6C-486C-8269-B4AF85C7C50D}"/>
    <cellStyle name="Euro 17 2" xfId="1634" xr:uid="{BC498E0D-F0B9-425D-B792-5A064D4C4C4F}"/>
    <cellStyle name="Euro 18" xfId="1635" xr:uid="{7627C9D0-828C-44F6-9F18-45069403B2C3}"/>
    <cellStyle name="Euro 18 2" xfId="1636" xr:uid="{D1507891-6B81-47A4-8BBA-17C49D1EF299}"/>
    <cellStyle name="Euro 19" xfId="1637" xr:uid="{75332305-75D3-475E-9982-AEDF8EC43427}"/>
    <cellStyle name="Euro 19 2" xfId="1638" xr:uid="{35AAB3A5-2672-4759-8570-2CAAECB740DC}"/>
    <cellStyle name="Euro 2" xfId="1639" xr:uid="{E0F5BB34-70C9-465F-AFB5-5B0A53ACF94F}"/>
    <cellStyle name="Euro 2 2" xfId="1640" xr:uid="{00866D66-FB49-4C0D-BAC2-C69017F16E78}"/>
    <cellStyle name="Euro 2 3" xfId="1641" xr:uid="{9639A1F5-09AC-4A73-8BE4-4C717FA5E406}"/>
    <cellStyle name="Euro 2 4" xfId="1642" xr:uid="{8A8BA3FF-7B19-4D80-ABC5-85F8EDE0F80B}"/>
    <cellStyle name="Euro 20" xfId="1643" xr:uid="{AD9B0B01-4389-45D1-8CAF-979C30730B0D}"/>
    <cellStyle name="Euro 20 2" xfId="1644" xr:uid="{9F8D8C1E-150F-4A1E-B3C7-9A0EA370EA25}"/>
    <cellStyle name="Euro 21" xfId="1645" xr:uid="{FAD748F0-1CBB-4FF3-94E9-4A32F65F68BC}"/>
    <cellStyle name="Euro 21 2" xfId="1646" xr:uid="{37FE3AD3-FD9C-4DD1-AF29-50D6CAE9970E}"/>
    <cellStyle name="Euro 22" xfId="1647" xr:uid="{11679AE2-2E19-427E-8E38-DC5E655D10BA}"/>
    <cellStyle name="Euro 22 2" xfId="1648" xr:uid="{81C45879-3366-4B65-97FF-AADFEC0BCEA2}"/>
    <cellStyle name="Euro 23" xfId="1649" xr:uid="{020ACE3E-F904-4D44-8022-B6D8D9B2949C}"/>
    <cellStyle name="Euro 23 2" xfId="1650" xr:uid="{9408E36A-9ED0-4CE1-90C8-0D10B16B598E}"/>
    <cellStyle name="Euro 24" xfId="1651" xr:uid="{F2C0B2F9-0FD5-4816-8F76-3FA99AD2E471}"/>
    <cellStyle name="Euro 24 2" xfId="1652" xr:uid="{653C9394-A003-4A82-94F4-7BFC38EA1674}"/>
    <cellStyle name="Euro 25" xfId="1653" xr:uid="{1233B0B8-8B50-468F-99AC-45097FC9A481}"/>
    <cellStyle name="Euro 25 2" xfId="1654" xr:uid="{10038130-DCDB-4167-A07E-CE6B225D3C6B}"/>
    <cellStyle name="Euro 26" xfId="1655" xr:uid="{EE121A3C-DE34-497A-8E18-E1CF72293123}"/>
    <cellStyle name="Euro 26 2" xfId="1656" xr:uid="{C026E106-C075-4D5B-86EE-6EB51FD7749E}"/>
    <cellStyle name="Euro 27" xfId="1657" xr:uid="{9AFDA2F3-6FAA-4006-A0E0-C10AD2B4DF78}"/>
    <cellStyle name="Euro 27 2" xfId="1658" xr:uid="{F0C085CD-0EBC-4EA0-BF4E-8F8E55ABAD83}"/>
    <cellStyle name="Euro 28" xfId="1659" xr:uid="{30BCE840-9C7D-4AB6-8CA8-20222E321835}"/>
    <cellStyle name="Euro 28 2" xfId="1660" xr:uid="{6AA47567-F95C-405E-8A4E-9BABCADE438F}"/>
    <cellStyle name="Euro 29" xfId="1661" xr:uid="{EE9042A5-CC96-4F99-B8E8-5CE52A9F39E6}"/>
    <cellStyle name="Euro 29 2" xfId="1662" xr:uid="{AF4F0AC5-DEC5-4962-9955-8706AC5E3AD8}"/>
    <cellStyle name="Euro 3" xfId="1663" xr:uid="{80ED6519-42EA-4C6B-8212-DEEBEBB718C0}"/>
    <cellStyle name="Euro 3 2" xfId="1664" xr:uid="{064255DC-77E7-41FB-B50D-645027D15D6D}"/>
    <cellStyle name="Euro 3 3" xfId="1665" xr:uid="{9E254486-9DC3-4C74-B1F5-CC87A88F5DC2}"/>
    <cellStyle name="Euro 3 4" xfId="1666" xr:uid="{1B76166F-F9F6-46E4-B6BE-CBC0351714C4}"/>
    <cellStyle name="Euro 30" xfId="1667" xr:uid="{7F5C3BF7-73D1-44F4-81F4-AAE6CB1C8ABF}"/>
    <cellStyle name="Euro 30 2" xfId="1668" xr:uid="{2A0F68A6-00BA-41E1-B9A4-62ED528FD589}"/>
    <cellStyle name="Euro 31" xfId="1669" xr:uid="{A5EFDF00-7E22-4D04-B513-31FD7FF86E99}"/>
    <cellStyle name="Euro 31 2" xfId="1670" xr:uid="{0ED251BB-C06F-4646-941D-922A1347D59B}"/>
    <cellStyle name="Euro 32" xfId="1671" xr:uid="{1D922133-BDA7-4BDC-9AAC-42491FA9DBDD}"/>
    <cellStyle name="Euro 32 2" xfId="1672" xr:uid="{9DA41BC3-26FE-4770-A99D-E49BB39E4A83}"/>
    <cellStyle name="Euro 33" xfId="1673" xr:uid="{1C50F441-2FEA-4D46-B5C2-22F842E0CED3}"/>
    <cellStyle name="Euro 33 2" xfId="1674" xr:uid="{10BFE595-A205-4338-B710-7AE7FC5E93C4}"/>
    <cellStyle name="Euro 34" xfId="1675" xr:uid="{45B6958C-5430-45C2-B7CA-B5C4531A9668}"/>
    <cellStyle name="Euro 34 2" xfId="1676" xr:uid="{E506E141-01E2-49AD-84A6-CE9F0CD52A12}"/>
    <cellStyle name="Euro 35" xfId="1677" xr:uid="{ABFD803B-7191-4F0E-ABE5-52A824BA2977}"/>
    <cellStyle name="Euro 35 2" xfId="1678" xr:uid="{D7332B24-AD3E-4756-9E44-C155B0A9F7ED}"/>
    <cellStyle name="Euro 36" xfId="1679" xr:uid="{37C2A5EB-0CB7-4402-82D8-7C95E8366570}"/>
    <cellStyle name="Euro 36 2" xfId="1680" xr:uid="{F93806C2-24C1-4C8E-BEAC-F737528EA22E}"/>
    <cellStyle name="Euro 37" xfId="1681" xr:uid="{8664C065-365B-4715-A3EF-7D48F806E963}"/>
    <cellStyle name="Euro 37 2" xfId="1682" xr:uid="{868E7C49-4D8F-4231-B745-0F6304DA43AF}"/>
    <cellStyle name="Euro 38" xfId="1683" xr:uid="{ECE70C1E-0962-4226-A2C6-56B1B37970ED}"/>
    <cellStyle name="Euro 39" xfId="1684" xr:uid="{16308CC6-8CDF-41DE-8519-8456E97D894A}"/>
    <cellStyle name="Euro 4" xfId="1685" xr:uid="{DEA216A8-2BE5-4201-B8AD-5E512DAF1A86}"/>
    <cellStyle name="Euro 4 2" xfId="1686" xr:uid="{CCCC13B0-7A2E-43B4-A73A-6412DF78569A}"/>
    <cellStyle name="Euro 4 3" xfId="1687" xr:uid="{D5503E91-E698-422F-ADD6-5ACE1123459A}"/>
    <cellStyle name="Euro 40" xfId="1688" xr:uid="{DCC280A2-8B63-47F8-BDB4-A7F9ECB01BBE}"/>
    <cellStyle name="Euro 41" xfId="1689" xr:uid="{70346819-CEDD-4CC9-B6D7-12A853F39107}"/>
    <cellStyle name="Euro 42" xfId="1690" xr:uid="{394C6F1F-7C37-4063-B62E-3B2F5DF967A6}"/>
    <cellStyle name="Euro 43" xfId="1691" xr:uid="{54837E03-7DE8-4AB6-A469-491E4124E2C1}"/>
    <cellStyle name="Euro 44" xfId="1692" xr:uid="{61FECF07-F8BC-4AFA-A1EE-7A6CB4CB8BA6}"/>
    <cellStyle name="Euro 45" xfId="1693" xr:uid="{DCE171C8-D36A-4ACD-B45F-08758B89546E}"/>
    <cellStyle name="Euro 46" xfId="1694" xr:uid="{102DC3CC-9946-4039-A00C-95907F40101C}"/>
    <cellStyle name="Euro 47" xfId="1695" xr:uid="{5C08BDF7-BE94-448A-B48E-78FA9F34F207}"/>
    <cellStyle name="Euro 48" xfId="1696" xr:uid="{9C09009A-D19E-4C38-B313-FC09815C6018}"/>
    <cellStyle name="Euro 49" xfId="1697" xr:uid="{6AD11AE8-0CFA-4624-A6A0-EB5382D2CBED}"/>
    <cellStyle name="Euro 5" xfId="1698" xr:uid="{EC785156-8B91-42A3-ADFC-94BDD271E950}"/>
    <cellStyle name="Euro 5 2" xfId="1699" xr:uid="{5C97D582-2C6E-420C-B072-E6B71B6FA0C9}"/>
    <cellStyle name="Euro 50" xfId="1700" xr:uid="{735D9DE3-0E4D-4A25-81FB-D7BB903C7861}"/>
    <cellStyle name="Euro 51" xfId="1701" xr:uid="{0029F968-EDFB-432A-87CF-9A7C006D2108}"/>
    <cellStyle name="Euro 52" xfId="1702" xr:uid="{FF078C83-2FD8-4031-9A3B-7C26563EABCD}"/>
    <cellStyle name="Euro 53" xfId="1703" xr:uid="{284264B5-1967-4074-AACB-CA93303CDAA1}"/>
    <cellStyle name="Euro 54" xfId="1704" xr:uid="{9DF45664-6FD4-4E45-B6EE-6E46D125CA51}"/>
    <cellStyle name="Euro 55" xfId="1705" xr:uid="{EBE1A774-D3F6-47D0-A149-688487D99B59}"/>
    <cellStyle name="Euro 56" xfId="1706" xr:uid="{94D6E63D-5767-4DC0-8183-77B971116895}"/>
    <cellStyle name="Euro 57" xfId="1707" xr:uid="{D959FA48-2CC7-442D-9F5D-F31BEA8287EE}"/>
    <cellStyle name="Euro 58" xfId="1708" xr:uid="{D2046CB7-B667-4AC1-8E90-11835FD50E71}"/>
    <cellStyle name="Euro 59" xfId="1709" xr:uid="{5676826A-E080-414D-96CE-C3E2608EA74D}"/>
    <cellStyle name="Euro 6" xfId="1710" xr:uid="{92BBFEC7-6981-413F-B48D-E7F2DDEB1CF9}"/>
    <cellStyle name="Euro 6 2" xfId="1711" xr:uid="{A9249FA9-866F-40B8-802F-C7320E4E32E3}"/>
    <cellStyle name="Euro 60" xfId="1712" xr:uid="{EFAEB71B-9E3A-46B3-865A-F46DF550E85F}"/>
    <cellStyle name="Euro 61" xfId="1713" xr:uid="{F29E8F19-84E7-446A-BDE3-D2FAA4D7CDF8}"/>
    <cellStyle name="Euro 62" xfId="1714" xr:uid="{722E19DE-023C-4E5B-8952-1A58EB6687E8}"/>
    <cellStyle name="Euro 63" xfId="1715" xr:uid="{D88BFC3E-65E5-4B70-909B-20BF1FA638AE}"/>
    <cellStyle name="Euro 64" xfId="1716" xr:uid="{C836D30F-A684-4CDB-94FE-E4B4E0FBBFBB}"/>
    <cellStyle name="Euro 65" xfId="1717" xr:uid="{69C7F34C-071C-48FC-B2EE-C3B80CA149BD}"/>
    <cellStyle name="Euro 66" xfId="1718" xr:uid="{76E08BE5-8B5D-4F3C-90D4-073D4321440E}"/>
    <cellStyle name="Euro 7" xfId="1719" xr:uid="{8EDF7662-6F33-4E2D-97AD-B874B31D81B6}"/>
    <cellStyle name="Euro 7 2" xfId="1720" xr:uid="{C65F83CA-BF0B-4A22-A046-8F007F5B0E4E}"/>
    <cellStyle name="Euro 8" xfId="1721" xr:uid="{9F2DDC2A-1824-41AE-9B8F-B2E5E30A6FDC}"/>
    <cellStyle name="Euro 8 2" xfId="1722" xr:uid="{8949C716-2DA7-4201-A5B1-D238AAC423D6}"/>
    <cellStyle name="Euro 9" xfId="1723" xr:uid="{EFF64514-AD81-47F5-BE9E-72BD008F6BA2}"/>
    <cellStyle name="Euro 9 2" xfId="1724" xr:uid="{14EB4D4C-CDEF-4B92-802D-6573CFB93268}"/>
    <cellStyle name="Euro_SIC PNLP Gx" xfId="1725" xr:uid="{B151913C-91E7-4FA8-A463-DA65D1B005AC}"/>
    <cellStyle name="Explanatory Text" xfId="457" builtinId="53" customBuiltin="1"/>
    <cellStyle name="Explanatory Text 2" xfId="397" xr:uid="{069A75C7-9741-408D-8831-A1334486F739}"/>
    <cellStyle name="Explanatory Text 2 2" xfId="1726" xr:uid="{A584115D-9D86-416A-B23F-4C8C0E939869}"/>
    <cellStyle name="F2" xfId="1727" xr:uid="{1D935944-D007-4DBC-A59F-41FA99E73E10}"/>
    <cellStyle name="F2 2" xfId="1728" xr:uid="{FA0A8855-E041-4621-A7AB-D01116F12728}"/>
    <cellStyle name="F3" xfId="1729" xr:uid="{39F61BF4-AED0-40C2-BE3A-AFF1B45FC349}"/>
    <cellStyle name="F3 2" xfId="1730" xr:uid="{68BDECEA-FCFE-41D9-A4CE-3F817265B366}"/>
    <cellStyle name="F4" xfId="1731" xr:uid="{F6F090E4-471B-43C7-A4B6-C16881049E0B}"/>
    <cellStyle name="F4 2" xfId="1732" xr:uid="{01EDE3E3-6978-4ED9-9BA9-FCB9073CAC87}"/>
    <cellStyle name="F5" xfId="1733" xr:uid="{B417F74B-18A9-462C-8130-842BB0744BBA}"/>
    <cellStyle name="F5 2" xfId="1734" xr:uid="{38D720F1-F165-4A20-9391-3737BBC0AE2E}"/>
    <cellStyle name="F6" xfId="1735" xr:uid="{35E4E9D6-BC3D-4411-A4F3-0D2E3C7D40F4}"/>
    <cellStyle name="F6 2" xfId="1736" xr:uid="{41ABBA39-C2BB-46D2-91E1-2CC589634952}"/>
    <cellStyle name="F7" xfId="1737" xr:uid="{98BDFC6A-5D5F-4D02-B3D3-511FD1458772}"/>
    <cellStyle name="F7 2" xfId="1738" xr:uid="{001613C3-57BB-492E-A6D7-FABFDF523673}"/>
    <cellStyle name="F8" xfId="1739" xr:uid="{40E20E01-54A8-4064-BFBF-98AC04293D41}"/>
    <cellStyle name="F8 2" xfId="1740" xr:uid="{01EC0D3F-BF12-426D-A995-635F50275996}"/>
    <cellStyle name="Fecha" xfId="1741" xr:uid="{80ED6873-27C9-4DD7-B5FF-34EE4B563608}"/>
    <cellStyle name="Fijo" xfId="1742" xr:uid="{DB260421-E824-4974-BB9A-5CC1A28593F5}"/>
    <cellStyle name="Fijo 2" xfId="1743" xr:uid="{BC1A7A55-639C-4C7A-BE09-3220EA078DD8}"/>
    <cellStyle name="Financiero" xfId="1744" xr:uid="{B8031810-DE46-447E-8393-3970D961305E}"/>
    <cellStyle name="Fixed" xfId="1745" xr:uid="{BC7DF0F5-494B-4391-B74F-0CE63D94E822}"/>
    <cellStyle name="Fixed 2" xfId="1746" xr:uid="{FB79B949-614D-45BC-8E05-D13381699D52}"/>
    <cellStyle name="Good" xfId="449" builtinId="26" customBuiltin="1"/>
    <cellStyle name="Good 2" xfId="406" xr:uid="{F33B73EB-076B-4037-83A1-2756D77D6A13}"/>
    <cellStyle name="Good 2 2" xfId="1747" xr:uid="{C334B954-1D4B-40F2-B9EE-1E54026AFB37}"/>
    <cellStyle name="Heading 1" xfId="445" builtinId="16" customBuiltin="1"/>
    <cellStyle name="Heading 1 2" xfId="410" xr:uid="{B2C7F985-ED47-4BBD-8CE2-7FCEFAF2757D}"/>
    <cellStyle name="Heading 1 2 2" xfId="1748" xr:uid="{89ACBBFB-C45B-4949-A869-B902F7E1F618}"/>
    <cellStyle name="Heading 2" xfId="446" builtinId="17" customBuiltin="1"/>
    <cellStyle name="Heading 2 2" xfId="409" xr:uid="{9DF8BAB9-D0B9-4285-9121-2127E8B123FC}"/>
    <cellStyle name="Heading 2 2 2" xfId="1749" xr:uid="{DF7EE99A-EFC2-40B5-BA24-FB9CB4D35118}"/>
    <cellStyle name="Heading 3" xfId="447" builtinId="18" customBuiltin="1"/>
    <cellStyle name="Heading 3 2" xfId="408" xr:uid="{C592508D-0A7D-498D-AD31-88954F711543}"/>
    <cellStyle name="Heading 3 2 2" xfId="1750" xr:uid="{15F698F2-3938-45EE-8566-F60574821EEC}"/>
    <cellStyle name="Heading 4" xfId="448" builtinId="19" customBuiltin="1"/>
    <cellStyle name="Heading 4 2" xfId="407" xr:uid="{D58CAB2E-39E5-4D11-9C58-BD31344D069F}"/>
    <cellStyle name="Heading 4 2 2" xfId="1751" xr:uid="{ADE0A1B4-6EE0-41D0-A983-23A90F0021A2}"/>
    <cellStyle name="Heading1" xfId="1752" xr:uid="{493355B3-E1AA-4285-8748-06D97883832E}"/>
    <cellStyle name="Heading1 2" xfId="1753" xr:uid="{1C67C8A9-4AA0-4EC9-B272-5B91E938D08B}"/>
    <cellStyle name="Heading2" xfId="1754" xr:uid="{68E35BFE-7E46-430A-9028-F5C2034869A3}"/>
    <cellStyle name="Heading2 2" xfId="1755" xr:uid="{43EA1405-064C-493B-8872-8A66F59398EE}"/>
    <cellStyle name="Hipervínculo 2" xfId="1756" xr:uid="{8E96A2F9-F3ED-421B-AC1A-0EFECD86AC02}"/>
    <cellStyle name="Hipervínculo 2 2" xfId="1757" xr:uid="{358E4656-6DF7-4B5A-B5F9-B25BAB7324E9}"/>
    <cellStyle name="Hyperlink" xfId="4" builtinId="8"/>
    <cellStyle name="Hyperlink 2" xfId="362" xr:uid="{C6DD8616-780F-492A-A9DD-FAFD99A57243}"/>
    <cellStyle name="Hyperlink 2 2" xfId="1758" xr:uid="{BCA040FF-2740-483B-B359-CE0246BC65AA}"/>
    <cellStyle name="Hyperlink 3" xfId="429" xr:uid="{8CD3817D-E70F-4463-9A5D-9FE85E9ED1BC}"/>
    <cellStyle name="Incorrecto 2" xfId="1759" xr:uid="{BD2682C7-3342-4BAA-B656-701022F00539}"/>
    <cellStyle name="Incorrecto 2 2" xfId="1760" xr:uid="{CAF30C9F-94BE-46A3-817A-DB8C049BED15}"/>
    <cellStyle name="Incorrecto 3" xfId="1761" xr:uid="{CEC74F0D-E10F-4F68-992F-B47AB83C4670}"/>
    <cellStyle name="Incorrecto 3 2" xfId="1762" xr:uid="{C23ADDF8-BC9E-44C0-9018-9D4AB20E7598}"/>
    <cellStyle name="Incorrecto 4" xfId="1763" xr:uid="{092025C1-E723-47D5-B2AF-69B9EC99ECE6}"/>
    <cellStyle name="Input" xfId="451" builtinId="20" customBuiltin="1"/>
    <cellStyle name="Input 2" xfId="403" xr:uid="{8B8A2FB3-DDCF-41E4-A366-7B3EDC92AD74}"/>
    <cellStyle name="Input 2 2" xfId="1764" xr:uid="{0BEC6109-6541-4C74-9CE8-0EC1EE3F414B}"/>
    <cellStyle name="Linked Cell" xfId="454" builtinId="24" customBuiltin="1"/>
    <cellStyle name="Linked Cell 2" xfId="400" xr:uid="{CC2A473A-8D4A-4E2B-B73A-EED6936158A3}"/>
    <cellStyle name="Linked Cell 2 2" xfId="1765" xr:uid="{1D6EDC62-628A-49EB-93FD-A6EB811C4675}"/>
    <cellStyle name="Millares [0] 2" xfId="1766" xr:uid="{3A51F6A5-FB06-445A-8C6C-07DAF231194F}"/>
    <cellStyle name="Millares [0] 2 10" xfId="1767" xr:uid="{8D330AF9-87EF-496F-B91E-3571C8A93FA3}"/>
    <cellStyle name="Millares [0] 2 2" xfId="1768" xr:uid="{E9958D08-6369-418A-A058-622089562F09}"/>
    <cellStyle name="Millares [0] 2 2 2" xfId="1769" xr:uid="{44CDAEE8-6D69-4B57-8410-F11A2968B358}"/>
    <cellStyle name="Millares [0] 2 2 2 2" xfId="1770" xr:uid="{4FE03EC7-1BFC-4A34-ABA9-3267C37895E1}"/>
    <cellStyle name="Millares [0] 2 2 2 3" xfId="1771" xr:uid="{4EB81C6A-0751-463F-912A-7844D7DA70A5}"/>
    <cellStyle name="Millares [0] 2 2 2 3 2" xfId="1772" xr:uid="{1281294D-1498-47C5-9DC0-1121F3479BD7}"/>
    <cellStyle name="Millares [0] 2 2 2 4" xfId="1773" xr:uid="{64ED5BBA-5C4A-48D4-8720-647C6FC07C42}"/>
    <cellStyle name="Millares [0] 2 2 2 4 2" xfId="1774" xr:uid="{9434C67D-0671-45CF-BA7B-DF9ADD7B1929}"/>
    <cellStyle name="Millares [0] 2 2 2 4 3" xfId="1775" xr:uid="{4A982E6C-1A39-4BC4-8C5F-FD73014FE0D5}"/>
    <cellStyle name="Millares [0] 2 2 2 5" xfId="1776" xr:uid="{EF7ACE68-711D-4379-B650-2D512E4FF107}"/>
    <cellStyle name="Millares [0] 2 2 2 5 2" xfId="1777" xr:uid="{8D14F0D6-B732-4633-8BAA-E5A73E2CB5B9}"/>
    <cellStyle name="Millares [0] 2 2 2 5 3" xfId="1778" xr:uid="{41E3A617-72FD-4656-BAAD-359F9549CF9A}"/>
    <cellStyle name="Millares [0] 2 2 2 6" xfId="1779" xr:uid="{59D7A4D0-A90C-45CF-95A9-354544A58972}"/>
    <cellStyle name="Millares [0] 2 2 3" xfId="1780" xr:uid="{E7A6F0B0-C72D-4B29-847B-C340180CBEC9}"/>
    <cellStyle name="Millares [0] 2 2 4" xfId="1781" xr:uid="{21DF57FF-73B5-4A1A-AB40-7B543A8A359D}"/>
    <cellStyle name="Millares [0] 2 2 5" xfId="1782" xr:uid="{9BAB1F0B-25C3-4337-B23B-A4D8A7D21395}"/>
    <cellStyle name="Millares [0] 2 2 6" xfId="1783" xr:uid="{F444E3DF-BE45-4411-8A95-A390F78C43E3}"/>
    <cellStyle name="Millares [0] 2 2 7" xfId="1784" xr:uid="{61BA2C5C-BD06-40FD-AD30-E4CA937A4686}"/>
    <cellStyle name="Millares [0] 2 2 8" xfId="1785" xr:uid="{87AC66BF-4BA9-4EE2-8734-8A6BD2313498}"/>
    <cellStyle name="Millares [0] 2 3" xfId="1786" xr:uid="{4856B626-B08B-4942-ACAF-BD45BD89ABCB}"/>
    <cellStyle name="Millares [0] 2 4" xfId="1787" xr:uid="{378325CF-3CAF-4A0C-81C3-D8BFE8561F79}"/>
    <cellStyle name="Millares [0] 2 4 2" xfId="1788" xr:uid="{82694231-5601-4C02-BFA0-29815006299E}"/>
    <cellStyle name="Millares [0] 2 4 3" xfId="1789" xr:uid="{F2E1A158-AE6B-4880-A485-EA66E6D2547E}"/>
    <cellStyle name="Millares [0] 2 4 3 2" xfId="1790" xr:uid="{CAE41918-9663-4088-AD1D-8E38128609AE}"/>
    <cellStyle name="Millares [0] 2 4 4" xfId="1791" xr:uid="{7DDB8846-02AA-4E3C-856C-A953A33E4116}"/>
    <cellStyle name="Millares [0] 2 4 4 2" xfId="1792" xr:uid="{65DCD6C7-744C-4E4E-B6A4-B35274C36D16}"/>
    <cellStyle name="Millares [0] 2 4 4 3" xfId="1793" xr:uid="{EADC96E7-3BB1-4FC6-908A-81A58B2E56F0}"/>
    <cellStyle name="Millares [0] 2 4 5" xfId="1794" xr:uid="{AADFACE2-D998-49A1-8873-20BAA73A4B80}"/>
    <cellStyle name="Millares [0] 2 4 5 2" xfId="1795" xr:uid="{B1FD6B62-3056-4202-BF44-EC9E270BDA56}"/>
    <cellStyle name="Millares [0] 2 4 5 3" xfId="1796" xr:uid="{050E703C-1159-4208-A621-F3ECD195919E}"/>
    <cellStyle name="Millares [0] 2 4 6" xfId="1797" xr:uid="{1C3EB55B-9E46-41B9-8A37-1E79023F29C3}"/>
    <cellStyle name="Millares [0] 2 5" xfId="1798" xr:uid="{9CF59ADA-69A3-40EA-A505-3FA177D68941}"/>
    <cellStyle name="Millares [0] 2 6" xfId="1799" xr:uid="{470A28D0-5DA4-40ED-9AF0-93DEC72AECED}"/>
    <cellStyle name="Millares [0] 2 7" xfId="1800" xr:uid="{52A3C1E5-1CFA-47B7-B19A-C7CF3EDA8563}"/>
    <cellStyle name="Millares [0] 2 8" xfId="1801" xr:uid="{74435B30-5E8F-4A3B-ADD2-DB312168EB8D}"/>
    <cellStyle name="Millares [0] 2 9" xfId="1802" xr:uid="{97007BE6-A612-41FC-BCA9-106C83C89F6B}"/>
    <cellStyle name="Millares [0] 3" xfId="1803" xr:uid="{A9A63094-7505-4691-A7F5-FFC2B734F995}"/>
    <cellStyle name="Millares [0] 4" xfId="1804" xr:uid="{E00FA0E0-EC94-4C68-BC19-847F625F9065}"/>
    <cellStyle name="Millares 10" xfId="1805" xr:uid="{A06C512D-21C5-4936-AF7B-1FC56DD7024D}"/>
    <cellStyle name="Millares 10 2" xfId="1806" xr:uid="{254267A5-123C-460E-A5E2-F97385541A19}"/>
    <cellStyle name="Millares 10 3" xfId="1807" xr:uid="{1BE5F621-5388-473F-B80F-8392F8027A8E}"/>
    <cellStyle name="Millares 11" xfId="1808" xr:uid="{3C221F1C-9E8A-4995-9366-188DA23418DC}"/>
    <cellStyle name="Millares 11 2" xfId="1809" xr:uid="{A538924A-98BF-414D-AC9C-B40E5297488F}"/>
    <cellStyle name="Millares 11 3" xfId="1810" xr:uid="{19399E9C-963A-436F-89DF-8C40FFE94AA9}"/>
    <cellStyle name="Millares 11 4" xfId="1811" xr:uid="{6FC0C8D3-5AB3-4F0F-924B-B67559CCA664}"/>
    <cellStyle name="Millares 11 4 2" xfId="1812" xr:uid="{7401FC13-46AB-4749-B68E-A970B7A49B9E}"/>
    <cellStyle name="Millares 11 5" xfId="1813" xr:uid="{32E2F012-3D24-4038-BB91-C371DB6938EC}"/>
    <cellStyle name="Millares 11 5 2" xfId="1814" xr:uid="{0BD06F08-BF64-4E1D-80A0-30424A663AF4}"/>
    <cellStyle name="Millares 11 5 3" xfId="1815" xr:uid="{982823F8-CCB3-4BB6-9FF1-B5EF5409D0CC}"/>
    <cellStyle name="Millares 11 6" xfId="1816" xr:uid="{C9965026-0A92-4266-B4EA-133D0F6FAA33}"/>
    <cellStyle name="Millares 11 6 2" xfId="1817" xr:uid="{5ACF22D1-C8DD-4CC6-9F36-94530AC11FEA}"/>
    <cellStyle name="Millares 11 6 3" xfId="1818" xr:uid="{5CE92B4E-70AD-4F36-8800-E296F388A34B}"/>
    <cellStyle name="Millares 11 7" xfId="1819" xr:uid="{96DEBA3A-BCEF-4873-9D82-5CD4298A1371}"/>
    <cellStyle name="Millares 12" xfId="1820" xr:uid="{508FFB72-D4AF-465C-A691-881A76E8AE6F}"/>
    <cellStyle name="Millares 12 2" xfId="1821" xr:uid="{B22A2D32-3357-450E-88D7-4C185185BE06}"/>
    <cellStyle name="Millares 12 3" xfId="1822" xr:uid="{D12C856A-87B1-46FE-B1CD-55650EF15E1A}"/>
    <cellStyle name="Millares 12 4" xfId="1823" xr:uid="{850003D1-380C-4F6C-AF78-C95D9B1BD9CC}"/>
    <cellStyle name="Millares 12 4 2" xfId="1824" xr:uid="{4C8B29F8-ABE5-4A51-A530-0178DB091739}"/>
    <cellStyle name="Millares 12 5" xfId="1825" xr:uid="{B2C0F295-F9A3-4620-AC17-696F1E6E92AD}"/>
    <cellStyle name="Millares 12 5 2" xfId="1826" xr:uid="{37023C64-3EC8-4461-9325-E87D75C08AED}"/>
    <cellStyle name="Millares 12 5 3" xfId="1827" xr:uid="{BA9B61D0-0798-4818-80B2-C9D300F9C3CB}"/>
    <cellStyle name="Millares 12 6" xfId="1828" xr:uid="{E3F665F1-5B06-4D6F-ACBA-9E90C0B42173}"/>
    <cellStyle name="Millares 12 6 2" xfId="1829" xr:uid="{C7C57B84-1CAD-48AF-9D43-9CD30521EC83}"/>
    <cellStyle name="Millares 12 6 3" xfId="1830" xr:uid="{61DD11F7-2410-4AA5-91D7-A91931FFD6C6}"/>
    <cellStyle name="Millares 12 7" xfId="1831" xr:uid="{942D53A9-FA27-4A48-87A3-DA7B4724B71B}"/>
    <cellStyle name="Millares 13" xfId="1832" xr:uid="{FD1CF48E-8BA7-4F4C-A24B-8114442ED461}"/>
    <cellStyle name="Millares 13 2" xfId="1833" xr:uid="{6B45DD71-DEEA-441C-974F-F47BF1754170}"/>
    <cellStyle name="Millares 13 3" xfId="1834" xr:uid="{E989E35C-9FAF-459B-B4B6-62B408A0644B}"/>
    <cellStyle name="Millares 13 4" xfId="1835" xr:uid="{8284677D-E8AA-4547-842B-F45E7E8D777D}"/>
    <cellStyle name="Millares 13 4 2" xfId="1836" xr:uid="{986BB809-787F-494A-98F2-0993F04A6051}"/>
    <cellStyle name="Millares 13 5" xfId="1837" xr:uid="{8B32622C-F5A9-4707-B80E-963D0A9FC844}"/>
    <cellStyle name="Millares 13 5 2" xfId="1838" xr:uid="{10657552-725C-4E08-AC60-40246B755028}"/>
    <cellStyle name="Millares 13 5 3" xfId="1839" xr:uid="{5C36840E-73E8-405C-85EC-A469493AC062}"/>
    <cellStyle name="Millares 13 6" xfId="1840" xr:uid="{C80ACF52-0752-409B-9955-E67D5E232194}"/>
    <cellStyle name="Millares 13 6 2" xfId="1841" xr:uid="{6925DA58-8612-44A1-9AB9-D163BE13D54D}"/>
    <cellStyle name="Millares 13 6 3" xfId="1842" xr:uid="{853AF34C-C16D-487F-BB38-B7486895A483}"/>
    <cellStyle name="Millares 13 7" xfId="1843" xr:uid="{C2BCC683-7B45-4D95-90AC-7D61B42FA2AE}"/>
    <cellStyle name="Millares 14" xfId="1844" xr:uid="{3E3BD419-D8BC-4547-85B5-F742E9244ED0}"/>
    <cellStyle name="Millares 14 2" xfId="1845" xr:uid="{70E55C3C-F875-4ABB-9366-2FFA114C55DF}"/>
    <cellStyle name="Millares 14 3" xfId="1846" xr:uid="{8F31BBDC-DD1F-4062-ADA3-11A96B1EACB8}"/>
    <cellStyle name="Millares 14 4" xfId="1847" xr:uid="{42A3110A-C96F-420C-A4C3-57267DF24A1B}"/>
    <cellStyle name="Millares 14 4 2" xfId="1848" xr:uid="{E18AC53F-E9B3-47FE-9D89-DFBD2E55F509}"/>
    <cellStyle name="Millares 14 5" xfId="1849" xr:uid="{490253D6-3B88-485B-B46A-20415B014A8C}"/>
    <cellStyle name="Millares 14 5 2" xfId="1850" xr:uid="{FF170B54-01A1-426E-8E2B-43DDE84EBE06}"/>
    <cellStyle name="Millares 14 5 3" xfId="1851" xr:uid="{2D822539-D814-459C-B214-6829926676CB}"/>
    <cellStyle name="Millares 14 6" xfId="1852" xr:uid="{92ABDB1A-6459-4E70-A09A-80B7283FBB28}"/>
    <cellStyle name="Millares 14 6 2" xfId="1853" xr:uid="{02D9AE95-F267-4C6E-A4AA-923256DD2B71}"/>
    <cellStyle name="Millares 14 6 3" xfId="1854" xr:uid="{56677CCF-D024-4407-9A1A-E3F9F02D32A8}"/>
    <cellStyle name="Millares 14 7" xfId="1855" xr:uid="{5E50CBB4-D84B-4961-BF89-F994BFCB61FD}"/>
    <cellStyle name="Millares 15" xfId="1856" xr:uid="{74A84C2E-8177-44A4-88CA-54FE81DC2614}"/>
    <cellStyle name="Millares 15 2" xfId="1857" xr:uid="{15699E6D-42DA-472B-A3CD-78B6AC00855F}"/>
    <cellStyle name="Millares 15 3" xfId="1858" xr:uid="{B0EB52C1-5481-4C0B-9F7A-FBFDF4AE0EE3}"/>
    <cellStyle name="Millares 15 4" xfId="1859" xr:uid="{830360E3-1734-4B07-B7A3-65FE0D67404C}"/>
    <cellStyle name="Millares 15 4 2" xfId="1860" xr:uid="{87EB9931-6A51-4D99-BE4F-FFB692D8A7F6}"/>
    <cellStyle name="Millares 15 5" xfId="1861" xr:uid="{DADD33C5-BDDB-4EA9-9B59-790BA30D47AF}"/>
    <cellStyle name="Millares 15 5 2" xfId="1862" xr:uid="{D9E0B6CE-5006-4EF8-A503-5C3FB99ED0B1}"/>
    <cellStyle name="Millares 15 5 3" xfId="1863" xr:uid="{CAB279DA-82F9-43B8-8D8B-A5FD3B89E0F2}"/>
    <cellStyle name="Millares 15 6" xfId="1864" xr:uid="{38978064-E1FD-4991-8768-F70F2A1D2FAF}"/>
    <cellStyle name="Millares 15 6 2" xfId="1865" xr:uid="{72F3DFE9-7B39-4A06-A2FA-EE5A70D3FB31}"/>
    <cellStyle name="Millares 15 6 3" xfId="1866" xr:uid="{AD03CFD9-B4EA-4ADC-99BF-53EC7CECF793}"/>
    <cellStyle name="Millares 15 7" xfId="1867" xr:uid="{F402E2E5-C141-4E76-B649-0583DB70415F}"/>
    <cellStyle name="Millares 16" xfId="1868" xr:uid="{51152663-18A3-4B31-9FF6-83261EC6BC1D}"/>
    <cellStyle name="Millares 16 2" xfId="1869" xr:uid="{3EBC61FD-90C7-496C-8E5A-1E96CF39A72C}"/>
    <cellStyle name="Millares 16 3" xfId="1870" xr:uid="{D8358199-221F-495B-BC84-4C51EEDE7367}"/>
    <cellStyle name="Millares 16 4" xfId="1871" xr:uid="{37390D8F-771D-4C8D-A341-182D215863FF}"/>
    <cellStyle name="Millares 16 4 2" xfId="1872" xr:uid="{AE5827A3-5A61-49D7-8A9B-9A6FB18829DE}"/>
    <cellStyle name="Millares 16 5" xfId="1873" xr:uid="{64A0201D-CB02-4E08-B2B2-0BD5CD9197B0}"/>
    <cellStyle name="Millares 16 5 2" xfId="1874" xr:uid="{3236AB95-8D42-42D9-9791-DFCD22C983FF}"/>
    <cellStyle name="Millares 16 5 3" xfId="1875" xr:uid="{D81BC57E-4EBB-4319-85C8-A94CDB576BF0}"/>
    <cellStyle name="Millares 16 6" xfId="1876" xr:uid="{5FC25DBC-3412-4B68-BCA8-D49F81728B50}"/>
    <cellStyle name="Millares 16 6 2" xfId="1877" xr:uid="{23465FC9-2C9C-4DF0-BE5B-7128498F3E1C}"/>
    <cellStyle name="Millares 16 6 3" xfId="1878" xr:uid="{4F3CB991-99E7-4C90-B48C-6865B07745A5}"/>
    <cellStyle name="Millares 16 7" xfId="1879" xr:uid="{13502A17-7464-44DE-9984-5B72D80B49FA}"/>
    <cellStyle name="Millares 17" xfId="1880" xr:uid="{2D6A0BDB-F2F6-4146-BDCB-8CE5D7DCA962}"/>
    <cellStyle name="Millares 17 2" xfId="1881" xr:uid="{901F6C57-AD69-4953-862B-22CE01AAD4FA}"/>
    <cellStyle name="Millares 17 3" xfId="1882" xr:uid="{1A4E6983-E68E-4390-8116-5C1F6302FA0D}"/>
    <cellStyle name="Millares 17 4" xfId="1883" xr:uid="{AC539EE3-9923-4059-A10E-FDDD5A99A7E4}"/>
    <cellStyle name="Millares 17 4 2" xfId="1884" xr:uid="{C4AA1E89-9F85-43DF-8D7E-3AE8ABB5CE70}"/>
    <cellStyle name="Millares 17 5" xfId="1885" xr:uid="{4368BAAF-6F4E-4296-8EBB-53DE7134C020}"/>
    <cellStyle name="Millares 17 5 2" xfId="1886" xr:uid="{5A76F5A4-7194-486C-B774-2B87A33997DD}"/>
    <cellStyle name="Millares 17 5 3" xfId="1887" xr:uid="{9D24F7FC-BC6A-4690-91A5-77B4A5567964}"/>
    <cellStyle name="Millares 17 6" xfId="1888" xr:uid="{11119F70-BC40-408C-8CA0-A547090F45C5}"/>
    <cellStyle name="Millares 17 6 2" xfId="1889" xr:uid="{389DFDF0-F4FF-4163-909D-246A79178682}"/>
    <cellStyle name="Millares 17 6 3" xfId="1890" xr:uid="{E6DD9C18-17E6-4E1D-A5E0-D70FF7ACB4EF}"/>
    <cellStyle name="Millares 17 7" xfId="1891" xr:uid="{8A761B8A-6221-4118-A520-7B4F037D166F}"/>
    <cellStyle name="Millares 18" xfId="1892" xr:uid="{0EB1B812-3ED1-4F36-B119-A4AB5CFDC26D}"/>
    <cellStyle name="Millares 18 2" xfId="1893" xr:uid="{86756D09-F4F4-40BD-BD4B-D37A382C1A46}"/>
    <cellStyle name="Millares 19" xfId="1894" xr:uid="{2681020C-9F8B-4138-82BF-0FB82F17B73A}"/>
    <cellStyle name="Millares 19 2" xfId="1895" xr:uid="{5F29F784-DD61-404B-8B15-6FD00B326A52}"/>
    <cellStyle name="Millares 2" xfId="1896" xr:uid="{0D379FBD-FB0E-4A7D-A850-D787A15D0C0D}"/>
    <cellStyle name="Millares 2 2" xfId="1897" xr:uid="{986D4024-9942-43D4-AC87-BAEBB7CF82A3}"/>
    <cellStyle name="Millares 2 2 2" xfId="1898" xr:uid="{EF545DBE-D649-452D-A099-28B54414A9BF}"/>
    <cellStyle name="Millares 2 2 2 2" xfId="1899" xr:uid="{49EF5AFD-5372-49DC-B926-7A26C7A40268}"/>
    <cellStyle name="Millares 2 2 3" xfId="1900" xr:uid="{ABA37AFA-FA3B-4848-A027-52466813495D}"/>
    <cellStyle name="Millares 2 3" xfId="1901" xr:uid="{46B266B3-49B2-48F5-95F2-A145134FCB43}"/>
    <cellStyle name="Millares 2 3 2" xfId="1902" xr:uid="{199F6A13-B6ED-435B-AC5C-B01F31C83869}"/>
    <cellStyle name="Millares 2 4" xfId="1903" xr:uid="{934CC7CF-80FA-402D-AF41-650FE05D5B48}"/>
    <cellStyle name="Millares 2 4 2" xfId="1904" xr:uid="{BF6DF5F7-D086-41BA-A013-D5F2C48ECD58}"/>
    <cellStyle name="Millares 2 5" xfId="1905" xr:uid="{48D70A19-8F69-46F8-96AA-8B25E8192489}"/>
    <cellStyle name="Millares 2 6" xfId="1906" xr:uid="{E00E4857-5CDE-4985-B564-2E70E2657C58}"/>
    <cellStyle name="Millares 2_Cap 3 Transacciones v27042009" xfId="1907" xr:uid="{1335B45E-6ADB-4501-A506-AFDD5A6D950A}"/>
    <cellStyle name="Millares 20" xfId="1908" xr:uid="{A4B604D0-C2E0-455D-A54E-8B1AB06E348A}"/>
    <cellStyle name="Millares 20 2" xfId="1909" xr:uid="{C6991E53-7B06-4028-8D68-86C80DBECE50}"/>
    <cellStyle name="Millares 21" xfId="1910" xr:uid="{31C79CCC-B7A8-4A60-9C1B-6D20E1D80F2A}"/>
    <cellStyle name="Millares 21 2" xfId="1911" xr:uid="{70D00A72-967E-49E3-ADEF-FA96AEE5B013}"/>
    <cellStyle name="Millares 22" xfId="1912" xr:uid="{FB3DDC79-9841-4C19-9254-D8FDB3EE8A9F}"/>
    <cellStyle name="Millares 22 2" xfId="1913" xr:uid="{6C86E96E-E835-410A-9771-7D48A9A1ED5D}"/>
    <cellStyle name="Millares 22 3" xfId="1914" xr:uid="{0D05FD6D-EB7B-47F5-95DF-B94FA35DD4B5}"/>
    <cellStyle name="Millares 22 4" xfId="1915" xr:uid="{44344811-8014-437F-BBFE-94CD386E347F}"/>
    <cellStyle name="Millares 22 4 2" xfId="1916" xr:uid="{703AA111-BCB9-4491-A289-08E321B081F6}"/>
    <cellStyle name="Millares 22 5" xfId="1917" xr:uid="{77CAF016-7161-4FFC-A93B-936D7FE9C668}"/>
    <cellStyle name="Millares 22 5 2" xfId="1918" xr:uid="{9038B9E3-3EFF-45AE-A637-79E46E4F1EA6}"/>
    <cellStyle name="Millares 22 5 3" xfId="1919" xr:uid="{901880D6-3D27-4A85-8BD9-BE8A87F53B77}"/>
    <cellStyle name="Millares 22 6" xfId="1920" xr:uid="{EE2D3F6E-1973-460F-9836-7500F0646F62}"/>
    <cellStyle name="Millares 22 6 2" xfId="1921" xr:uid="{893EC185-1EEB-4910-85F6-482F07BA9708}"/>
    <cellStyle name="Millares 22 6 3" xfId="1922" xr:uid="{2B51DAA2-C711-48E3-9CCC-1E5629F55226}"/>
    <cellStyle name="Millares 22 7" xfId="1923" xr:uid="{B3E2E6D4-B1FB-4BC4-B364-B97439372DCF}"/>
    <cellStyle name="Millares 23" xfId="1924" xr:uid="{249DD11F-E5D9-4260-8A78-FB7C10FF945F}"/>
    <cellStyle name="Millares 24" xfId="1925" xr:uid="{ED7EA6B9-BD1F-45D3-B728-30ECCFB087F2}"/>
    <cellStyle name="Millares 25" xfId="1926" xr:uid="{94FA692D-D839-466C-A090-04072C9D1BF3}"/>
    <cellStyle name="Millares 26" xfId="1927" xr:uid="{C6F6B89D-94DA-4C44-AE56-FD6803C31996}"/>
    <cellStyle name="Millares 27" xfId="1928" xr:uid="{02F9F391-8D75-4D8C-BF35-441A22EEDDC7}"/>
    <cellStyle name="Millares 28" xfId="1929" xr:uid="{4BD43831-1AC8-4E66-9FE5-171FEA0556BA}"/>
    <cellStyle name="Millares 29" xfId="1930" xr:uid="{6C87C1C3-5851-4BB9-8C22-C01085F37225}"/>
    <cellStyle name="Millares 3" xfId="1931" xr:uid="{F657B96A-4255-4CB1-A959-1F7D8C893844}"/>
    <cellStyle name="Millares 3 10" xfId="1932" xr:uid="{DFA6F953-6A1F-4321-B7E0-4E46C0E7D36D}"/>
    <cellStyle name="Millares 3 11" xfId="1933" xr:uid="{F7795101-20B8-457D-90F7-9F76D4C54676}"/>
    <cellStyle name="Millares 3 12" xfId="1934" xr:uid="{D917091E-57E4-4B59-A530-A58D5B981CC0}"/>
    <cellStyle name="Millares 3 13" xfId="1935" xr:uid="{C6153912-D5D2-4F39-80A4-2F8EAB04B90E}"/>
    <cellStyle name="Millares 3 2" xfId="1936" xr:uid="{BC1556D2-73D4-4C5C-BC2E-1127B4876DE0}"/>
    <cellStyle name="Millares 3 2 2" xfId="1937" xr:uid="{825CF90F-FAA6-4E24-8595-1345BB729413}"/>
    <cellStyle name="Millares 3 3" xfId="1938" xr:uid="{0964A3DC-029D-4B5D-A246-07F3F55CE17D}"/>
    <cellStyle name="Millares 3 3 2" xfId="1939" xr:uid="{BC6809F3-4388-4A94-AC0D-A4266FD24426}"/>
    <cellStyle name="Millares 3 3 2 2" xfId="1940" xr:uid="{0799F33A-7000-4DFF-8124-2035459DD34B}"/>
    <cellStyle name="Millares 3 3 2 3" xfId="1941" xr:uid="{AE6543B7-D8A1-49DA-921B-0D63752AE44C}"/>
    <cellStyle name="Millares 3 3 2 3 2" xfId="1942" xr:uid="{ED79C181-6688-4D06-8B0A-CF2307C169FC}"/>
    <cellStyle name="Millares 3 3 2 4" xfId="1943" xr:uid="{E7C0275F-60DF-4228-93E7-D9D0B725B63B}"/>
    <cellStyle name="Millares 3 3 2 4 2" xfId="1944" xr:uid="{69F6F91E-CED0-432B-BF46-D2E4808A3661}"/>
    <cellStyle name="Millares 3 3 2 4 3" xfId="1945" xr:uid="{00FA9005-8506-461B-BD68-47569C6635BA}"/>
    <cellStyle name="Millares 3 3 2 5" xfId="1946" xr:uid="{C71B91C4-10FB-455E-B2EB-86053D2F1078}"/>
    <cellStyle name="Millares 3 3 2 5 2" xfId="1947" xr:uid="{2F0F648C-A16A-4BA3-AC22-E5AC2C056291}"/>
    <cellStyle name="Millares 3 3 2 5 3" xfId="1948" xr:uid="{5CB8C4F8-B431-48A5-9BA2-4950C9645266}"/>
    <cellStyle name="Millares 3 3 2 6" xfId="1949" xr:uid="{C875E6F2-A2E2-4E35-B41C-AC3653AC9097}"/>
    <cellStyle name="Millares 3 3 2 7" xfId="1950" xr:uid="{84892A97-6EDF-4FE6-A908-97600323DC38}"/>
    <cellStyle name="Millares 3 3 2 8" xfId="1951" xr:uid="{6C35D247-73B4-442D-988E-1121F5B6AC2D}"/>
    <cellStyle name="Millares 3 3 3" xfId="1952" xr:uid="{EC40C8C0-2F57-496A-8E25-54E55581353E}"/>
    <cellStyle name="Millares 3 3 4" xfId="1953" xr:uid="{310C9DC8-AAD9-4DA9-A42D-426B30946347}"/>
    <cellStyle name="Millares 3 3 4 2" xfId="1954" xr:uid="{77FD7B0B-5B46-40F2-B9F7-D6A7BB145B4D}"/>
    <cellStyle name="Millares 3 3 5" xfId="1955" xr:uid="{D780E3CE-A425-44C9-882A-4A00B819592F}"/>
    <cellStyle name="Millares 3 3 5 2" xfId="1956" xr:uid="{C0A9C359-D908-4075-9906-BD6DE1F2D7C5}"/>
    <cellStyle name="Millares 3 3 5 3" xfId="1957" xr:uid="{A66B4A4B-0BA6-4B2E-B8B8-FAE0D6525FB1}"/>
    <cellStyle name="Millares 3 3 6" xfId="1958" xr:uid="{D29D80BA-9348-4921-A4E5-06A466082955}"/>
    <cellStyle name="Millares 3 3 6 2" xfId="1959" xr:uid="{049F7796-93A4-42C5-8CEA-F2706FA991F0}"/>
    <cellStyle name="Millares 3 3 6 3" xfId="1960" xr:uid="{4B749D7B-4978-40B2-A91C-4B8D28141DE9}"/>
    <cellStyle name="Millares 3 3 7" xfId="1961" xr:uid="{045C515B-6278-4E2D-AA12-E77157C88977}"/>
    <cellStyle name="Millares 3 3 8" xfId="1962" xr:uid="{A59724A9-399E-40A1-A8C4-22D03E406DC1}"/>
    <cellStyle name="Millares 3 3 9" xfId="1963" xr:uid="{203036F7-94DE-494D-BF2B-A3E0B53F750E}"/>
    <cellStyle name="Millares 3 4" xfId="1964" xr:uid="{A462CB7A-E7E8-47D2-B3EA-09C1AE438446}"/>
    <cellStyle name="Millares 3 4 2" xfId="1965" xr:uid="{DE4BE829-18E8-40BF-91D7-CE5400929905}"/>
    <cellStyle name="Millares 3 4 2 2" xfId="1966" xr:uid="{A8868472-F413-4B9B-AADE-357B3F73F8FC}"/>
    <cellStyle name="Millares 3 4 2 3" xfId="1967" xr:uid="{EF19A4BA-28DD-493C-9431-2FD1F2DF2104}"/>
    <cellStyle name="Millares 3 4 2 3 2" xfId="1968" xr:uid="{763D8269-78DB-4F3C-AEB4-BAD1A80DEED7}"/>
    <cellStyle name="Millares 3 4 2 4" xfId="1969" xr:uid="{AEEF7D79-3C36-4E62-A0B9-A88362DEB596}"/>
    <cellStyle name="Millares 3 4 2 4 2" xfId="1970" xr:uid="{9FF5E4E2-D5E4-4CB3-8018-9F1D75451F36}"/>
    <cellStyle name="Millares 3 4 2 4 3" xfId="1971" xr:uid="{F32DB82D-C830-4DEA-8891-9EC82580ED3A}"/>
    <cellStyle name="Millares 3 4 2 5" xfId="1972" xr:uid="{8036B940-4CEF-4C4B-9370-9FB29E3E2E32}"/>
    <cellStyle name="Millares 3 4 2 5 2" xfId="1973" xr:uid="{3DCB0420-E59F-4E04-9242-FF9B0AE2D055}"/>
    <cellStyle name="Millares 3 4 2 5 3" xfId="1974" xr:uid="{8E441BB5-AC41-4250-A1B8-A4EE1F3A70B8}"/>
    <cellStyle name="Millares 3 4 2 6" xfId="1975" xr:uid="{683CAFFC-53F1-4A55-8CDB-C96D033EB951}"/>
    <cellStyle name="Millares 3 4 2 7" xfId="1976" xr:uid="{6EEF4155-F3C4-4B7E-8C79-692779EE3707}"/>
    <cellStyle name="Millares 3 4 2 8" xfId="1977" xr:uid="{82FE38A5-DC97-47B4-9F14-D1122CF20401}"/>
    <cellStyle name="Millares 3 4 3" xfId="1978" xr:uid="{744DC891-674E-4136-94EB-357D5E5DB77A}"/>
    <cellStyle name="Millares 3 4 4" xfId="1979" xr:uid="{192D658B-99AD-4D30-838F-3D08B57575E9}"/>
    <cellStyle name="Millares 3 4 4 2" xfId="1980" xr:uid="{B9AE45F0-6038-40D6-A1E8-9B359E62F39E}"/>
    <cellStyle name="Millares 3 4 5" xfId="1981" xr:uid="{725770F8-FCDA-44CA-AAA8-0FB226501906}"/>
    <cellStyle name="Millares 3 4 5 2" xfId="1982" xr:uid="{C2FEEF9A-2480-4B9B-B632-98786099BECF}"/>
    <cellStyle name="Millares 3 4 5 3" xfId="1983" xr:uid="{77C321C3-AE60-4909-87FE-9C78B4ABA967}"/>
    <cellStyle name="Millares 3 4 6" xfId="1984" xr:uid="{95795E96-F6AD-4DB0-AC84-370A57DA8535}"/>
    <cellStyle name="Millares 3 4 6 2" xfId="1985" xr:uid="{68EDD0E5-F1E2-478C-8D49-18F41D7D3805}"/>
    <cellStyle name="Millares 3 4 6 3" xfId="1986" xr:uid="{64E7227A-11B2-4E30-8616-559C88C44F9C}"/>
    <cellStyle name="Millares 3 4 7" xfId="1987" xr:uid="{DA465E20-0BD3-458C-82F3-FCFD58F044FE}"/>
    <cellStyle name="Millares 3 4 8" xfId="1988" xr:uid="{E261C07A-6CD8-49AB-8771-315FEA099BC6}"/>
    <cellStyle name="Millares 3 4 9" xfId="1989" xr:uid="{16D1DB4F-763E-4261-B29C-0B77564D54F6}"/>
    <cellStyle name="Millares 3 5" xfId="1990" xr:uid="{AFFED394-4C02-46BD-8753-517DF7EC0809}"/>
    <cellStyle name="Millares 3 5 2" xfId="1991" xr:uid="{03D132FA-EFBF-4740-A870-0703879EBDED}"/>
    <cellStyle name="Millares 3 5 3" xfId="1992" xr:uid="{9C274BEB-4320-4D59-86B0-344290A3ABA0}"/>
    <cellStyle name="Millares 3 5 3 2" xfId="1993" xr:uid="{3DB55C4D-45C3-4E8D-8914-549768D10CFB}"/>
    <cellStyle name="Millares 3 5 4" xfId="1994" xr:uid="{6EB149A4-E935-4B06-8630-982040B07DEC}"/>
    <cellStyle name="Millares 3 5 4 2" xfId="1995" xr:uid="{AC5F036F-49F5-4F3E-AB70-331057979A27}"/>
    <cellStyle name="Millares 3 5 4 3" xfId="1996" xr:uid="{E2D4B143-75BE-4C8B-A402-A1098F74AF49}"/>
    <cellStyle name="Millares 3 5 5" xfId="1997" xr:uid="{F63C6497-C639-4EF0-AD38-F8CE58CDF1C6}"/>
    <cellStyle name="Millares 3 5 5 2" xfId="1998" xr:uid="{68FB8725-AC56-4FBB-A079-5DFF890B030F}"/>
    <cellStyle name="Millares 3 5 5 3" xfId="1999" xr:uid="{08DF9170-84D4-49DA-A8ED-6622A364E5AE}"/>
    <cellStyle name="Millares 3 5 6" xfId="2000" xr:uid="{B734C4B5-9AE9-49F4-AB25-62A645D7B6C4}"/>
    <cellStyle name="Millares 3 5 7" xfId="2001" xr:uid="{2A282045-F17D-4D63-9455-E309C06482AA}"/>
    <cellStyle name="Millares 3 5 8" xfId="2002" xr:uid="{6A327115-F35A-4010-9403-E802FE392B86}"/>
    <cellStyle name="Millares 3 6" xfId="2003" xr:uid="{05C461E6-1D9F-49CE-AED3-90D9393CED60}"/>
    <cellStyle name="Millares 3 7" xfId="2004" xr:uid="{4FBD6B5A-F254-4571-B7BB-42B4BFAF35EE}"/>
    <cellStyle name="Millares 3 7 2" xfId="2005" xr:uid="{3A7E75B7-4F7E-4DFE-A445-297B3E8B4AEF}"/>
    <cellStyle name="Millares 3 7 3" xfId="2006" xr:uid="{B2AD311D-9974-4F94-968A-206B09E533F3}"/>
    <cellStyle name="Millares 3 7 3 2" xfId="2007" xr:uid="{E7AC8C84-0CC9-43FE-B210-402DB0490E0B}"/>
    <cellStyle name="Millares 3 7 4" xfId="2008" xr:uid="{D523DF71-A269-49A1-922E-548B1B5FA90E}"/>
    <cellStyle name="Millares 3 7 4 2" xfId="2009" xr:uid="{DC3B7869-D049-47EC-9ADF-403E6380F8A8}"/>
    <cellStyle name="Millares 3 7 4 3" xfId="2010" xr:uid="{C644A0B7-976D-4B21-B84B-D9A3DDCC7854}"/>
    <cellStyle name="Millares 3 7 5" xfId="2011" xr:uid="{F561E9BA-A35C-4179-B24C-8AF9338F1DDD}"/>
    <cellStyle name="Millares 3 7 5 2" xfId="2012" xr:uid="{E6E676E7-4DF9-4F0A-BE31-53E5A58C6667}"/>
    <cellStyle name="Millares 3 7 5 3" xfId="2013" xr:uid="{14EF2E6A-5BAA-46B9-8765-8712AD706470}"/>
    <cellStyle name="Millares 3 7 6" xfId="2014" xr:uid="{DE1F32F1-7FBF-43A8-8878-B1BD0E455291}"/>
    <cellStyle name="Millares 3 8" xfId="2015" xr:uid="{C04A55A2-2A06-4469-8511-E94199F4936A}"/>
    <cellStyle name="Millares 3 9" xfId="2016" xr:uid="{EC159074-8D0E-4B72-AD6D-CCE1DD37A3E1}"/>
    <cellStyle name="Millares 30" xfId="2017" xr:uid="{DE6B1660-3B44-479A-9915-3E0FA501B861}"/>
    <cellStyle name="Millares 31" xfId="2018" xr:uid="{59725430-F23F-4DD5-A768-C2B7E1C2EDE9}"/>
    <cellStyle name="Millares 32" xfId="2019" xr:uid="{D0F3124D-0A16-43BE-80C9-77D69CBA7B6A}"/>
    <cellStyle name="Millares 33" xfId="2020" xr:uid="{8AB84EF9-62FF-45E6-AD19-DC978A5A408D}"/>
    <cellStyle name="Millares 34" xfId="2021" xr:uid="{B91C7BA6-3458-47E9-8D5F-36EE560BD92F}"/>
    <cellStyle name="Millares 35" xfId="2022" xr:uid="{408524B5-60F1-4FDF-AFB7-C2DE3DF7EEBE}"/>
    <cellStyle name="Millares 36" xfId="2023" xr:uid="{38A5A8EE-4B8E-48B1-8C91-8CAB7673D869}"/>
    <cellStyle name="Millares 37" xfId="2024" xr:uid="{CDDC087A-D762-459A-8371-277DDA7B99FD}"/>
    <cellStyle name="Millares 38" xfId="2025" xr:uid="{61A969A8-C586-4222-A109-DD6E3F774697}"/>
    <cellStyle name="Millares 39" xfId="2026" xr:uid="{688D5FDC-DD9D-4C4F-B507-5704B0E075E5}"/>
    <cellStyle name="Millares 39 2" xfId="2027" xr:uid="{C1A882F5-A66E-4E7F-B3C9-863C16070F72}"/>
    <cellStyle name="Millares 39 2 2" xfId="2028" xr:uid="{FDF09BD3-EE8E-42C3-8D20-083DA7A43F7E}"/>
    <cellStyle name="Millares 39 2 3" xfId="2029" xr:uid="{2AA9DDBE-07EF-41CD-9257-DC4521E468E8}"/>
    <cellStyle name="Millares 39 2 3 2" xfId="2030" xr:uid="{5E947030-14C4-4404-8D86-F7EDAE8B65BC}"/>
    <cellStyle name="Millares 39 2 4" xfId="2031" xr:uid="{B30D3A07-D7E9-46E0-9367-764495C808FF}"/>
    <cellStyle name="Millares 39 2 4 2" xfId="2032" xr:uid="{02A33736-DFFB-4B72-9750-C2E686E856C8}"/>
    <cellStyle name="Millares 39 2 4 3" xfId="2033" xr:uid="{DBB51222-88AF-49FB-9AAC-51F1419263DD}"/>
    <cellStyle name="Millares 39 2 5" xfId="2034" xr:uid="{26656938-4D7F-4FF3-B4AB-6FD1945C25CF}"/>
    <cellStyle name="Millares 39 2 5 2" xfId="2035" xr:uid="{E9F1EAAC-3C28-471F-BC5B-F065A612B1C1}"/>
    <cellStyle name="Millares 39 2 5 3" xfId="2036" xr:uid="{DD91097F-EC70-4FC1-8908-57AFB5633464}"/>
    <cellStyle name="Millares 39 2 6" xfId="2037" xr:uid="{0F2B2EF4-0A7A-43E5-B481-2CA99DBF4852}"/>
    <cellStyle name="Millares 39 2 7" xfId="2038" xr:uid="{88F6B3EC-99F8-448C-A719-167B0C35822B}"/>
    <cellStyle name="Millares 39 2 8" xfId="2039" xr:uid="{02BB1127-6613-403E-9056-5826C0F4C74D}"/>
    <cellStyle name="Millares 39 3" xfId="2040" xr:uid="{003E3714-8669-408C-B927-FD01718EAC47}"/>
    <cellStyle name="Millares 39 4" xfId="2041" xr:uid="{A3721B2E-6BDB-415E-B4C5-9E24EA5F129E}"/>
    <cellStyle name="Millares 39 4 2" xfId="2042" xr:uid="{55197B0F-293C-4F06-A34D-688D5E9F82F0}"/>
    <cellStyle name="Millares 39 5" xfId="2043" xr:uid="{F204A0D4-9958-44D9-8A36-BC39D6E51585}"/>
    <cellStyle name="Millares 39 5 2" xfId="2044" xr:uid="{246420E7-B510-46E8-AE29-3B1B19840B05}"/>
    <cellStyle name="Millares 39 5 3" xfId="2045" xr:uid="{336155A0-66A6-488D-A57F-990740C7EA06}"/>
    <cellStyle name="Millares 39 6" xfId="2046" xr:uid="{24189353-C3DF-4F1D-BDD5-6C119AC0091C}"/>
    <cellStyle name="Millares 39 6 2" xfId="2047" xr:uid="{664F59BB-353D-481C-AC4C-581C86A64D0F}"/>
    <cellStyle name="Millares 39 6 3" xfId="2048" xr:uid="{D5A4F7C3-5D00-42C1-BDF7-A5FCB3EDA5AB}"/>
    <cellStyle name="Millares 39 7" xfId="2049" xr:uid="{7A8DEE85-4997-4CF8-A6CD-E2C1136D132B}"/>
    <cellStyle name="Millares 39 8" xfId="2050" xr:uid="{13C541BB-4F28-4B8E-BB0A-36ABAE6A9135}"/>
    <cellStyle name="Millares 39 9" xfId="2051" xr:uid="{01B71779-86D0-4BE5-80C3-2BF349F10ED2}"/>
    <cellStyle name="Millares 4" xfId="2052" xr:uid="{0185136F-29E8-42EC-AEDF-F1256E44AADC}"/>
    <cellStyle name="Millares 4 2" xfId="2053" xr:uid="{B10A4E7A-C4AF-4106-BD9E-191167B6E581}"/>
    <cellStyle name="Millares 4 3" xfId="2054" xr:uid="{B64D3114-2886-4822-B74C-B2FC492F4EBB}"/>
    <cellStyle name="Millares 4 4" xfId="2055" xr:uid="{00BD16A0-FE51-44F8-9FF0-2C0BC9F82F14}"/>
    <cellStyle name="Millares 40" xfId="2056" xr:uid="{F312B4F4-84C9-47D4-BE29-B690D5DC801C}"/>
    <cellStyle name="Millares 41" xfId="2057" xr:uid="{1631ABF6-DAE0-474D-9336-D77C123AC896}"/>
    <cellStyle name="Millares 42" xfId="2058" xr:uid="{76C99318-A9C0-45DE-9295-E6512EECF090}"/>
    <cellStyle name="Millares 42 2" xfId="2059" xr:uid="{4F3D2350-D025-4F6F-9B04-A6008F7CBD63}"/>
    <cellStyle name="Millares 42 3" xfId="2060" xr:uid="{07AF5A3E-FB17-41F8-930E-9807DD3E5EA8}"/>
    <cellStyle name="Millares 43" xfId="2061" xr:uid="{A034B768-F2D2-418E-AEB6-C459EAC741A5}"/>
    <cellStyle name="Millares 43 2" xfId="2062" xr:uid="{075500C1-EEDC-428D-BB55-70CC1C0FAB2E}"/>
    <cellStyle name="Millares 43 3" xfId="2063" xr:uid="{D412CD5A-A7B9-4610-84A1-D0E90775A07D}"/>
    <cellStyle name="Millares 44" xfId="2064" xr:uid="{9D2BDB8E-9F6F-4E7A-801B-D96C24088DD1}"/>
    <cellStyle name="Millares 44 2" xfId="2065" xr:uid="{E26D9B5D-9112-4A43-A8D8-1BDBB1807488}"/>
    <cellStyle name="Millares 44 3" xfId="2066" xr:uid="{DF31CDCC-0120-4857-9AF4-AD1D1768B6DA}"/>
    <cellStyle name="Millares 45" xfId="2067" xr:uid="{4780A6A6-8707-4572-A2DD-2AC1C47D5E9B}"/>
    <cellStyle name="Millares 45 2" xfId="2068" xr:uid="{B962E8A9-85C3-4809-B708-28903594824F}"/>
    <cellStyle name="Millares 45 3" xfId="2069" xr:uid="{31D304BA-6C83-4ABB-A04B-F6A4E811D7BD}"/>
    <cellStyle name="Millares 46" xfId="2070" xr:uid="{67A2E238-F51E-4382-8829-B5711AF941BD}"/>
    <cellStyle name="Millares 46 2" xfId="2071" xr:uid="{1FDF7D66-3F42-44E8-8DF8-5343674A2C93}"/>
    <cellStyle name="Millares 46 3" xfId="2072" xr:uid="{4EF7B2DC-09AE-48B2-9DA2-630AD9276AA6}"/>
    <cellStyle name="Millares 47" xfId="2073" xr:uid="{E2BC2F7B-822B-4E89-BCD3-A7CED19D0C38}"/>
    <cellStyle name="Millares 47 2" xfId="2074" xr:uid="{FEBDA078-5FEF-471D-A18D-DBD309B75AD4}"/>
    <cellStyle name="Millares 47 3" xfId="2075" xr:uid="{C99D6013-20F4-4B42-AF8C-3AFCDFC5DD5C}"/>
    <cellStyle name="Millares 48" xfId="2076" xr:uid="{5EA91CC5-8224-49D8-817A-A7A4D581F175}"/>
    <cellStyle name="Millares 48 2" xfId="2077" xr:uid="{D18E9092-7A93-4D45-9D64-870275E336BB}"/>
    <cellStyle name="Millares 48 3" xfId="2078" xr:uid="{97C421B4-D7C4-4866-A511-ADFA7E007DA5}"/>
    <cellStyle name="Millares 48 4" xfId="2079" xr:uid="{44E2A930-3082-4F60-AA79-C85360C301EB}"/>
    <cellStyle name="Millares 48 5" xfId="2080" xr:uid="{6119458A-8334-4593-806A-CDF067E5D96D}"/>
    <cellStyle name="Millares 49" xfId="2081" xr:uid="{2E6CB94A-86A7-48E7-8617-F4ED4C7B717B}"/>
    <cellStyle name="Millares 49 2" xfId="2082" xr:uid="{A70AE592-C26F-4377-A0C9-FFA012705C43}"/>
    <cellStyle name="Millares 49 3" xfId="2083" xr:uid="{4A296EC5-DA0C-4ACE-9CC8-8D0D3FEF5569}"/>
    <cellStyle name="Millares 5" xfId="2084" xr:uid="{37968941-3BCE-4745-8C40-35954C2A9775}"/>
    <cellStyle name="Millares 5 2" xfId="2085" xr:uid="{00F5D16F-8883-4707-8167-DB01CAFE18A4}"/>
    <cellStyle name="Millares 5 2 2" xfId="2086" xr:uid="{84FBC8C5-67D8-4309-B90D-AB4C55477BC6}"/>
    <cellStyle name="Millares 5 3" xfId="2087" xr:uid="{904F69EA-22AC-4F9B-AB24-1214696BAA1C}"/>
    <cellStyle name="Millares 50" xfId="2088" xr:uid="{B64923B0-AE2D-4F1C-9919-BDDEADDDCF76}"/>
    <cellStyle name="Millares 50 2" xfId="2089" xr:uid="{E45757EF-97FC-4B24-AB5F-056ED77DC414}"/>
    <cellStyle name="Millares 50 3" xfId="2090" xr:uid="{191E8C04-5E39-46B9-AE10-83129C693602}"/>
    <cellStyle name="Millares 51" xfId="2091" xr:uid="{2D33C801-1537-4420-BB7F-C4AF59A3A5C2}"/>
    <cellStyle name="Millares 51 2" xfId="2092" xr:uid="{C9C267F3-D922-4A88-B5E4-A3FD5EBD16B5}"/>
    <cellStyle name="Millares 51 3" xfId="2093" xr:uid="{FA32F304-6D41-4A70-995F-5EB3CDCB402A}"/>
    <cellStyle name="Millares 52" xfId="2094" xr:uid="{9BD48CFC-4380-4CC8-AEC3-BFB2263ECC0E}"/>
    <cellStyle name="Millares 52 2" xfId="2095" xr:uid="{A789D197-F959-45DD-A30D-9133C445E727}"/>
    <cellStyle name="Millares 52 3" xfId="2096" xr:uid="{2AF55C80-0126-4567-B857-07AAB0B29CD4}"/>
    <cellStyle name="Millares 53" xfId="2097" xr:uid="{9AFBE093-BA9A-4477-9DA1-C95231F3BA1C}"/>
    <cellStyle name="Millares 53 2" xfId="2098" xr:uid="{D922FF55-5F03-4671-920B-2019FBA1DFF1}"/>
    <cellStyle name="Millares 53 3" xfId="2099" xr:uid="{B38020B5-F30F-424A-A719-488D0DB93372}"/>
    <cellStyle name="Millares 54" xfId="2100" xr:uid="{E506BDFA-6A33-43F6-A411-20C713E1EFF3}"/>
    <cellStyle name="Millares 55" xfId="2101" xr:uid="{5165F5D9-9631-43F1-B815-4C16C1BA8D9C}"/>
    <cellStyle name="Millares 56" xfId="2102" xr:uid="{76BF5E7F-7F7B-4278-A629-7D16F6F69E30}"/>
    <cellStyle name="Millares 57" xfId="2103" xr:uid="{DA3840F1-CD3B-4BC4-B589-28D84646DF22}"/>
    <cellStyle name="Millares 58" xfId="2104" xr:uid="{F6BA8B34-E643-49F5-81D5-113B3A159D64}"/>
    <cellStyle name="Millares 59" xfId="2105" xr:uid="{24F8769A-E738-49B2-93C4-6B97220CBCA4}"/>
    <cellStyle name="Millares 6" xfId="2106" xr:uid="{90AD772B-0DBE-44AB-A0EA-CB344C2118DB}"/>
    <cellStyle name="Millares 6 2" xfId="2107" xr:uid="{03258F6E-2FD0-4CA8-91E1-CAB236C445D3}"/>
    <cellStyle name="Millares 6 2 2" xfId="2108" xr:uid="{6024B9CE-E17B-4527-8B63-C5554F61A058}"/>
    <cellStyle name="Millares 6 2 3" xfId="2109" xr:uid="{5E76CA7C-4AF7-40EF-9952-4B86FB05BE5F}"/>
    <cellStyle name="Millares 6 2 3 2" xfId="2110" xr:uid="{DF0C87F5-0CBD-425D-BB48-DC9A482A62DC}"/>
    <cellStyle name="Millares 6 2 4" xfId="2111" xr:uid="{D950A0E0-1CAF-4014-84D6-D8FDE1511B00}"/>
    <cellStyle name="Millares 6 2 4 2" xfId="2112" xr:uid="{1C0F08C5-004C-4ADA-8074-012AB607C474}"/>
    <cellStyle name="Millares 6 2 4 3" xfId="2113" xr:uid="{5DB849B4-987B-4555-B9D8-32E1CC878E75}"/>
    <cellStyle name="Millares 6 2 5" xfId="2114" xr:uid="{C28493DD-32D4-4B12-A129-C76B5A209BAD}"/>
    <cellStyle name="Millares 6 2 5 2" xfId="2115" xr:uid="{756338C6-0C5D-48E0-AAD5-04C5D38DF54A}"/>
    <cellStyle name="Millares 6 2 5 3" xfId="2116" xr:uid="{E291931A-71C0-41D1-8064-709B0A2A3A19}"/>
    <cellStyle name="Millares 6 2 6" xfId="2117" xr:uid="{400A8266-879E-4674-AE1F-A07B96D505BD}"/>
    <cellStyle name="Millares 6 2 7" xfId="2118" xr:uid="{508BFFD7-A3BA-403E-B152-0B0C8C723F20}"/>
    <cellStyle name="Millares 6 2 8" xfId="2119" xr:uid="{3DC38406-B1C8-4ACA-8854-0C6AD619836C}"/>
    <cellStyle name="Millares 6 3" xfId="2120" xr:uid="{F1695D5E-5496-4FC4-AB85-5826C42B6C7D}"/>
    <cellStyle name="Millares 6 3 2" xfId="2121" xr:uid="{03542C0C-E373-4B32-8B42-B4E0D0B3AAD6}"/>
    <cellStyle name="Millares 6 3 3" xfId="2122" xr:uid="{D2C4040C-9B9A-4B95-8D10-D9AAED270195}"/>
    <cellStyle name="Millares 6 3 3 2" xfId="2123" xr:uid="{DDC359C4-C52A-4DDB-90DD-96C1B7A5BFFE}"/>
    <cellStyle name="Millares 6 3 4" xfId="2124" xr:uid="{5463C83C-1AB4-4FD4-852C-BF9B02C3E895}"/>
    <cellStyle name="Millares 6 3 4 2" xfId="2125" xr:uid="{E1390EAB-3FE3-4693-90AD-1EC8686FDB4B}"/>
    <cellStyle name="Millares 6 3 4 3" xfId="2126" xr:uid="{EEA04A7A-599F-4476-9F13-B3A6DDCD4903}"/>
    <cellStyle name="Millares 6 3 5" xfId="2127" xr:uid="{5D94FF44-6A69-4399-B638-3BD514095661}"/>
    <cellStyle name="Millares 6 3 5 2" xfId="2128" xr:uid="{22DA4C1D-4408-4303-9AE1-1752FBF4D086}"/>
    <cellStyle name="Millares 6 3 5 3" xfId="2129" xr:uid="{A1DAA637-C7CE-4365-9A69-24EB6B74E062}"/>
    <cellStyle name="Millares 6 3 6" xfId="2130" xr:uid="{5EFE05B0-C172-46B0-960A-ED203A7AD367}"/>
    <cellStyle name="Millares 6 3 7" xfId="2131" xr:uid="{BCEC7596-32CE-48C9-84A2-BE9A306DE0A9}"/>
    <cellStyle name="Millares 6 3 8" xfId="2132" xr:uid="{1C96FFD1-8BE6-4238-ADFE-C16D827BD97B}"/>
    <cellStyle name="Millares 6 4" xfId="2133" xr:uid="{33BFD776-E3FE-45FE-A4FF-64155484BF9D}"/>
    <cellStyle name="Millares 60" xfId="2134" xr:uid="{8349F3FC-4144-446E-AA22-53DF4BA5194D}"/>
    <cellStyle name="Millares 61" xfId="2135" xr:uid="{1D977846-1D78-43EC-8A36-4F4D615C6BDD}"/>
    <cellStyle name="Millares 62" xfId="2136" xr:uid="{E9E17F67-4790-495C-BAF6-C0E9BF4709AA}"/>
    <cellStyle name="Millares 63" xfId="2137" xr:uid="{A404D467-AB22-4109-A978-AC59496B26C7}"/>
    <cellStyle name="Millares 64" xfId="2138" xr:uid="{1EC4F0D6-6E2A-4A41-BDEE-119074918024}"/>
    <cellStyle name="Millares 65" xfId="2139" xr:uid="{D287D357-D278-455A-BC8F-0101B307C2F4}"/>
    <cellStyle name="Millares 65 2" xfId="2140" xr:uid="{96530FC5-3B85-489B-9F6D-E0038D2106D8}"/>
    <cellStyle name="Millares 66" xfId="2141" xr:uid="{9A899A17-2310-415D-AA8F-7472E9F8EC00}"/>
    <cellStyle name="Millares 66 2" xfId="2142" xr:uid="{39E24563-64F0-4FBE-BCD6-1F73E4185799}"/>
    <cellStyle name="Millares 67" xfId="2143" xr:uid="{0238ED42-2A91-48D9-AA97-A18DA22BAB63}"/>
    <cellStyle name="Millares 67 2" xfId="2144" xr:uid="{811A1977-55FD-4A6C-81FD-05B5D0977C09}"/>
    <cellStyle name="Millares 68" xfId="2145" xr:uid="{53C385D6-29B2-47FE-A85C-A7AE02A3A4F8}"/>
    <cellStyle name="Millares 68 2" xfId="2146" xr:uid="{7A20A61F-F068-41CC-8F60-8D5489528778}"/>
    <cellStyle name="Millares 69" xfId="2147" xr:uid="{F6C191EA-9D2A-453E-A601-09A7606BE271}"/>
    <cellStyle name="Millares 69 2" xfId="2148" xr:uid="{AF681595-9408-47D3-8DB5-A1DDE05C9A58}"/>
    <cellStyle name="Millares 7" xfId="2149" xr:uid="{C19D0D63-C75A-457D-8B46-7E31A515C44D}"/>
    <cellStyle name="Millares 7 2" xfId="2150" xr:uid="{684B41D3-C6CA-490A-B958-5B1FE9BF5020}"/>
    <cellStyle name="Millares 7 2 2" xfId="2151" xr:uid="{32623723-100A-458A-A354-42A1261B6C08}"/>
    <cellStyle name="Millares 7 2 2 2" xfId="2152" xr:uid="{A9993CFD-3B36-4CB4-B445-0D2F27A6562C}"/>
    <cellStyle name="Millares 7 2 2 3" xfId="2153" xr:uid="{94D5A4FB-2D58-4040-8725-7628DF9C94BF}"/>
    <cellStyle name="Millares 7 2 2 3 2" xfId="2154" xr:uid="{664EFF4B-CA9D-4721-B02B-074FF1C4E5B4}"/>
    <cellStyle name="Millares 7 2 2 4" xfId="2155" xr:uid="{2396E41C-A09C-4DAC-83B2-B27F31FC7ED8}"/>
    <cellStyle name="Millares 7 2 2 4 2" xfId="2156" xr:uid="{60A27E2C-7DB8-43CA-873B-60371611E827}"/>
    <cellStyle name="Millares 7 2 2 4 3" xfId="2157" xr:uid="{EAA941B9-FA55-4553-8C9B-0269FA984D09}"/>
    <cellStyle name="Millares 7 2 2 5" xfId="2158" xr:uid="{9342DA12-45AA-411A-B1C4-6285A2C4AB9F}"/>
    <cellStyle name="Millares 7 2 2 5 2" xfId="2159" xr:uid="{526B65DE-550C-47D2-889C-5E34BE1B05FD}"/>
    <cellStyle name="Millares 7 2 2 5 3" xfId="2160" xr:uid="{41F5A647-620E-4473-A9B4-57C270798343}"/>
    <cellStyle name="Millares 7 2 2 6" xfId="2161" xr:uid="{2E7D15C6-8613-4307-BD5B-9BEB73DCF434}"/>
    <cellStyle name="Millares 7 2 3" xfId="2162" xr:uid="{D2B64DB8-51B4-4ACC-ADC9-BD29ABF8125F}"/>
    <cellStyle name="Millares 7 2 3 2" xfId="2163" xr:uid="{8488FAFF-A4C1-4F04-8E33-BB4AAF04B2BD}"/>
    <cellStyle name="Millares 7 2 4" xfId="2164" xr:uid="{9BCCF31D-E0F0-45F8-ABF4-B446735E8375}"/>
    <cellStyle name="Millares 7 2 4 2" xfId="2165" xr:uid="{E7A07C8C-4806-4285-97FB-6EEDC97216CA}"/>
    <cellStyle name="Millares 7 2 4 3" xfId="2166" xr:uid="{8DF162A3-4D66-405F-AA3F-9E36A3EA6801}"/>
    <cellStyle name="Millares 7 2 5" xfId="2167" xr:uid="{EBF462FD-462F-485D-A2A4-DC3DF331CB74}"/>
    <cellStyle name="Millares 7 2 5 2" xfId="2168" xr:uid="{AB4BECC3-E4C0-4965-B8FB-A273F96E3E60}"/>
    <cellStyle name="Millares 7 2 5 3" xfId="2169" xr:uid="{C53464A2-8464-46C0-86A1-FC6E09C3C83E}"/>
    <cellStyle name="Millares 7 2 5 4" xfId="2170" xr:uid="{B2B519F1-024B-45E5-9A4F-78EAFA44564C}"/>
    <cellStyle name="Millares 7 2 6" xfId="2171" xr:uid="{9F9976D7-0ABC-4139-AD1B-5726B5AD58D6}"/>
    <cellStyle name="Millares 7 2 6 2" xfId="2172" xr:uid="{FCCC6B0D-F74A-42A3-849B-C79856D46B33}"/>
    <cellStyle name="Millares 7 2 6 3" xfId="2173" xr:uid="{EED12759-C742-4591-9720-F5F7539B9BAA}"/>
    <cellStyle name="Millares 7 2 6 4" xfId="2174" xr:uid="{113FBFB5-4939-487F-964E-C8270F55F228}"/>
    <cellStyle name="Millares 7 2 7" xfId="2175" xr:uid="{4FA4D612-2262-41CC-984C-2F3013D2FE09}"/>
    <cellStyle name="Millares 7 2 8" xfId="2176" xr:uid="{846B0000-2556-4D86-9665-925AC8992948}"/>
    <cellStyle name="Millares 7 2 9" xfId="2177" xr:uid="{66393555-D30C-499F-9D52-D7700C24D3C1}"/>
    <cellStyle name="Millares 7 3" xfId="2178" xr:uid="{249B2487-4DEB-4940-89D1-73D621C88AEA}"/>
    <cellStyle name="Millares 7 3 2" xfId="2179" xr:uid="{292F41E4-A331-475E-B0CF-DDC4590E9754}"/>
    <cellStyle name="Millares 7 3 2 2" xfId="2180" xr:uid="{FC4E825F-A526-4EDB-8CBA-5DBA390484B6}"/>
    <cellStyle name="Millares 7 3 2 3" xfId="2181" xr:uid="{51E5EC6E-B361-43CC-B6FF-751B140A98E4}"/>
    <cellStyle name="Millares 7 3 2 3 2" xfId="2182" xr:uid="{CF192E83-AE22-4BB3-A03A-C87E6096D53D}"/>
    <cellStyle name="Millares 7 3 2 4" xfId="2183" xr:uid="{A90FBB7A-E3CE-4115-8538-A9B440003218}"/>
    <cellStyle name="Millares 7 3 2 4 2" xfId="2184" xr:uid="{08DEBCD8-154E-45BC-9F57-536D676D0C71}"/>
    <cellStyle name="Millares 7 3 2 4 3" xfId="2185" xr:uid="{08D798E0-F02F-4C2F-85DA-53B75D6E8AD3}"/>
    <cellStyle name="Millares 7 3 2 5" xfId="2186" xr:uid="{CDD1D10A-F02A-4C79-BC51-2B6D22990DF7}"/>
    <cellStyle name="Millares 7 3 2 5 2" xfId="2187" xr:uid="{D3C5F194-32BB-41BE-B849-5B17E5BDCFDB}"/>
    <cellStyle name="Millares 7 3 2 5 3" xfId="2188" xr:uid="{E338F4A8-BBAE-4E3B-AA59-684CA1B35869}"/>
    <cellStyle name="Millares 7 3 2 6" xfId="2189" xr:uid="{ADC8DA86-3D01-4A88-B675-DBB239B7BBF2}"/>
    <cellStyle name="Millares 7 3 3" xfId="2190" xr:uid="{68B0D33F-B3A2-4EEE-8C2C-6CD4EA83DC51}"/>
    <cellStyle name="Millares 7 3 4" xfId="2191" xr:uid="{B082823A-844F-4020-9B64-8FB7666E94AB}"/>
    <cellStyle name="Millares 7 3 5" xfId="2192" xr:uid="{F739197D-BC94-4B32-888E-DBE6E91D31E5}"/>
    <cellStyle name="Millares 7 3 6" xfId="2193" xr:uid="{D9955248-1C30-4FAC-A93D-5CABA7AF6FC3}"/>
    <cellStyle name="Millares 7 3 7" xfId="2194" xr:uid="{015F88E9-4687-49EE-8D9F-53C857949319}"/>
    <cellStyle name="Millares 7 3 8" xfId="2195" xr:uid="{064F10F2-BF8B-4FB6-8898-673B5FC21595}"/>
    <cellStyle name="Millares 7 4" xfId="2196" xr:uid="{B4B4743E-8F68-4A69-BFD2-381D60E1651B}"/>
    <cellStyle name="Millares 70" xfId="2197" xr:uid="{A755B2F7-C4C0-4129-94F7-944056F69B6E}"/>
    <cellStyle name="Millares 70 2" xfId="2198" xr:uid="{A2CD577C-F97B-4AC6-8BD0-713988A32E9B}"/>
    <cellStyle name="Millares 71" xfId="2199" xr:uid="{012CD608-696B-4C07-8D8B-42BBE9383FB7}"/>
    <cellStyle name="Millares 71 2" xfId="2200" xr:uid="{397008F2-0ADC-4940-B64B-FEDA97504F5A}"/>
    <cellStyle name="Millares 72" xfId="2201" xr:uid="{DD606027-A828-4AF5-A801-0B50530F176C}"/>
    <cellStyle name="Millares 72 2" xfId="2202" xr:uid="{E01DA15E-4184-45B9-B2A5-47D1F41A7C80}"/>
    <cellStyle name="Millares 73" xfId="2203" xr:uid="{FFAFBFDF-F61E-40CB-B3A0-0EF4D828CE55}"/>
    <cellStyle name="Millares 73 2" xfId="2204" xr:uid="{58E9DD60-E579-4CC2-BF97-F5BECE150FE0}"/>
    <cellStyle name="Millares 74" xfId="2205" xr:uid="{8E438BE7-9D0A-4CDD-B084-71A0FB2071F9}"/>
    <cellStyle name="Millares 74 2" xfId="2206" xr:uid="{D86CD299-6B47-4492-934B-EC40225E8CE5}"/>
    <cellStyle name="Millares 75" xfId="2207" xr:uid="{5A739B62-3C5D-4988-B6F2-1F05CD1E334A}"/>
    <cellStyle name="Millares 75 2" xfId="2208" xr:uid="{25C5EDE6-044D-46F1-A2BD-4A8CEC92AAF1}"/>
    <cellStyle name="Millares 75 3" xfId="2209" xr:uid="{38D596F6-D519-4E0D-BD19-50B52DDDC60D}"/>
    <cellStyle name="Millares 76" xfId="2210" xr:uid="{31B81923-1C13-4A4A-ADF7-491D7AB2126C}"/>
    <cellStyle name="Millares 77" xfId="2211" xr:uid="{7EE64AE8-3192-44BE-A36D-C98E1A4B3972}"/>
    <cellStyle name="Millares 78" xfId="2212" xr:uid="{765841B5-6DFD-4CF5-A5C6-C66BD2641890}"/>
    <cellStyle name="Millares 79" xfId="2213" xr:uid="{77EAD415-6135-4078-9A97-1AFF575D71F0}"/>
    <cellStyle name="Millares 8" xfId="2214" xr:uid="{15F6F20D-15E1-473C-8D41-A14D6BCB9335}"/>
    <cellStyle name="Millares 8 2" xfId="2215" xr:uid="{59028976-195E-4224-8C3F-145694BCF95B}"/>
    <cellStyle name="Millares 8 3" xfId="2216" xr:uid="{F63D8636-8395-4F11-82AD-033C62185A31}"/>
    <cellStyle name="Millares 80" xfId="2217" xr:uid="{6768CFD2-A2FD-477D-AF51-ADB3FEACE3E5}"/>
    <cellStyle name="Millares 81" xfId="2218" xr:uid="{4F691C37-BF17-4AC6-85C4-7C5433756A51}"/>
    <cellStyle name="Millares 82" xfId="2219" xr:uid="{0F881AF7-A6B9-4249-9C7C-B7154648CE36}"/>
    <cellStyle name="Millares 83" xfId="2220" xr:uid="{89CB7DF8-1A6F-41BF-B9DB-53F31A7ED019}"/>
    <cellStyle name="Millares 84" xfId="2221" xr:uid="{FC7B4F61-4DE4-4822-B569-4FF527A5FA72}"/>
    <cellStyle name="Millares 85" xfId="2222" xr:uid="{FFEFF858-7BD8-430C-8793-0DBB77482873}"/>
    <cellStyle name="Millares 86" xfId="2223" xr:uid="{142B0836-0B44-41B1-BA4B-5EF488A14468}"/>
    <cellStyle name="Millares 87" xfId="2224" xr:uid="{F6BA0479-C894-4AA4-A687-774C1A11D47B}"/>
    <cellStyle name="Millares 88" xfId="2225" xr:uid="{819719EC-7BF4-462D-9506-FD2BCA62EDBD}"/>
    <cellStyle name="Millares 89" xfId="2226" xr:uid="{0FB084E9-CD5E-427C-A261-9DCCD95F0FC8}"/>
    <cellStyle name="Millares 9" xfId="2227" xr:uid="{7E2C4E5E-20E5-4AB6-A162-E5E28E33D097}"/>
    <cellStyle name="Millares 9 11" xfId="2228" xr:uid="{70FFDC8F-D7E4-4B2C-8F44-CB16FBB647EF}"/>
    <cellStyle name="Millares 9 2" xfId="2229" xr:uid="{77281B51-B51E-44C1-87FC-EEEF4AE226FC}"/>
    <cellStyle name="Millares 90" xfId="2230" xr:uid="{1761AD6D-B103-4FCA-9C07-0D5DBA09F964}"/>
    <cellStyle name="Millares 91" xfId="2231" xr:uid="{EE51173C-0C81-412D-89AD-1200D0DBB848}"/>
    <cellStyle name="Millares 92" xfId="2232" xr:uid="{4CFF5D2A-6E6F-4F0B-8667-85EFD7E8220F}"/>
    <cellStyle name="Millares 93" xfId="2233" xr:uid="{AB4BC6A5-F2BD-4422-A15E-FC412D51201F}"/>
    <cellStyle name="Millares 94" xfId="2234" xr:uid="{7E1F0907-5B06-4C0A-AC6A-9F56A015EF4E}"/>
    <cellStyle name="Millares 95" xfId="2235" xr:uid="{476FAEF6-9FF2-4726-A862-C4BDD257D8EF}"/>
    <cellStyle name="Millares 96" xfId="2236" xr:uid="{8D0FDB81-7277-4269-A333-0DBC00A2737A}"/>
    <cellStyle name="Moneda 2" xfId="2237" xr:uid="{F1F7672D-3D41-48BE-9023-96B0C55840D9}"/>
    <cellStyle name="Moneda 2 2" xfId="2238" xr:uid="{3798943D-7E9C-459F-97C9-4AF232474A1E}"/>
    <cellStyle name="Moneda 3" xfId="2239" xr:uid="{D003CA52-C128-4970-A8FE-4AD65CF1EC01}"/>
    <cellStyle name="Moneda 3 2" xfId="2240" xr:uid="{64A3016E-EE72-4C30-B11A-EC8DA7B89D5F}"/>
    <cellStyle name="Moneda 4" xfId="2241" xr:uid="{D2A8DFB9-3B01-456E-A0B8-B6BE318DACA6}"/>
    <cellStyle name="Moneda 4 2" xfId="2242" xr:uid="{8DDB5370-2958-4B0B-8456-1A39AA2FCAFD}"/>
    <cellStyle name="Moneda 4 2 2" xfId="2243" xr:uid="{AA217775-4F17-4588-B85B-F8F2A509D713}"/>
    <cellStyle name="Moneda 4 2 3" xfId="2244" xr:uid="{BBCCA51C-90C0-46EB-9283-01DC38B51919}"/>
    <cellStyle name="Moneda 4 2 3 2" xfId="2245" xr:uid="{488E7E07-ACD8-4199-ACA3-A20D26DAB9A8}"/>
    <cellStyle name="Moneda 4 2 4" xfId="2246" xr:uid="{7F21DECD-7BE8-415E-9937-8DBDCCC6EBDA}"/>
    <cellStyle name="Moneda 4 2 4 2" xfId="2247" xr:uid="{7CC54CC0-7504-4AF5-9081-EA9D01AFDCB6}"/>
    <cellStyle name="Moneda 4 2 4 3" xfId="2248" xr:uid="{B8456A6E-E1E1-4CEE-B808-006339828B16}"/>
    <cellStyle name="Moneda 4 2 5" xfId="2249" xr:uid="{F162CF91-38F3-48E4-B6F8-C778BCC38D40}"/>
    <cellStyle name="Moneda 4 2 5 2" xfId="2250" xr:uid="{31358A6C-20F7-4B0D-83FF-98F76F548E39}"/>
    <cellStyle name="Moneda 4 2 5 3" xfId="2251" xr:uid="{4015459C-F26D-4631-A451-83972E48F3D7}"/>
    <cellStyle name="Moneda 4 2 6" xfId="2252" xr:uid="{DD4BC676-12B0-476D-A09E-B380CB51D61C}"/>
    <cellStyle name="Moneda 4 2 7" xfId="2253" xr:uid="{30BC9CBD-E8DA-4E9F-BAC3-AB66B7C0FA1D}"/>
    <cellStyle name="Moneda 4 2 8" xfId="2254" xr:uid="{ABA5BBDB-8BED-4928-B0BC-3D8794B56D0C}"/>
    <cellStyle name="Moneda 4 3" xfId="2255" xr:uid="{A7DBFB05-0392-43BA-B9D4-4E65DCB98199}"/>
    <cellStyle name="Moneda 4 4" xfId="2256" xr:uid="{729B550A-A706-4289-9A70-99276434487A}"/>
    <cellStyle name="Moneda 4 4 2" xfId="2257" xr:uid="{F90ED897-A1F6-46F2-B689-CE5F23E84B61}"/>
    <cellStyle name="Moneda 4 5" xfId="2258" xr:uid="{5E7BD074-2967-47D1-BFA8-D105413706DA}"/>
    <cellStyle name="Moneda 4 5 2" xfId="2259" xr:uid="{B66AE934-B214-4808-B0CC-2BBC4974618C}"/>
    <cellStyle name="Moneda 4 5 3" xfId="2260" xr:uid="{290DF52E-840B-4BEB-B635-C907C8846AE8}"/>
    <cellStyle name="Moneda 4 6" xfId="2261" xr:uid="{C2BC9745-7355-4485-9582-8BBA4915A70F}"/>
    <cellStyle name="Moneda 4 6 2" xfId="2262" xr:uid="{4586948B-A9F9-4A7A-BC6E-207B1DA686C7}"/>
    <cellStyle name="Moneda 4 6 3" xfId="2263" xr:uid="{82FF8BD2-E7C2-4C90-B6CA-28F8298D7FF8}"/>
    <cellStyle name="Moneda 4 7" xfId="2264" xr:uid="{6F0900A2-1857-4CE5-9EDE-9DE1D0607C64}"/>
    <cellStyle name="Moneda 4 8" xfId="2265" xr:uid="{F998A3EC-907F-47F2-A98E-280B373BECAB}"/>
    <cellStyle name="Moneda 4 9" xfId="2266" xr:uid="{B42D4428-EBDD-4C57-99F5-46D848CEF327}"/>
    <cellStyle name="Moneda 5" xfId="2267" xr:uid="{29FD50E6-5C1E-47FB-91EA-9CD55AF5D855}"/>
    <cellStyle name="Moneda 5 2" xfId="2268" xr:uid="{E033F026-8A56-4960-A661-315F808333E7}"/>
    <cellStyle name="Moneda 5 2 2" xfId="2269" xr:uid="{DB55231D-9601-40B5-AAC1-384B1988329D}"/>
    <cellStyle name="Moneda 5 2 3" xfId="2270" xr:uid="{98D909FA-1F83-4BB5-B0D6-92A2CD2FA53F}"/>
    <cellStyle name="Moneda 5 2 3 2" xfId="2271" xr:uid="{F5E249B3-384A-47FA-A616-859CFE84DD95}"/>
    <cellStyle name="Moneda 5 2 4" xfId="2272" xr:uid="{20088B96-FA52-4707-A415-350D0B1563FE}"/>
    <cellStyle name="Moneda 5 2 4 2" xfId="2273" xr:uid="{FB442704-8CBF-4385-9333-44DD36087118}"/>
    <cellStyle name="Moneda 5 2 4 3" xfId="2274" xr:uid="{78E6F1BB-92DB-45CB-A5C4-8AE2D6A70B7E}"/>
    <cellStyle name="Moneda 5 2 5" xfId="2275" xr:uid="{298563B6-E8B2-4478-832C-904B7F211FAC}"/>
    <cellStyle name="Moneda 5 2 5 2" xfId="2276" xr:uid="{094B806C-82B0-43BB-842E-8CDFC1286B70}"/>
    <cellStyle name="Moneda 5 2 5 3" xfId="2277" xr:uid="{BA7AA378-CCFF-41A7-A975-13489216DC0A}"/>
    <cellStyle name="Moneda 5 2 6" xfId="2278" xr:uid="{E1875FC4-F942-46D0-9A0D-1F7D88DB2E3D}"/>
    <cellStyle name="Moneda 5 2 7" xfId="2279" xr:uid="{CF1DA1BC-9659-48A5-97C7-D0DA3E1F8F3F}"/>
    <cellStyle name="Moneda 5 2 8" xfId="2280" xr:uid="{6BFB8EAB-742F-474E-88B9-871154EE86DD}"/>
    <cellStyle name="Moneda 5 3" xfId="2281" xr:uid="{29711D5B-4038-44DE-AF22-FE7DAC1C8D2F}"/>
    <cellStyle name="Moneda 5 4" xfId="2282" xr:uid="{66511EB3-D85F-4FA7-B3E8-877A4F2584F3}"/>
    <cellStyle name="Moneda 5 4 2" xfId="2283" xr:uid="{82D6F46F-DBE5-4D79-9752-FD36941B98E2}"/>
    <cellStyle name="Moneda 5 5" xfId="2284" xr:uid="{5AF3F895-8681-4E1E-9737-72622BDCFBAD}"/>
    <cellStyle name="Moneda 5 5 2" xfId="2285" xr:uid="{D87AB3EE-0448-4715-83DF-B63297A6D355}"/>
    <cellStyle name="Moneda 5 5 3" xfId="2286" xr:uid="{F4CBBA8C-D855-48EC-8248-3FF6CDF6C6F8}"/>
    <cellStyle name="Moneda 5 6" xfId="2287" xr:uid="{EA3316C7-DD89-4A28-B6DD-801D29A2E389}"/>
    <cellStyle name="Moneda 5 6 2" xfId="2288" xr:uid="{DC607CE0-6A18-4176-A42D-1E2A428BA6B4}"/>
    <cellStyle name="Moneda 5 6 3" xfId="2289" xr:uid="{BA06C918-4F9F-4514-A3D3-CD23B3370F06}"/>
    <cellStyle name="Moneda 5 7" xfId="2290" xr:uid="{E048B0AC-877A-4B89-929B-5F81742EE73D}"/>
    <cellStyle name="Moneda 5 8" xfId="2291" xr:uid="{96144C2E-3744-4A77-95E7-B3BEBAE3066F}"/>
    <cellStyle name="Moneda 5 9" xfId="2292" xr:uid="{38F4DD3A-0B32-43E4-A1DC-6E2B85F059F5}"/>
    <cellStyle name="Monetario" xfId="2293" xr:uid="{696423EF-8ABB-4C68-9F59-F9FFF717A86B}"/>
    <cellStyle name="Monetario0" xfId="2294" xr:uid="{4074BDEB-FC7F-498C-B0F3-1EA35B135506}"/>
    <cellStyle name="movimentação" xfId="2295" xr:uid="{63930FF2-89B1-45E9-9175-A2CB9A07088A}"/>
    <cellStyle name="Neutra 2" xfId="2296" xr:uid="{70D80F75-A910-4239-8DAD-2B1671C10DAA}"/>
    <cellStyle name="Neutral 10" xfId="2297" xr:uid="{B4932C35-5058-4289-B6DB-9987642F1971}"/>
    <cellStyle name="Neutral 11" xfId="2298" xr:uid="{0E2FF93E-863B-48B8-8AF0-376437789C6C}"/>
    <cellStyle name="Neutral 12" xfId="2299" xr:uid="{6DFD9401-EF79-460D-AEF3-1876F812BF9D}"/>
    <cellStyle name="Neutral 13" xfId="2300" xr:uid="{5B1B309F-552B-43BE-B4F7-9E5B244BF0A8}"/>
    <cellStyle name="Neutral 14" xfId="2301" xr:uid="{AC9F66AF-7A5D-4510-B433-88868686187E}"/>
    <cellStyle name="Neutral 15" xfId="2302" xr:uid="{15ABE7C1-1DF9-4FE6-B0B9-7EC69429E0E7}"/>
    <cellStyle name="Neutral 16" xfId="2303" xr:uid="{F7D787FF-B5F6-4117-94CE-18C5427E9799}"/>
    <cellStyle name="Neutral 17" xfId="2304" xr:uid="{A5B0CAA8-E76E-4E93-9322-A3A1641ABBB4}"/>
    <cellStyle name="Neutral 18" xfId="2305" xr:uid="{44870C4A-4093-4F22-BCFF-77C596E935FF}"/>
    <cellStyle name="Neutral 19" xfId="2306" xr:uid="{DD4E3953-6569-4CD5-BC2E-81F11EF1C3EB}"/>
    <cellStyle name="Neutral 2" xfId="352" xr:uid="{E781D910-513D-4392-8440-00E26F66DF7A}"/>
    <cellStyle name="Neutral 2 2" xfId="2308" xr:uid="{CA9CF180-42B0-479D-A566-EA5323379AD1}"/>
    <cellStyle name="Neutral 2 3" xfId="2307" xr:uid="{D505AFEE-4C5C-41E0-B3D5-B140FA85B990}"/>
    <cellStyle name="Neutral 2 4" xfId="540" xr:uid="{0F0F61AD-B594-44D7-AD0C-5F94157ADEE1}"/>
    <cellStyle name="Neutral 20" xfId="2309" xr:uid="{27AF6AE8-EF71-4EAD-93EB-F7489316302B}"/>
    <cellStyle name="Neutral 21" xfId="2310" xr:uid="{1A8D0D37-52B0-4F55-9C6F-5B9166FD139E}"/>
    <cellStyle name="Neutral 22" xfId="2311" xr:uid="{742858C8-1529-4434-8578-019D54380B1E}"/>
    <cellStyle name="Neutral 23" xfId="2312" xr:uid="{83077291-7018-49F6-B55C-E7A657F0F8E9}"/>
    <cellStyle name="Neutral 24" xfId="556" xr:uid="{AD72FCB6-652C-402B-A7EB-474084957C24}"/>
    <cellStyle name="Neutral 3" xfId="404" xr:uid="{6D670320-A8F3-47B0-869A-2DCE36188B90}"/>
    <cellStyle name="Neutral 3 2" xfId="2314" xr:uid="{BA33ACFB-BB85-42F5-8E9B-38AE6D211D24}"/>
    <cellStyle name="Neutral 3 3" xfId="2313" xr:uid="{860ADC1E-A752-41A2-842B-CDCD3FED9B97}"/>
    <cellStyle name="Neutral 4" xfId="2315" xr:uid="{D7F09C9F-822E-4A14-8CA9-67CB452683FC}"/>
    <cellStyle name="Neutral 5" xfId="2316" xr:uid="{C15AB413-3A59-4568-9439-4C68F25EB999}"/>
    <cellStyle name="Neutral 6" xfId="2317" xr:uid="{62B7FC44-A230-428F-A63A-24C29F58B21C}"/>
    <cellStyle name="Neutral 7" xfId="2318" xr:uid="{579D4581-4991-4DEE-9F0D-7B0EBD5F044E}"/>
    <cellStyle name="Neutral 8" xfId="2319" xr:uid="{D03B034A-358B-45F6-B469-149B32D03FC6}"/>
    <cellStyle name="Neutral 9" xfId="2320" xr:uid="{A64B8723-6FBD-4301-8390-8548D1FE1958}"/>
    <cellStyle name="Normal" xfId="0" builtinId="0"/>
    <cellStyle name="Normal 10" xfId="19" xr:uid="{4AF07BDF-75FB-4AAB-B71E-341CE8299CF5}"/>
    <cellStyle name="Normal 10 2" xfId="20" xr:uid="{0D392EA1-475A-42E4-9B3B-0EECBD7C17C9}"/>
    <cellStyle name="Normal 10 2 2" xfId="21" xr:uid="{961D32D4-68A1-4292-9109-2E9D8DEFF0F1}"/>
    <cellStyle name="Normal 10 2 2 2" xfId="2322" xr:uid="{8F067360-78F1-4D50-B54E-B0FFFBF2C351}"/>
    <cellStyle name="Normal 10 2 3" xfId="2323" xr:uid="{72B0CE44-21F7-4333-8A27-741B910F6A20}"/>
    <cellStyle name="Normal 10 2 4" xfId="2321" xr:uid="{DDE4D0EF-1E37-4E37-AC62-3A9CB3C7214C}"/>
    <cellStyle name="Normal 10 2_BOS Workings" xfId="22" xr:uid="{5DD9F37A-B812-49FE-BAA4-B6617C7F4956}"/>
    <cellStyle name="Normal 10 3" xfId="23" xr:uid="{2518B61E-2D83-43C6-BBE0-5804A4E7961D}"/>
    <cellStyle name="Normal 10 3 2" xfId="2325" xr:uid="{2175E11B-0079-4588-B6A0-EA8CCD27B51B}"/>
    <cellStyle name="Normal 10 3 3" xfId="2324" xr:uid="{593795C7-29CA-4231-9668-EAB0FF2E2CE1}"/>
    <cellStyle name="Normal 10 4" xfId="2326" xr:uid="{854E717C-9EC3-40FA-8D79-3F897BA648DC}"/>
    <cellStyle name="Normal 10 5" xfId="2327" xr:uid="{385E9748-07C5-48AB-9C7F-D303FAD1175F}"/>
    <cellStyle name="Normal 10_BOS Workings" xfId="24" xr:uid="{3E383A14-90A4-495D-8349-61F5C8B46CF0}"/>
    <cellStyle name="Normal 100" xfId="25" xr:uid="{C32DE664-C10B-4125-A605-485DA341AC7B}"/>
    <cellStyle name="Normal 100 2" xfId="26" xr:uid="{78056CBC-98EC-43D0-8923-FA936B4A0CAD}"/>
    <cellStyle name="Normal 101" xfId="27" xr:uid="{AB523804-113F-43A9-8881-B8D951B529E7}"/>
    <cellStyle name="Normal 101 2" xfId="28" xr:uid="{37096DEC-1778-4CFF-8B39-5D1BD9F90959}"/>
    <cellStyle name="Normal 102" xfId="29" xr:uid="{17CC0420-EA8B-4061-BF6F-58B9371FB20E}"/>
    <cellStyle name="Normal 102 2" xfId="30" xr:uid="{6B2AFCE0-F98F-4154-A4DA-2E00ADCD3420}"/>
    <cellStyle name="Normal 103" xfId="31" xr:uid="{992C4FA7-F819-49D7-AF32-1E543BA4D767}"/>
    <cellStyle name="Normal 103 2" xfId="32" xr:uid="{26902690-FF9A-448E-A780-888A7B249E14}"/>
    <cellStyle name="Normal 104" xfId="33" xr:uid="{31CED6A3-9256-4D90-B6DC-DB69B50714DC}"/>
    <cellStyle name="Normal 104 2" xfId="34" xr:uid="{96AC2BBE-BBFB-444A-BB3B-4C551E25B105}"/>
    <cellStyle name="Normal 105" xfId="35" xr:uid="{16C6DF51-55DA-4435-9932-0BF43114983A}"/>
    <cellStyle name="Normal 105 2" xfId="36" xr:uid="{8C54396E-1E1E-4BDE-8D9B-277CADA621BC}"/>
    <cellStyle name="Normal 106" xfId="37" xr:uid="{C19225CB-6050-4A6A-A9BA-FFC21875B8D2}"/>
    <cellStyle name="Normal 106 2" xfId="38" xr:uid="{235A0925-847F-411B-BBE7-2CF0DEAEB4EB}"/>
    <cellStyle name="Normal 107" xfId="39" xr:uid="{146145D1-3B37-49DB-9E0F-98182FD0EF2B}"/>
    <cellStyle name="Normal 107 2" xfId="40" xr:uid="{EAF818AD-7B0D-4497-9A9D-DCF305DE267C}"/>
    <cellStyle name="Normal 108" xfId="41" xr:uid="{BCE4B938-26A8-4DD3-93BC-42AC1B647606}"/>
    <cellStyle name="Normal 108 2" xfId="42" xr:uid="{592F12E7-0A97-4CD6-8378-9E9342DB984E}"/>
    <cellStyle name="Normal 109" xfId="43" xr:uid="{3EFA25E5-D2E8-459C-AD71-4F870FC9B844}"/>
    <cellStyle name="Normal 11" xfId="44" xr:uid="{9CFF26D7-8FE2-4FA5-9ED9-7FAFA3BE6308}"/>
    <cellStyle name="Normal 11 2" xfId="45" xr:uid="{1D1E1034-C0C9-4B1B-84D7-9170779FAF36}"/>
    <cellStyle name="Normal 11 2 2" xfId="46" xr:uid="{A84AF54C-1F10-44E0-BD0B-371E5896EE74}"/>
    <cellStyle name="Normal 11 2 2 2" xfId="2330" xr:uid="{82754026-3FFC-4416-A0B3-533B25337C3B}"/>
    <cellStyle name="Normal 11 2 3" xfId="2331" xr:uid="{02A8B4CD-E70A-4E0E-A386-5A2376BA24F8}"/>
    <cellStyle name="Normal 11 2 4" xfId="2329" xr:uid="{7D350B9E-E46B-4D56-B3A4-CEC5307B627A}"/>
    <cellStyle name="Normal 11 2_BOS Workings" xfId="47" xr:uid="{BACC94D7-4E93-4A27-AF18-79CCF69D1FBE}"/>
    <cellStyle name="Normal 11 3" xfId="48" xr:uid="{CE00310E-D8E3-48F3-9F2E-632AFCC054DF}"/>
    <cellStyle name="Normal 11 3 2" xfId="2332" xr:uid="{7BE9536F-EFD1-4CC5-9590-603CE0CD5782}"/>
    <cellStyle name="Normal 11 4" xfId="2333" xr:uid="{790EF5AB-82BF-4A5B-92FD-C6528D7AE6E6}"/>
    <cellStyle name="Normal 11 5" xfId="2328" xr:uid="{DAD03CC4-5209-420C-B249-7E950956E5E2}"/>
    <cellStyle name="Normal 11_BOS Workings" xfId="49" xr:uid="{B8B83705-9494-4F5A-9161-49D62672DB9B}"/>
    <cellStyle name="Normal 110" xfId="50" xr:uid="{76A4C3CF-0B08-4940-AF63-E334F6893BF0}"/>
    <cellStyle name="Normal 111" xfId="51" xr:uid="{51AB25A8-B30F-4349-B43E-4E6B251B143D}"/>
    <cellStyle name="Normal 112" xfId="52" xr:uid="{3361144A-BA89-4113-8662-BDB1F3ABF4D7}"/>
    <cellStyle name="Normal 113" xfId="53" xr:uid="{CB7B584C-E177-4F70-BA0D-CF2E1A0DDF76}"/>
    <cellStyle name="Normal 114" xfId="54" xr:uid="{EB3A99D4-31B0-4EB0-8F92-0D33C7A45DBA}"/>
    <cellStyle name="Normal 115" xfId="55" xr:uid="{F41BD0BF-D6AF-464D-9B4D-83D7713BB7DD}"/>
    <cellStyle name="Normal 116" xfId="56" xr:uid="{FEF7F393-0651-403C-AEE9-11257E965C49}"/>
    <cellStyle name="Normal 117" xfId="57" xr:uid="{D09623FF-E2D4-43FC-B2E3-80D027EF4861}"/>
    <cellStyle name="Normal 118" xfId="58" xr:uid="{FD38B4BF-D846-4361-9A2D-06436D8D94B1}"/>
    <cellStyle name="Normal 119" xfId="59" xr:uid="{A950B7F0-F571-4931-AE35-C0857BFB45D8}"/>
    <cellStyle name="Normal 12" xfId="60" xr:uid="{026DF6D9-47DF-4D4D-BD25-5DEA37B9DE4F}"/>
    <cellStyle name="Normal 12 2" xfId="61" xr:uid="{5493B6A6-7569-46BB-BCC6-0136A4CAC781}"/>
    <cellStyle name="Normal 12 2 2" xfId="62" xr:uid="{114BA130-3782-4B6B-8901-9C32D5608C3E}"/>
    <cellStyle name="Normal 12 2 2 2" xfId="2336" xr:uid="{3C6A7E98-747E-4967-964D-69E6F4375E02}"/>
    <cellStyle name="Normal 12 2 3" xfId="2335" xr:uid="{AD908C69-94E3-46C7-B45E-A0C67F3209DB}"/>
    <cellStyle name="Normal 12 2_BOS Workings" xfId="63" xr:uid="{71739268-8482-4DEC-AB4A-ACB24B177391}"/>
    <cellStyle name="Normal 12 3" xfId="64" xr:uid="{3C4781D8-7A89-4259-B7DC-047F16D8AA48}"/>
    <cellStyle name="Normal 12 3 2" xfId="2337" xr:uid="{AA2C4A07-BF81-4F84-A8BF-E7CD71C07F77}"/>
    <cellStyle name="Normal 12 4" xfId="2334" xr:uid="{4EAE4E7D-782E-4505-95B6-DC97A6D82B45}"/>
    <cellStyle name="Normal 12_BOS Workings" xfId="65" xr:uid="{5D047480-80F4-4B28-9042-ECEC0F44C1C8}"/>
    <cellStyle name="Normal 120" xfId="366" xr:uid="{60ACB3FB-33ED-4AE4-9919-D45F2F73ADDF}"/>
    <cellStyle name="Normal 120 2" xfId="4495" xr:uid="{A81AC126-995F-4E2E-A3E6-A4C7541AEE0D}"/>
    <cellStyle name="Normal 120 2 2" xfId="4542" xr:uid="{F53FC631-3E5E-430B-8866-6E554EA24185}"/>
    <cellStyle name="Normal 121" xfId="419" xr:uid="{01C0E7BA-42FA-4DB2-9B94-E0CA20E39922}"/>
    <cellStyle name="Normal 122" xfId="423" xr:uid="{B0C91951-C19F-4B53-B632-7E04BD62A274}"/>
    <cellStyle name="Normal 123" xfId="425" xr:uid="{57AD225E-85E1-4CF0-870B-1F6CF8BF8B3F}"/>
    <cellStyle name="Normal 124" xfId="437" xr:uid="{2493699F-6909-466D-B22A-F4FB55D43989}"/>
    <cellStyle name="Normal 125" xfId="427" xr:uid="{04726D51-D3BE-48AC-9198-6230C07D349D}"/>
    <cellStyle name="Normal 126" xfId="439" xr:uid="{6A005E54-32C1-4DA0-BB91-AEA3DDE2139D}"/>
    <cellStyle name="Normal 127" xfId="441" xr:uid="{5C7580DB-0EDB-4F4B-82E2-3EF32BC87367}"/>
    <cellStyle name="Normal 127 2" xfId="4567" xr:uid="{A3BA6DE2-BC44-46D3-8F3B-C4B2AB12D805}"/>
    <cellStyle name="Normal 128" xfId="359" xr:uid="{6EFCA679-E088-40C0-AFC1-78E7B10D60AF}"/>
    <cellStyle name="Normal 129" xfId="412" xr:uid="{3011C2F9-9522-438F-9686-FA83D4075AA7}"/>
    <cellStyle name="Normal 13" xfId="66" xr:uid="{C1FF8018-79A9-4EBD-B7F1-743092DEFA74}"/>
    <cellStyle name="Normal 13 2" xfId="67" xr:uid="{5288E6DF-E1C1-4596-B78D-B0752D190BA5}"/>
    <cellStyle name="Normal 13 2 2" xfId="68" xr:uid="{8BBB8991-BF30-457B-A0CA-DF7CD5BD4E09}"/>
    <cellStyle name="Normal 13 2 3" xfId="2339" xr:uid="{36B5500E-3BA8-46AB-B522-D86A5FD15582}"/>
    <cellStyle name="Normal 13 2_BOS Workings" xfId="69" xr:uid="{B5CFA01C-E034-4256-ABD7-30F78CE83582}"/>
    <cellStyle name="Normal 13 3" xfId="70" xr:uid="{DC272B32-BBA2-4B9B-862E-07711F530BB0}"/>
    <cellStyle name="Normal 13 3 2" xfId="2340" xr:uid="{2F1A8E2E-FB27-48F9-A6AC-8188B50D5B6A}"/>
    <cellStyle name="Normal 13 4" xfId="2338" xr:uid="{F65D0102-A5C7-4054-9341-1CBC8E0E2B4E}"/>
    <cellStyle name="Normal 13_BOS Workings" xfId="71" xr:uid="{71922ADF-AC71-48D5-AAD8-6B22AC3D02C2}"/>
    <cellStyle name="Normal 130" xfId="443" xr:uid="{69E08EEC-176D-4EB3-8367-CA389CAA5A94}"/>
    <cellStyle name="Normal 131" xfId="4526" xr:uid="{3788E87A-0E2F-4BD9-BBCA-17B2302AA65A}"/>
    <cellStyle name="Normal 132" xfId="4504" xr:uid="{1387778C-15A1-4809-B545-46FED8096227}"/>
    <cellStyle name="Normal 14" xfId="72" xr:uid="{D271205B-202C-4E35-8F0F-C4195E4E1636}"/>
    <cellStyle name="Normal 14 2" xfId="73" xr:uid="{A51B3E87-E497-4E91-B166-8E4E077F6FD7}"/>
    <cellStyle name="Normal 14_BOS Workings" xfId="74" xr:uid="{A8EE69B2-8AEB-49CB-BD49-39CC9BB8B87C}"/>
    <cellStyle name="Normal 15" xfId="75" xr:uid="{8DBF850F-84AF-4C5A-88AA-2C54E81F2C12}"/>
    <cellStyle name="Normal 15 2" xfId="76" xr:uid="{06FD9161-10DD-4E50-8212-BC223DBC6347}"/>
    <cellStyle name="Normal 15_BOS Workings" xfId="77" xr:uid="{356E9D52-6F1F-4262-A604-2ADD8866B94A}"/>
    <cellStyle name="Normal 16" xfId="78" xr:uid="{A0DF3D33-8F05-465D-9198-E4A367960AE7}"/>
    <cellStyle name="Normal 16 2" xfId="79" xr:uid="{E38F34A5-FF3A-44A2-945E-46A239539361}"/>
    <cellStyle name="Normal 16_BOS Workings" xfId="80" xr:uid="{91C68433-E027-4685-9AFA-CEB74E0EAC2C}"/>
    <cellStyle name="Normal 17" xfId="81" xr:uid="{63C16F7E-B0A7-46D3-968C-A33DF71BE134}"/>
    <cellStyle name="Normal 17 2" xfId="82" xr:uid="{AC1A1DC7-E203-41CB-A33D-094D87AD7C2E}"/>
    <cellStyle name="Normal 17_BOS Workings" xfId="83" xr:uid="{5C2F9EA1-41A7-4355-A729-DEC4779B7406}"/>
    <cellStyle name="Normal 18" xfId="84" xr:uid="{99EED6B9-E9FA-448E-9C45-6C3F72EE6D23}"/>
    <cellStyle name="Normal 18 2" xfId="85" xr:uid="{841F4D8F-49F0-4822-8375-18A6795260C8}"/>
    <cellStyle name="Normal 18_BOS Workings" xfId="86" xr:uid="{C4DFE6BF-E6D2-4D56-92D0-0A9C2CAD1AEC}"/>
    <cellStyle name="Normal 19" xfId="87" xr:uid="{1711CF28-F6F2-4727-970D-B624531EDB69}"/>
    <cellStyle name="Normal 19 2" xfId="88" xr:uid="{DA0C4E76-106A-4DCA-894F-68E0ED3E15A9}"/>
    <cellStyle name="Normal 19_BOS Workings" xfId="89" xr:uid="{670D9098-2A1A-469B-A271-F4874104237D}"/>
    <cellStyle name="Normal 2" xfId="6" xr:uid="{1380D956-EA70-4E8A-A904-383EB9080BF2}"/>
    <cellStyle name="Normal 2 10" xfId="2341" xr:uid="{1202D8FE-AA5A-467C-8D9A-76B981F8C280}"/>
    <cellStyle name="Normal 2 11" xfId="2342" xr:uid="{370E8A57-ED8C-4C69-B5F4-5A58BF6CCB54}"/>
    <cellStyle name="Normal 2 12" xfId="2343" xr:uid="{77661F73-F892-4EB1-88C7-56825FCEC893}"/>
    <cellStyle name="Normal 2 13" xfId="2344" xr:uid="{0FDDE323-E643-47EF-B80F-CEBCAB34FD50}"/>
    <cellStyle name="Normal 2 14" xfId="2345" xr:uid="{B0535829-485A-4C70-BCD4-5828BF018540}"/>
    <cellStyle name="Normal 2 15" xfId="2346" xr:uid="{2E60016D-4143-4C12-9ABD-5767363E881B}"/>
    <cellStyle name="Normal 2 15 2" xfId="2347" xr:uid="{B382FEF4-ACD7-4B04-9501-E704B04C7DD9}"/>
    <cellStyle name="Normal 2 16" xfId="2348" xr:uid="{FF5E6C19-7A72-451D-A55A-052F9A7170E7}"/>
    <cellStyle name="Normal 2 17" xfId="2349" xr:uid="{E08B38CD-362C-4B7B-85AA-2ED861062A7C}"/>
    <cellStyle name="Normal 2 18" xfId="2350" xr:uid="{C5DF63A4-4542-4074-B4B8-FAFCC9FC8005}"/>
    <cellStyle name="Normal 2 19" xfId="2351" xr:uid="{4BE56CD0-2F19-4CC4-BE55-73A5ED3F17F4}"/>
    <cellStyle name="Normal 2 2" xfId="10" xr:uid="{EA07F722-F04E-4A70-A828-CF82923D254B}"/>
    <cellStyle name="Normal 2 2 2" xfId="90" xr:uid="{3C0EDFB3-CDE5-4AAA-AB89-24FB4C2CCFAD}"/>
    <cellStyle name="Normal 2 2 2 2" xfId="426" xr:uid="{BC116F29-BA4E-40B6-A2A6-D9BBD92580C4}"/>
    <cellStyle name="Normal 2 2 2 3" xfId="2353" xr:uid="{D0875C0B-B028-46DE-AD37-807CEC4B901F}"/>
    <cellStyle name="Normal 2 2 2 3 2" xfId="4533" xr:uid="{4E03D0EB-2BF8-4796-B93C-E6DB2CE6F61E}"/>
    <cellStyle name="Normal 2 2 3" xfId="2354" xr:uid="{46D43C2D-768D-4875-9435-5A1FB716FBA7}"/>
    <cellStyle name="Normal 2 2 3 2" xfId="4531" xr:uid="{171B8959-AE3B-491E-A6BA-E0D3BAC0610E}"/>
    <cellStyle name="Normal 2 2 4" xfId="2352" xr:uid="{01FD134D-DBAD-4808-8EDC-0A9023571653}"/>
    <cellStyle name="Normal 2 2 5" xfId="535" xr:uid="{39628EC2-B87F-4D9F-BC43-C9EBC237F1D8}"/>
    <cellStyle name="Normal 2 20" xfId="2355" xr:uid="{3FA6F695-8533-4B4E-9F9A-73C79556390E}"/>
    <cellStyle name="Normal 2 21" xfId="2356" xr:uid="{12760EDC-797B-4231-95C2-6C82F2A9C679}"/>
    <cellStyle name="Normal 2 22" xfId="2357" xr:uid="{BC0610D1-659A-43B4-840F-AA321365AFB1}"/>
    <cellStyle name="Normal 2 23" xfId="2358" xr:uid="{3083D22C-A71E-4F94-BC8B-C5733348163D}"/>
    <cellStyle name="Normal 2 24" xfId="2359" xr:uid="{C3978CC2-A850-4445-81FD-7044AEA7AB5F}"/>
    <cellStyle name="Normal 2 25" xfId="2360" xr:uid="{E672C993-6547-4556-B6B3-EADBC94155E9}"/>
    <cellStyle name="Normal 2 26" xfId="2361" xr:uid="{7174A2C5-2D48-45BB-BD4D-9BBD1B93C88B}"/>
    <cellStyle name="Normal 2 27" xfId="2362" xr:uid="{7F48C701-DDDB-44F8-B205-78C3C291B459}"/>
    <cellStyle name="Normal 2 28" xfId="2363" xr:uid="{B4F1BDF4-2CE0-4DAD-B2EC-F8E858BC0786}"/>
    <cellStyle name="Normal 2 29" xfId="2364" xr:uid="{1E2077F7-F5FE-47A6-B14F-82FBA988D3C2}"/>
    <cellStyle name="Normal 2 3" xfId="2365" xr:uid="{0AB6BD2B-30C3-4FCE-9D42-0885B79F5B48}"/>
    <cellStyle name="Normal 2 3 2" xfId="2366" xr:uid="{126F3054-4C3D-4BD1-88A3-FCB3DD38C2BD}"/>
    <cellStyle name="Normal 2 3 2 2" xfId="2367" xr:uid="{4C1166B3-DD92-40B5-A3AD-D017F4BB36F5}"/>
    <cellStyle name="Normal 2 3 2 3" xfId="2368" xr:uid="{874DD805-DF1F-4A1F-9A4D-E49FC8C5CAA9}"/>
    <cellStyle name="Normal 2 3 3" xfId="2369" xr:uid="{560A52F0-D4D1-4C2D-B32D-B5963F1E4C03}"/>
    <cellStyle name="Normal 2 30" xfId="2370" xr:uid="{7BDFE800-F804-4F77-8B29-B14B2838B1FB}"/>
    <cellStyle name="Normal 2 31" xfId="2371" xr:uid="{71081E51-EAE0-4B9F-B0EE-C04883C1CCE1}"/>
    <cellStyle name="Normal 2 32" xfId="2372" xr:uid="{76AD8286-1CB6-43AE-9E5D-6195B9094B75}"/>
    <cellStyle name="Normal 2 33" xfId="2373" xr:uid="{BE015754-5790-438C-B06C-0A0280F32D34}"/>
    <cellStyle name="Normal 2 34" xfId="2374" xr:uid="{80342D82-9B52-42AD-89DF-5FC634C67ABA}"/>
    <cellStyle name="Normal 2 35" xfId="2375" xr:uid="{4B2E990D-A767-41A5-B77B-AFD79F613101}"/>
    <cellStyle name="Normal 2 36" xfId="2376" xr:uid="{9AFD9052-3716-40B3-A21E-CB2782610D61}"/>
    <cellStyle name="Normal 2 37" xfId="2377" xr:uid="{32C4F1E3-A551-4C67-8421-7A38E68CDE93}"/>
    <cellStyle name="Normal 2 38" xfId="2378" xr:uid="{DF404A70-101D-4736-82FE-3DDD8A6BE305}"/>
    <cellStyle name="Normal 2 38 2" xfId="2379" xr:uid="{A920862F-3315-48B0-95FA-69C557E505C6}"/>
    <cellStyle name="Normal 2 39" xfId="2380" xr:uid="{5D91BF1E-D1A1-43A1-86F4-E03804963B8E}"/>
    <cellStyle name="Normal 2 39 2" xfId="2381" xr:uid="{86E0EA54-904D-455C-B60B-D5AA2F2D15B7}"/>
    <cellStyle name="Normal 2 4" xfId="2382" xr:uid="{6A4DE1C7-8A25-40D1-9C4A-21B2DD847A9A}"/>
    <cellStyle name="Normal 2 4 2" xfId="2383" xr:uid="{68D912E5-846E-4F7E-B490-C68A5F594EE9}"/>
    <cellStyle name="Normal 2 4 3" xfId="2384" xr:uid="{75ED9382-B5F9-4FF0-9D55-9E6FB09AA9D1}"/>
    <cellStyle name="Normal 2 4 4" xfId="2385" xr:uid="{C875AEE3-1E3B-416A-BD4C-E40377502010}"/>
    <cellStyle name="Normal 2 40" xfId="2386" xr:uid="{823F6772-236A-4DAC-9825-EEE7C0C87DD9}"/>
    <cellStyle name="Normal 2 41" xfId="2387" xr:uid="{337C8ED5-BFF6-4EBD-BA01-CE1783FC32C3}"/>
    <cellStyle name="Normal 2 42" xfId="2388" xr:uid="{4FFA1AA0-09A6-49D1-BFFD-430ECB95CC89}"/>
    <cellStyle name="Normal 2 43" xfId="2389" xr:uid="{EC5F6EAD-41CB-4AC1-852A-D04433617F85}"/>
    <cellStyle name="Normal 2 44" xfId="2390" xr:uid="{E7958669-B141-4F81-B558-90A707C02971}"/>
    <cellStyle name="Normal 2 45" xfId="2391" xr:uid="{0BA9DCF0-6CCF-4755-BA62-0EAFCCC7A2C2}"/>
    <cellStyle name="Normal 2 46" xfId="2392" xr:uid="{A5413B6B-4A94-49A9-B80D-B3488B81CBB3}"/>
    <cellStyle name="Normal 2 47" xfId="2393" xr:uid="{9B5106F0-598B-46E9-8DA3-0DDD67C64CC7}"/>
    <cellStyle name="Normal 2 48" xfId="2394" xr:uid="{7DDDCFEF-27A0-4517-8DE0-55AFE953CB21}"/>
    <cellStyle name="Normal 2 49" xfId="2395" xr:uid="{DF69BC47-AEEA-4ADD-88AB-7050B04E6103}"/>
    <cellStyle name="Normal 2 5" xfId="2396" xr:uid="{D202D41F-AEE5-4994-A5FA-7F670AF6DD8A}"/>
    <cellStyle name="Normal 2 50" xfId="2397" xr:uid="{C0F0DE82-312A-46A8-AA5F-8234251E2BDB}"/>
    <cellStyle name="Normal 2 51" xfId="2398" xr:uid="{89F040E1-2551-453E-972B-08593FD58DA5}"/>
    <cellStyle name="Normal 2 52" xfId="2399" xr:uid="{5A878E45-965D-460A-B434-B6853069DFAE}"/>
    <cellStyle name="Normal 2 53" xfId="2400" xr:uid="{1AE0116B-640C-4228-BF24-4DB86F1EC43F}"/>
    <cellStyle name="Normal 2 54" xfId="2401" xr:uid="{33BE4606-87EB-45B6-8B2D-27CFEB33ECE0}"/>
    <cellStyle name="Normal 2 55" xfId="2402" xr:uid="{5A88BCD8-5510-493F-9694-E9034AE660E2}"/>
    <cellStyle name="Normal 2 56" xfId="2403" xr:uid="{4E2BE044-D4E2-477D-B6A0-AEF4C6EDCD4B}"/>
    <cellStyle name="Normal 2 57" xfId="2404" xr:uid="{FC3286B4-8AA4-4123-810E-22B3F3582E28}"/>
    <cellStyle name="Normal 2 58" xfId="2405" xr:uid="{9BE9B0E8-1D23-4EE5-B0E0-81B1A7DD970A}"/>
    <cellStyle name="Normal 2 59" xfId="2406" xr:uid="{1BD179EF-F995-4ACD-9835-900A724A9E46}"/>
    <cellStyle name="Normal 2 6" xfId="2407" xr:uid="{1DBF2046-0916-42FE-81DB-D9C112D8ED63}"/>
    <cellStyle name="Normal 2 6 2" xfId="2408" xr:uid="{CC5AA7FB-91A9-4FB5-91A3-0C9008C4899B}"/>
    <cellStyle name="Normal 2 60" xfId="2409" xr:uid="{E754473E-2DED-401A-B74F-C72B9042A154}"/>
    <cellStyle name="Normal 2 61" xfId="2410" xr:uid="{33A38CE1-ECB3-4675-B24A-C45890B3C178}"/>
    <cellStyle name="Normal 2 62" xfId="2411" xr:uid="{098184F2-3A1C-4C11-845B-6B018610B6E4}"/>
    <cellStyle name="Normal 2 63" xfId="2412" xr:uid="{4E889807-9F04-485C-9029-51D8976B0003}"/>
    <cellStyle name="Normal 2 64" xfId="2413" xr:uid="{9F865220-5189-4ABD-9ED0-98EF8D090B6C}"/>
    <cellStyle name="Normal 2 65" xfId="2414" xr:uid="{61C9C541-8D1E-4D67-976F-4029ABB2FD11}"/>
    <cellStyle name="Normal 2 66" xfId="2415" xr:uid="{E5611E4F-C273-4A9D-96DD-D09D263F5F67}"/>
    <cellStyle name="Normal 2 67" xfId="2416" xr:uid="{AE677369-515D-4076-89F3-5F2C7307255D}"/>
    <cellStyle name="Normal 2 68" xfId="2417" xr:uid="{6238BB01-332F-4174-891D-7ACBAB8345E7}"/>
    <cellStyle name="Normal 2 69" xfId="2418" xr:uid="{BAC08A99-207D-4962-8C85-9B14B53F5C9E}"/>
    <cellStyle name="Normal 2 7" xfId="2419" xr:uid="{F95CC5B8-02BB-409A-B89F-FD27401CA4DB}"/>
    <cellStyle name="Normal 2 70" xfId="2420" xr:uid="{044B28E7-B247-4679-BABF-7E80FD870E3F}"/>
    <cellStyle name="Normal 2 8" xfId="2421" xr:uid="{78F012C3-B65F-48AA-A653-C5FED5C7D4BE}"/>
    <cellStyle name="Normal 2 8 2" xfId="2422" xr:uid="{50F656FF-F30A-424B-BF53-7AB42BAAAD08}"/>
    <cellStyle name="Normal 2 9" xfId="2423" xr:uid="{7055C04B-FCB5-481B-8D61-BA82F36EC5FE}"/>
    <cellStyle name="Normal 2_Indexadores Corregidos def_Indexadores_AG_rev2" xfId="2424" xr:uid="{073671CB-F974-48B3-91C5-54659FF76930}"/>
    <cellStyle name="Normal 20" xfId="91" xr:uid="{8FB4FC8D-9578-4668-8666-31991D0E5435}"/>
    <cellStyle name="Normal 20 2" xfId="92" xr:uid="{00C20798-7D8C-47B7-B383-F11441C88582}"/>
    <cellStyle name="Normal 20_BOS Workings" xfId="93" xr:uid="{65332A7C-AFCC-4FAA-BFAD-ABA8C9ACD705}"/>
    <cellStyle name="Normal 21" xfId="94" xr:uid="{346B8D2F-FEEB-4BA1-966A-E4D3389C0445}"/>
    <cellStyle name="Normal 21 2" xfId="95" xr:uid="{925A54D9-245E-4AFF-8C1E-06B4634B6EAF}"/>
    <cellStyle name="Normal 21_BOS Workings" xfId="96" xr:uid="{F7CF1AE2-55FC-4B74-9D80-69FB54CBDB6A}"/>
    <cellStyle name="Normal 22" xfId="97" xr:uid="{1A3B5773-1ED4-4498-AD2C-1C11223E3AA6}"/>
    <cellStyle name="Normal 22 2" xfId="98" xr:uid="{708FC97D-0022-4F96-9BCA-1F182B73547E}"/>
    <cellStyle name="Normal 22_BOS Workings" xfId="99" xr:uid="{47B6E007-AA67-488C-A4C6-1256A7AA5DC6}"/>
    <cellStyle name="Normal 23" xfId="100" xr:uid="{A2741B89-6028-4D4E-948F-742AE861A802}"/>
    <cellStyle name="Normal 23 2" xfId="101" xr:uid="{61E942A0-0A67-4499-ABF3-48A528E83F81}"/>
    <cellStyle name="Normal 23_BOS Workings" xfId="102" xr:uid="{C62369A7-5CF7-4CB3-AEDE-1C055233197C}"/>
    <cellStyle name="Normal 24" xfId="103" xr:uid="{54B70494-3759-464C-BB56-99932A547F82}"/>
    <cellStyle name="Normal 24 2" xfId="104" xr:uid="{0E5EBE2C-7110-44A0-9F68-FD11EA7BB51F}"/>
    <cellStyle name="Normal 24_BOS Workings" xfId="105" xr:uid="{E03D9A14-620C-4BFB-8F19-A58A2461766C}"/>
    <cellStyle name="Normal 25" xfId="106" xr:uid="{BB52B7CB-A162-4974-BBCC-CBA400D1F45E}"/>
    <cellStyle name="Normal 25 2" xfId="107" xr:uid="{A2B799F4-9945-4F9E-8D53-0B1BC3EAC9C1}"/>
    <cellStyle name="Normal 25_BOS Workings" xfId="108" xr:uid="{B0C6B96E-000A-4A44-B0EE-4F3E86BC8066}"/>
    <cellStyle name="Normal 26" xfId="109" xr:uid="{8D6E8D33-85B5-4BFE-8897-424987658205}"/>
    <cellStyle name="Normal 26 2" xfId="110" xr:uid="{89C9012A-67CA-4E62-B6F0-799212663A79}"/>
    <cellStyle name="Normal 26_BOS Workings" xfId="111" xr:uid="{765BB727-BDE9-4663-BA6E-48A93B6D5FB9}"/>
    <cellStyle name="Normal 27" xfId="112" xr:uid="{CA4C1A4E-B9C2-4268-8461-40FC7B7BB1E7}"/>
    <cellStyle name="Normal 27 2" xfId="113" xr:uid="{72E72ABB-88E8-4175-BF69-FD2570E63361}"/>
    <cellStyle name="Normal 27_BOS Workings" xfId="114" xr:uid="{013D157B-7A97-48BF-8107-33621F1246BE}"/>
    <cellStyle name="Normal 28" xfId="115" xr:uid="{B32438EA-AF74-49EF-BE66-646115186D3F}"/>
    <cellStyle name="Normal 28 2" xfId="116" xr:uid="{2D155B5E-D6C3-4628-B52F-EAF9028451E7}"/>
    <cellStyle name="Normal 28_BOS Workings" xfId="117" xr:uid="{3D9D9FEB-015F-4BC0-9333-201C7984D63E}"/>
    <cellStyle name="Normal 29" xfId="118" xr:uid="{09BD3168-5DA2-4F6C-9643-E027842223C5}"/>
    <cellStyle name="Normal 29 2" xfId="119" xr:uid="{B352509F-DA09-44C2-8EE1-C7BBE85CDDEC}"/>
    <cellStyle name="Normal 29_BOS Workings" xfId="120" xr:uid="{6BD310FF-5A62-4AC2-8C0C-3852AC36B6BD}"/>
    <cellStyle name="Normal 3" xfId="121" xr:uid="{38E347E1-95F0-499A-86AD-4E427FD099BD}"/>
    <cellStyle name="Normal 3 10" xfId="2426" xr:uid="{AC3E4181-A8A6-4FCA-A0EC-8507A3D64BFE}"/>
    <cellStyle name="Normal 3 11" xfId="2427" xr:uid="{7C68A0BC-80D8-45F4-B45B-8315ABCD43D1}"/>
    <cellStyle name="Normal 3 12" xfId="2428" xr:uid="{85622FCF-28DE-4884-A1B4-4D4571B11832}"/>
    <cellStyle name="Normal 3 13" xfId="2429" xr:uid="{6968AEC8-3969-4C30-AB32-BFB62A146141}"/>
    <cellStyle name="Normal 3 14" xfId="2430" xr:uid="{37CFEBDB-46CA-4F08-9A21-5728636D1A84}"/>
    <cellStyle name="Normal 3 15" xfId="2431" xr:uid="{D6361225-F502-452C-9FB6-8B0E75784AE0}"/>
    <cellStyle name="Normal 3 16" xfId="2432" xr:uid="{5B382046-5238-4A4A-8203-0B7F4AB512F1}"/>
    <cellStyle name="Normal 3 17" xfId="2433" xr:uid="{2F4805BA-BA5E-412F-9CC1-A8D16F56B953}"/>
    <cellStyle name="Normal 3 18" xfId="2434" xr:uid="{BB77757E-C5F7-4A19-A153-12F4E4CA5BBA}"/>
    <cellStyle name="Normal 3 18 2" xfId="2435" xr:uid="{E8BB1A9D-C2B1-43A5-B292-B58FF3A715CF}"/>
    <cellStyle name="Normal 3 18 2 2" xfId="2436" xr:uid="{806E14E1-8F68-41E4-93B2-E24332DB86A2}"/>
    <cellStyle name="Normal 3 18 3" xfId="2437" xr:uid="{867150F3-B7E0-4531-92AE-8E0E803F2FF1}"/>
    <cellStyle name="Normal 3 18 3 2" xfId="2438" xr:uid="{9DAB8A22-B001-4C8C-AFAF-6B3355B2AEC7}"/>
    <cellStyle name="Normal 3 18 4" xfId="2439" xr:uid="{422D28DE-152C-46C6-9852-5DDA258319B3}"/>
    <cellStyle name="Normal 3 19" xfId="2440" xr:uid="{F81FBCD9-CD76-49AE-ABAD-4F4C2588BF5D}"/>
    <cellStyle name="Normal 3 19 2" xfId="2441" xr:uid="{60736EA4-CD00-43B6-849D-B6D9B5A01D93}"/>
    <cellStyle name="Normal 3 2" xfId="122" xr:uid="{A66B8772-80CD-442C-A96F-C25BAD17AE19}"/>
    <cellStyle name="Normal 3 2 2" xfId="371" xr:uid="{EF4F30DD-3BEE-4DD5-A7A8-1D2323F72017}"/>
    <cellStyle name="Normal 3 2 2 2" xfId="2444" xr:uid="{1D21344D-503B-474A-BBB1-661656B08F9A}"/>
    <cellStyle name="Normal 3 2 2 2 2" xfId="2445" xr:uid="{1E012235-0010-46E7-90F4-8E887510E119}"/>
    <cellStyle name="Normal 3 2 2 3" xfId="2446" xr:uid="{7FCC45F2-90BD-4BFD-9D9C-374C1A611701}"/>
    <cellStyle name="Normal 3 2 2 3 2" xfId="2447" xr:uid="{278E2501-28DE-4D3E-A8D7-5A2BAE5D76D0}"/>
    <cellStyle name="Normal 3 2 2 4" xfId="2448" xr:uid="{2AC19823-5590-48F5-ACAD-39149D5BB15C}"/>
    <cellStyle name="Normal 3 2 2 4 2" xfId="2449" xr:uid="{B809D4E6-F674-4099-8983-DEC3591E71F9}"/>
    <cellStyle name="Normal 3 2 2 5" xfId="2450" xr:uid="{A9E92586-A2BF-47B4-AD95-2E92B290519A}"/>
    <cellStyle name="Normal 3 2 2 5 2" xfId="2451" xr:uid="{DF3B3754-E245-47FD-9891-DE4057D8A15F}"/>
    <cellStyle name="Normal 3 2 2 6" xfId="2452" xr:uid="{15C73B28-38A9-40D6-9F68-8E05629246DF}"/>
    <cellStyle name="Normal 3 2 2 7" xfId="2443" xr:uid="{8E7925C9-70B5-4A71-93CF-8E71DFB528F2}"/>
    <cellStyle name="Normal 3 2 3" xfId="364" xr:uid="{95197A2B-B71C-45E1-8B92-27AEFDC3174D}"/>
    <cellStyle name="Normal 3 2 3 2" xfId="2453" xr:uid="{3726D35B-3913-4552-917A-A9D7E2CA3AC1}"/>
    <cellStyle name="Normal 3 2 4" xfId="2454" xr:uid="{049C0249-79A4-49DA-AD11-419EF16B4E4A}"/>
    <cellStyle name="Normal 3 2 4 2" xfId="2455" xr:uid="{D07CDEC9-907E-4B64-A3CB-7DD75B6D7684}"/>
    <cellStyle name="Normal 3 2 5" xfId="2456" xr:uid="{EF0F6388-D150-4376-9CE1-D1EB60450C8C}"/>
    <cellStyle name="Normal 3 2 6" xfId="2442" xr:uid="{934C6998-0127-4236-970C-DAC1CE01D1B8}"/>
    <cellStyle name="Normal 3 2 7" xfId="529" xr:uid="{FA26A4DE-794E-42AC-83DE-7608A7C77CE9}"/>
    <cellStyle name="Normal 3 20" xfId="2457" xr:uid="{123445FB-7BD6-424C-B8CE-843E308CDA05}"/>
    <cellStyle name="Normal 3 20 2" xfId="2458" xr:uid="{B4E8237B-DC56-4C6B-8ACE-BC29D89F969D}"/>
    <cellStyle name="Normal 3 21" xfId="2459" xr:uid="{F7BDDE7C-0AF3-477A-9EAF-08FAD65E0BCE}"/>
    <cellStyle name="Normal 3 22" xfId="2425" xr:uid="{D3C7EE17-42C8-47F2-A2BF-49D0C8B58E31}"/>
    <cellStyle name="Normal 3 23" xfId="519" xr:uid="{690600E4-F42D-46EF-A610-FB94E7C663AE}"/>
    <cellStyle name="Normal 3 3" xfId="370" xr:uid="{080AF6FD-6468-4EB3-BD5A-63C1C2964CC0}"/>
    <cellStyle name="Normal 3 3 2" xfId="2461" xr:uid="{1C4BD253-4310-469D-9C97-3C8309A4F68D}"/>
    <cellStyle name="Normal 3 3 2 2" xfId="2462" xr:uid="{C0F96ECF-1240-4E07-8E6A-7858C4FFC9BF}"/>
    <cellStyle name="Normal 3 3 2 2 2" xfId="2463" xr:uid="{18358A7A-C03F-4329-8FF8-480CB4F9B788}"/>
    <cellStyle name="Normal 3 3 2 3" xfId="2464" xr:uid="{6A6AE24B-0FA3-4361-869E-4EA551D3033E}"/>
    <cellStyle name="Normal 3 3 2 3 2" xfId="2465" xr:uid="{F8253217-5FA4-453E-88C4-C11254A5F2AE}"/>
    <cellStyle name="Normal 3 3 2 4" xfId="2466" xr:uid="{49DA8CA8-E8BA-428E-B3FF-93E5871D94BA}"/>
    <cellStyle name="Normal 3 3 2 4 2" xfId="2467" xr:uid="{E3B69027-9327-4D94-A85B-39B87A5D5604}"/>
    <cellStyle name="Normal 3 3 2 5" xfId="2468" xr:uid="{669298BE-88AD-4957-B06F-A1BBD4B55655}"/>
    <cellStyle name="Normal 3 3 2 5 2" xfId="2469" xr:uid="{72BC7C4D-C504-4242-90EA-AF3CB85C6403}"/>
    <cellStyle name="Normal 3 3 2 6" xfId="2470" xr:uid="{D46FA132-526A-4AC1-9C3D-3D8DF2BD7256}"/>
    <cellStyle name="Normal 3 3 3" xfId="2471" xr:uid="{342937F0-E8B5-435F-9147-F508F880C082}"/>
    <cellStyle name="Normal 3 3 3 2" xfId="2472" xr:uid="{8E933569-5D0F-4A22-AF27-40CD1363011B}"/>
    <cellStyle name="Normal 3 3 4" xfId="2473" xr:uid="{8D263627-AA5A-4836-9F4F-D38D9E3F7BFB}"/>
    <cellStyle name="Normal 3 3 4 2" xfId="2474" xr:uid="{8346DC77-CD26-42E4-8CE9-569F76B207D0}"/>
    <cellStyle name="Normal 3 3 5" xfId="2475" xr:uid="{68312DA3-4681-4962-B190-35C797837C42}"/>
    <cellStyle name="Normal 3 3 6" xfId="2460" xr:uid="{328D137E-A39D-47FC-BF2F-CDEEB8B31D34}"/>
    <cellStyle name="Normal 3 4" xfId="422" xr:uid="{A11D8668-AB12-43FC-867F-4A82BE2E8CEE}"/>
    <cellStyle name="Normal 3 4 2" xfId="2476" xr:uid="{D74753DC-405A-4FED-AC58-0F600D08FE75}"/>
    <cellStyle name="Normal 3 4 2 2" xfId="4555" xr:uid="{D59C5731-3F9C-47D4-9FD3-9DCA79C5683E}"/>
    <cellStyle name="Normal 3 4 3" xfId="2477" xr:uid="{A4C3E5D5-62A3-47C9-A931-C3627F709798}"/>
    <cellStyle name="Normal 3 5" xfId="361" xr:uid="{9FDB1176-2BF3-40C9-AC1C-A043270F830C}"/>
    <cellStyle name="Normal 3 5 2" xfId="2479" xr:uid="{9929E594-7BF3-4E0E-9BF2-848D372FBE78}"/>
    <cellStyle name="Normal 3 5 2 2" xfId="2480" xr:uid="{0722B57A-FBFD-4C34-BC27-753B102A017D}"/>
    <cellStyle name="Normal 3 5 3" xfId="2481" xr:uid="{E7AE9EBF-5817-40DE-9BAA-A7B21CF6B66F}"/>
    <cellStyle name="Normal 3 5 3 2" xfId="2482" xr:uid="{841782B4-3438-4334-BDE8-D3B1E172917E}"/>
    <cellStyle name="Normal 3 5 4" xfId="2483" xr:uid="{E5E09A1F-26DE-432D-B2F7-EE4E0E82EABE}"/>
    <cellStyle name="Normal 3 5 5" xfId="2478" xr:uid="{38D084A4-16BB-4C95-A9CB-C331F38DD8E5}"/>
    <cellStyle name="Normal 3 6" xfId="2484" xr:uid="{8409A642-436A-4B08-9332-734458EB0BAF}"/>
    <cellStyle name="Normal 3 6 2" xfId="2485" xr:uid="{28F8D538-A670-4A9C-B73B-8E76F415BD69}"/>
    <cellStyle name="Normal 3 7" xfId="2486" xr:uid="{7A9B9C7C-07BB-47D5-9F3B-B075819E587A}"/>
    <cellStyle name="Normal 3 8" xfId="2487" xr:uid="{12B2E5B3-39EC-4DAF-B73E-62CAB84875A4}"/>
    <cellStyle name="Normal 3 9" xfId="2488" xr:uid="{CE3A614D-276A-4E82-9A97-DF532A71A236}"/>
    <cellStyle name="Normal 30" xfId="123" xr:uid="{E3E3C5A4-0A9E-4624-AE1D-2A6D855A5B76}"/>
    <cellStyle name="Normal 30 2" xfId="124" xr:uid="{C68A5A64-2CEC-453E-8451-5C897D376435}"/>
    <cellStyle name="Normal 30_BOS Workings" xfId="125" xr:uid="{34037F2E-8720-4BE4-A079-8B9E2F82D9A7}"/>
    <cellStyle name="Normal 31" xfId="126" xr:uid="{0D56FB7F-AFEA-48D3-AFC2-ACBA1447F88A}"/>
    <cellStyle name="Normal 31 2" xfId="127" xr:uid="{95E66723-5489-42CE-9119-C37644052DFE}"/>
    <cellStyle name="Normal 31_BOS Workings" xfId="128" xr:uid="{3EBBB043-5A75-4582-900D-239C9304306A}"/>
    <cellStyle name="Normal 32" xfId="129" xr:uid="{BD8125F4-9122-46D7-958C-B340249E932E}"/>
    <cellStyle name="Normal 32 2" xfId="130" xr:uid="{17279044-CEF0-4350-8214-C3A281045609}"/>
    <cellStyle name="Normal 32_BOS Workings" xfId="131" xr:uid="{5CBFD7C9-52FD-4BC1-B5A7-AB4AA7EFC577}"/>
    <cellStyle name="Normal 33" xfId="132" xr:uid="{CFD5A04B-1943-4791-B804-93DC7458ECAC}"/>
    <cellStyle name="Normal 33 2" xfId="133" xr:uid="{E767B7DB-B94D-4D03-BD7E-039090ECF442}"/>
    <cellStyle name="Normal 33_BOS Workings" xfId="134" xr:uid="{8C063633-A857-4335-B772-4DFE510739BE}"/>
    <cellStyle name="Normal 34" xfId="135" xr:uid="{696CD5AC-03EF-45D7-9DC7-836849758002}"/>
    <cellStyle name="Normal 34 2" xfId="136" xr:uid="{00F2FBF9-0A50-465B-8876-9A8D824C1050}"/>
    <cellStyle name="Normal 34_BOS Workings" xfId="137" xr:uid="{8E8C5E0A-C3B4-4D5C-9617-A28DB54E0040}"/>
    <cellStyle name="Normal 35" xfId="138" xr:uid="{74DE8406-5CB4-4BF0-A059-367534D6B72A}"/>
    <cellStyle name="Normal 35 2" xfId="139" xr:uid="{B270B353-CA3E-48D0-8F8B-7A556F405FA8}"/>
    <cellStyle name="Normal 35_BOS Workings" xfId="140" xr:uid="{BAD1CD2F-600A-4D47-867C-153A04999F28}"/>
    <cellStyle name="Normal 36" xfId="141" xr:uid="{B72FDDAE-8AF5-4BB4-AB0C-E8DBDB0691C4}"/>
    <cellStyle name="Normal 36 2" xfId="142" xr:uid="{915C3D1C-C3CA-4629-B935-7A7901D6152F}"/>
    <cellStyle name="Normal 36_BOS Workings" xfId="143" xr:uid="{0799DE3E-2A5C-4497-9148-F705AB63E082}"/>
    <cellStyle name="Normal 37" xfId="144" xr:uid="{E6DFB36B-1926-4371-BB66-8CF3C89A3104}"/>
    <cellStyle name="Normal 37 2" xfId="145" xr:uid="{83D37447-A56A-4A46-97E6-5992E6AA124C}"/>
    <cellStyle name="Normal 37_BOS Workings" xfId="146" xr:uid="{7757F90F-FB3F-4A1C-8270-AB749EA0EC6A}"/>
    <cellStyle name="Normal 38" xfId="147" xr:uid="{9B5C830E-19B5-499A-9434-5900285F4F86}"/>
    <cellStyle name="Normal 38 2" xfId="148" xr:uid="{BB0C5048-B42B-4DC0-A53A-FBBD3C12542A}"/>
    <cellStyle name="Normal 38_BOS Workings" xfId="149" xr:uid="{19339256-C825-4ACE-8861-67AAD62F17E6}"/>
    <cellStyle name="Normal 39" xfId="150" xr:uid="{271A71B0-6106-4687-B40D-372E64F54D22}"/>
    <cellStyle name="Normal 39 2" xfId="151" xr:uid="{3FBD47E3-0572-4E41-B0DE-14AE822C45F0}"/>
    <cellStyle name="Normal 39_BOS Workings" xfId="152" xr:uid="{BFF9B197-F870-4BB7-843F-047CB18683E8}"/>
    <cellStyle name="Normal 4" xfId="153" xr:uid="{08CA70F3-5935-41C8-A761-FAFEAEEA59DD}"/>
    <cellStyle name="Normal 4 2" xfId="154" xr:uid="{D0448697-8010-47B6-9E4D-2DD1A4BE4003}"/>
    <cellStyle name="Normal 4 2 2" xfId="2490" xr:uid="{B497F853-D37F-4CB7-91A4-BB8F955E8073}"/>
    <cellStyle name="Normal 4 2 3" xfId="2491" xr:uid="{FADF7AA8-5CE2-4232-A085-1AE54B170339}"/>
    <cellStyle name="Normal 4 3" xfId="155" xr:uid="{C0314254-C7EF-4C1F-9E80-56AB4786ACB5}"/>
    <cellStyle name="Normal 4 3 2" xfId="2493" xr:uid="{232D10BE-8A53-49B5-95FA-2537A3D22DD8}"/>
    <cellStyle name="Normal 4 3 3" xfId="2494" xr:uid="{BCA74610-76A8-4CD2-9779-197B5E2BA7AA}"/>
    <cellStyle name="Normal 4 3 4" xfId="2495" xr:uid="{0AF7F03A-AD7D-41C7-B0B4-203FB6A9FBD6}"/>
    <cellStyle name="Normal 4 3 5" xfId="2492" xr:uid="{9C51477F-5EB9-4223-A4DA-ED6ED460D83D}"/>
    <cellStyle name="Normal 4 4" xfId="2496" xr:uid="{4B2DA884-F56B-4153-8E8A-7D7183416CB0}"/>
    <cellStyle name="Normal 4 5" xfId="2497" xr:uid="{DC1D6EA0-20B2-4378-83F1-A0D509F8150D}"/>
    <cellStyle name="Normal 4 6" xfId="2489" xr:uid="{78769EAC-255C-4839-894C-B7336DDDC4EB}"/>
    <cellStyle name="Normal 4 7" xfId="530" xr:uid="{C21DEA9C-D97D-4B25-9C4C-06188ABFB03C}"/>
    <cellStyle name="Normal 4_BOS Workings" xfId="156" xr:uid="{2F792C78-3E08-4CCF-9337-7847D526F5DE}"/>
    <cellStyle name="Normal 40" xfId="157" xr:uid="{96B27141-0C6A-4A41-84C6-FB1A0D294219}"/>
    <cellStyle name="Normal 40 2" xfId="158" xr:uid="{28657E8E-003F-4353-B842-6B80DB83AD1A}"/>
    <cellStyle name="Normal 40_BOS Workings" xfId="159" xr:uid="{571F4294-7865-40FF-9CAB-5BC6A6CF8B6F}"/>
    <cellStyle name="Normal 41" xfId="160" xr:uid="{BD2DAE5A-3DDC-4F98-B305-48D85185B6A7}"/>
    <cellStyle name="Normal 41 2" xfId="161" xr:uid="{5201D0D9-02DC-419D-B4BD-CC0EC139A94A}"/>
    <cellStyle name="Normal 41_BOS Workings" xfId="162" xr:uid="{F2B43B41-FF51-4615-A929-9E524C96C381}"/>
    <cellStyle name="Normal 42" xfId="163" xr:uid="{821B8C13-9B24-4102-9C96-76A8C8004C60}"/>
    <cellStyle name="Normal 42 2" xfId="164" xr:uid="{937DCB9A-4A1E-441E-95E5-1B59D37847FF}"/>
    <cellStyle name="Normal 42_BOS Workings" xfId="165" xr:uid="{CE660969-1B3D-4571-9BE7-5F63920E9E37}"/>
    <cellStyle name="Normal 43" xfId="166" xr:uid="{4AA97FEA-3B10-43F8-942A-EDB255F42EB3}"/>
    <cellStyle name="Normal 43 2" xfId="167" xr:uid="{03E73C90-A0BA-4D3B-9A3C-F06E5CC97C25}"/>
    <cellStyle name="Normal 43_BOS Workings" xfId="168" xr:uid="{263206E9-3962-4B95-A7D2-123D1D53E6F9}"/>
    <cellStyle name="Normal 44" xfId="169" xr:uid="{9CD017C7-2A1E-4B99-96D8-02A9F18FE378}"/>
    <cellStyle name="Normal 44 2" xfId="170" xr:uid="{186B20C2-0B7E-4E51-A51F-14A7AFCB8C09}"/>
    <cellStyle name="Normal 44_BOS Workings" xfId="171" xr:uid="{08AE7CAB-7893-4650-ACB4-6ED6787FBB39}"/>
    <cellStyle name="Normal 45" xfId="172" xr:uid="{A66DA10A-4398-4873-BF9D-0CB2AFF541BA}"/>
    <cellStyle name="Normal 45 2" xfId="173" xr:uid="{BAA25E22-5484-4E42-B0D3-802086113A60}"/>
    <cellStyle name="Normal 45_BOS Workings" xfId="174" xr:uid="{40E38ACF-0E36-4C35-90C4-09D76E94A378}"/>
    <cellStyle name="Normal 46" xfId="175" xr:uid="{2AD7E8E9-E64B-4DF6-A032-97114920D50B}"/>
    <cellStyle name="Normal 46 2" xfId="176" xr:uid="{BA1234BB-D4A3-4471-BD36-B52B69439623}"/>
    <cellStyle name="Normal 46_BOS Workings" xfId="177" xr:uid="{CAEFD220-1D01-466B-8E28-D92EA513B593}"/>
    <cellStyle name="Normal 47" xfId="178" xr:uid="{90429C37-C0C1-46B2-8E1F-C1EC50537114}"/>
    <cellStyle name="Normal 47 2" xfId="179" xr:uid="{4FFC5870-29EC-4722-BB5E-025D8600088D}"/>
    <cellStyle name="Normal 47_BOS Workings" xfId="180" xr:uid="{F6331D84-B8EB-4768-97DE-C94898E14AEB}"/>
    <cellStyle name="Normal 48" xfId="181" xr:uid="{B44413B8-58CE-4E43-8BD7-850C646F4712}"/>
    <cellStyle name="Normal 48 2" xfId="182" xr:uid="{B84D3350-6A58-4C63-8716-5149300E6218}"/>
    <cellStyle name="Normal 48_BOS Workings" xfId="183" xr:uid="{28549C65-0818-400D-A534-DF39F71950EA}"/>
    <cellStyle name="Normal 49" xfId="184" xr:uid="{7AB3103C-7464-4319-84EE-5A4F5D0B5E51}"/>
    <cellStyle name="Normal 49 2" xfId="185" xr:uid="{DEE4B5FD-3D74-4FB8-899B-AF0C2783FC97}"/>
    <cellStyle name="Normal 49_BOS Workings" xfId="186" xr:uid="{D2E38AF0-CD1C-46CE-AFAA-4200C96D3380}"/>
    <cellStyle name="Normal 5" xfId="187" xr:uid="{5006900E-3F83-4FFC-8921-960FB3152DF3}"/>
    <cellStyle name="Normal 5 10" xfId="520" xr:uid="{329F1216-71BC-42F5-99CD-EDD1AC222503}"/>
    <cellStyle name="Normal 5 2" xfId="188" xr:uid="{4B3A6100-290D-48B0-BBFE-21AC69D22E8F}"/>
    <cellStyle name="Normal 5 2 2" xfId="521" xr:uid="{926A7333-71CF-45BB-A487-C6EBA0B139C9}"/>
    <cellStyle name="Normal 5 2 2 2" xfId="2499" xr:uid="{313F1833-8B93-49A0-ABA8-8C1045238880}"/>
    <cellStyle name="Normal 5 2 3" xfId="2500" xr:uid="{A17D6FAA-F6E8-4691-8F0C-FA987425D09A}"/>
    <cellStyle name="Normal 5 2 3 2" xfId="2501" xr:uid="{B9D0C409-71E8-4AB7-BD84-437E2CFC1286}"/>
    <cellStyle name="Normal 5 2 4" xfId="2502" xr:uid="{0BDB44C5-51D2-43EB-A876-A24AE222237C}"/>
    <cellStyle name="Normal 5 2 4 2" xfId="2503" xr:uid="{E1347A4C-81C5-46B6-8155-BCFA80120F5D}"/>
    <cellStyle name="Normal 5 2 5" xfId="2504" xr:uid="{08D9E8AC-EED1-40E1-8E2C-4E261979117B}"/>
    <cellStyle name="Normal 5 2 5 2" xfId="2505" xr:uid="{6AB6ED6F-F652-47C0-9AB4-D1FE2597118C}"/>
    <cellStyle name="Normal 5 2 6" xfId="2506" xr:uid="{8F6BAD46-36F7-4BED-AE7F-C66833E0026A}"/>
    <cellStyle name="Normal 5 2 7" xfId="531" xr:uid="{EC57FC2A-2CE6-4DED-BA72-0558D7B61B7B}"/>
    <cellStyle name="Normal 5 3" xfId="2507" xr:uid="{F0E76BCA-B23C-4DD1-A4AD-7E8C20D2EADC}"/>
    <cellStyle name="Normal 5 3 2" xfId="2508" xr:uid="{58DBAC0B-FCED-4A5A-8312-D5C539A29557}"/>
    <cellStyle name="Normal 5 3 3" xfId="2509" xr:uid="{B819F9BA-6BD2-444F-9283-E6CE31EC9177}"/>
    <cellStyle name="Normal 5 4" xfId="2510" xr:uid="{7356AC2B-3111-4A2B-8D63-90BC2D9E3338}"/>
    <cellStyle name="Normal 5 4 2" xfId="2511" xr:uid="{1024C527-EBCD-4EA2-A63E-CB9706BF00B0}"/>
    <cellStyle name="Normal 5 4 3" xfId="2512" xr:uid="{26076353-FE42-4D72-8C30-D502391FC127}"/>
    <cellStyle name="Normal 5 5" xfId="2513" xr:uid="{23DAC1C4-6137-4410-BD08-ECF6D5D36FE3}"/>
    <cellStyle name="Normal 5 5 2" xfId="2514" xr:uid="{5AA1CA9B-503A-4A4D-A9B9-8910C469AC07}"/>
    <cellStyle name="Normal 5 5 3" xfId="2515" xr:uid="{0286FEB3-BB17-4724-BB20-6A86A65116C9}"/>
    <cellStyle name="Normal 5 6" xfId="2516" xr:uid="{186E56C8-7433-4EE6-9B43-7B2F728B717F}"/>
    <cellStyle name="Normal 5 6 2" xfId="2517" xr:uid="{58685202-FC83-4C5F-B2D2-2017117012F7}"/>
    <cellStyle name="Normal 5 6 3" xfId="2518" xr:uid="{49DD7A6E-F2EC-47B2-8A68-69543DFDD348}"/>
    <cellStyle name="Normal 5 6 4" xfId="2519" xr:uid="{0FBBCFF9-08B4-405D-BAD4-09A75F9E256B}"/>
    <cellStyle name="Normal 5 7" xfId="2520" xr:uid="{3CACD6A9-CE0E-461C-B15E-2AA06E387F75}"/>
    <cellStyle name="Normal 5 8" xfId="2521" xr:uid="{ACE4A8D1-A5DC-4A9F-AC91-4CC3DFADC322}"/>
    <cellStyle name="Normal 5 9" xfId="2498" xr:uid="{51E306EB-CE27-4BEA-AC95-E7014347064D}"/>
    <cellStyle name="Normal 5_BOS Workings" xfId="189" xr:uid="{90AC2D39-8AB4-4CEC-81B0-15281B934139}"/>
    <cellStyle name="Normal 50" xfId="190" xr:uid="{7D96642C-AFAF-4AE4-A64C-1461BD6AB1A4}"/>
    <cellStyle name="Normal 50 2" xfId="191" xr:uid="{41DC9135-6C73-470D-A507-2626E735ED89}"/>
    <cellStyle name="Normal 50_BOS Workings" xfId="192" xr:uid="{9EA03DA9-69EC-4E77-899C-91209D40E16F}"/>
    <cellStyle name="Normal 51" xfId="193" xr:uid="{59BB2D88-7828-4BA9-8B7B-B243D74BDBBF}"/>
    <cellStyle name="Normal 51 2" xfId="194" xr:uid="{E35F3494-DE77-435C-9960-5A7E9A1E05DF}"/>
    <cellStyle name="Normal 51_BOS Workings" xfId="195" xr:uid="{D8C9275A-DDEC-4899-B722-F62E00697606}"/>
    <cellStyle name="Normal 52" xfId="196" xr:uid="{089EC490-3B89-452E-AEBD-7D78D44BC032}"/>
    <cellStyle name="Normal 52 2" xfId="197" xr:uid="{C860A9A0-6933-4988-9BE2-B31FA930B8C4}"/>
    <cellStyle name="Normal 52_BOS Workings" xfId="198" xr:uid="{A0EC9EC3-5D60-4749-9502-135CF162B292}"/>
    <cellStyle name="Normal 53" xfId="199" xr:uid="{83B32549-602F-4C49-A2FC-2FB6FAA19C2B}"/>
    <cellStyle name="Normal 53 2" xfId="200" xr:uid="{736544BD-F7F0-478F-BD70-17535ABAABDE}"/>
    <cellStyle name="Normal 53_BOS Workings" xfId="201" xr:uid="{79343FDC-331E-4BDA-BA52-3096A4C581BF}"/>
    <cellStyle name="Normal 54" xfId="202" xr:uid="{E40A2A2F-F8C1-40B0-8020-6E4DA8A86345}"/>
    <cellStyle name="Normal 54 2" xfId="203" xr:uid="{126EC695-EE5A-4FEE-89BE-66E39CDAF521}"/>
    <cellStyle name="Normal 54_BOS Workings" xfId="204" xr:uid="{B57725E2-9EF7-4002-B150-D1D7D990B697}"/>
    <cellStyle name="Normal 55" xfId="205" xr:uid="{81CCE42E-DCAF-4FEF-83EC-4CDAE2AC9490}"/>
    <cellStyle name="Normal 55 2" xfId="206" xr:uid="{5B80FB94-CB85-46CD-935A-709F9B743B1A}"/>
    <cellStyle name="Normal 55_BOS Workings" xfId="207" xr:uid="{657F3151-7A5B-4324-9A51-E836D470F053}"/>
    <cellStyle name="Normal 56" xfId="208" xr:uid="{4E685A23-6B89-49BC-AEE0-C9D37BF5D5DC}"/>
    <cellStyle name="Normal 56 2" xfId="209" xr:uid="{9F73897F-B16E-4D0C-984A-66DF750A768D}"/>
    <cellStyle name="Normal 56_BOS Workings" xfId="210" xr:uid="{C930A366-BF4C-4A3B-ABF5-91162B3AC5F4}"/>
    <cellStyle name="Normal 57" xfId="211" xr:uid="{9F21D247-1192-45B0-BBC7-F4A6D472A332}"/>
    <cellStyle name="Normal 57 2" xfId="212" xr:uid="{57A2FCBC-67CE-4FE8-A009-C8A7D85E1CEB}"/>
    <cellStyle name="Normal 57_BOS Workings" xfId="213" xr:uid="{7FC7C24E-3ED4-446F-A9AE-0AB61F936A7B}"/>
    <cellStyle name="Normal 58" xfId="214" xr:uid="{DF4A8C92-387E-4D56-BBB2-10DAB5715B85}"/>
    <cellStyle name="Normal 58 2" xfId="215" xr:uid="{3E94EBE3-CE8A-49E8-B994-0648C32BFFBE}"/>
    <cellStyle name="Normal 58_BOS Workings" xfId="216" xr:uid="{6A2D608C-532A-4677-997F-A7D86FF9B8BC}"/>
    <cellStyle name="Normal 59" xfId="217" xr:uid="{4D1BC651-7396-4062-A9C1-F7B60D27319A}"/>
    <cellStyle name="Normal 59 2" xfId="218" xr:uid="{9ACD48BB-7B0E-4201-A2BF-1843AEE9C7C5}"/>
    <cellStyle name="Normal 59_BOS Workings" xfId="219" xr:uid="{B1E178A1-95E7-42A5-9624-6E294DA8E3B3}"/>
    <cellStyle name="Normal 6" xfId="220" xr:uid="{003059D1-C8F9-48AF-9E63-1D283FB67F28}"/>
    <cellStyle name="Normal 6 2" xfId="221" xr:uid="{678839E8-683E-42C0-9872-0EEAE4A4A279}"/>
    <cellStyle name="Normal 6 2 2" xfId="2524" xr:uid="{25040D61-1160-453C-86D1-D23F556066FF}"/>
    <cellStyle name="Normal 6 2 2 2" xfId="2525" xr:uid="{2D8D0D90-BCE1-40F1-9B76-24CFC09DBB44}"/>
    <cellStyle name="Normal 6 2 3" xfId="2526" xr:uid="{513464B5-4438-480B-AA3D-DBBE4B0F8286}"/>
    <cellStyle name="Normal 6 2 3 2" xfId="2527" xr:uid="{F659B760-3599-4119-A35E-93E95D2CAD57}"/>
    <cellStyle name="Normal 6 2 4" xfId="2528" xr:uid="{B9B358B9-BCA6-47E4-94F2-5082C368263F}"/>
    <cellStyle name="Normal 6 2 5" xfId="2529" xr:uid="{C9B8F5E3-7792-4D38-BC15-D16B231061E4}"/>
    <cellStyle name="Normal 6 2 6" xfId="2530" xr:uid="{32D3DA35-9052-4879-BC10-52153D8C3104}"/>
    <cellStyle name="Normal 6 2 7" xfId="2523" xr:uid="{1DA55350-74D3-47FF-99B4-77334606CC31}"/>
    <cellStyle name="Normal 6 3" xfId="2531" xr:uid="{7C309C31-1A61-4FFE-BF07-5ECCE67A74CE}"/>
    <cellStyle name="Normal 6 3 2" xfId="2532" xr:uid="{70FE7559-B5DC-4DB5-86DA-92FD74FDB54E}"/>
    <cellStyle name="Normal 6 4" xfId="2533" xr:uid="{B000BF22-8651-4DA2-B189-326800672D15}"/>
    <cellStyle name="Normal 6 4 2" xfId="2534" xr:uid="{B0B71F28-31EF-4C1E-820B-F4BF2113DF3D}"/>
    <cellStyle name="Normal 6 4 3" xfId="2535" xr:uid="{2383C4B7-134D-42C3-B964-99CE05875875}"/>
    <cellStyle name="Normal 6 4 4" xfId="2536" xr:uid="{6CE9CD39-77E9-47C2-877A-1A7F09A7DFED}"/>
    <cellStyle name="Normal 6 5" xfId="2537" xr:uid="{386D020B-CD2F-4D97-BF96-E5EC762F822E}"/>
    <cellStyle name="Normal 6 5 2" xfId="2538" xr:uid="{39AA8602-1F09-4DFE-AE80-24DB1843438E}"/>
    <cellStyle name="Normal 6 6" xfId="2539" xr:uid="{4D19DE7D-A09F-4270-8ABF-D2D95BF154A0}"/>
    <cellStyle name="Normal 6 7" xfId="2540" xr:uid="{6250EE23-E15E-45EB-9DC5-2E71783ABAF4}"/>
    <cellStyle name="Normal 6 8" xfId="2522" xr:uid="{5FCB295F-D7C6-4E10-B998-E50F6553CB1C}"/>
    <cellStyle name="Normal 6 9" xfId="534" xr:uid="{BBDA120A-33FD-4EA2-B315-6A0C8E4ADFDC}"/>
    <cellStyle name="Normal 6_BOS Workings" xfId="222" xr:uid="{31DE770D-AB77-4C9A-8060-98CA63A9A292}"/>
    <cellStyle name="Normal 60" xfId="223" xr:uid="{884E1DC8-C38E-4863-8DE3-1A9EFBB8BDF2}"/>
    <cellStyle name="Normal 60 2" xfId="224" xr:uid="{A4255F8A-B866-4871-B701-583E2FD528EC}"/>
    <cellStyle name="Normal 60_BOS Workings" xfId="225" xr:uid="{FD4F2486-A82B-4219-9050-96D6DF4EE58F}"/>
    <cellStyle name="Normal 61" xfId="226" xr:uid="{2362D6C1-B883-45B0-A89C-D4A174D20615}"/>
    <cellStyle name="Normal 61 2" xfId="227" xr:uid="{597CD2A2-2A42-47BC-997A-DE0D892A631A}"/>
    <cellStyle name="Normal 61_BOS Workings" xfId="228" xr:uid="{E9FEC7CB-EB7D-4ACD-804D-BC0D1339A7AE}"/>
    <cellStyle name="Normal 62" xfId="229" xr:uid="{EFE4D645-0276-4AC6-BC83-0BC57C88802A}"/>
    <cellStyle name="Normal 62 2" xfId="230" xr:uid="{B935BE59-086E-4673-9140-A66D90BAFFF1}"/>
    <cellStyle name="Normal 62_BOS Workings" xfId="231" xr:uid="{DB04C8BD-59AC-457F-9DB2-E7DC059ECBE7}"/>
    <cellStyle name="Normal 63" xfId="232" xr:uid="{FD452933-15A4-4E8C-958A-81F013DC6198}"/>
    <cellStyle name="Normal 63 2" xfId="233" xr:uid="{91E051BE-8053-477C-9716-C18B18291B50}"/>
    <cellStyle name="Normal 63_BOS Workings" xfId="234" xr:uid="{67325DA2-21CE-45EE-A6A4-0C0CBA288502}"/>
    <cellStyle name="Normal 64" xfId="235" xr:uid="{DA565AE6-B3B9-45BB-BDD5-468B8EFD4051}"/>
    <cellStyle name="Normal 64 2" xfId="236" xr:uid="{2E6E53F8-ADB0-495F-9542-EB31CC26D767}"/>
    <cellStyle name="Normal 64_BOS Workings" xfId="237" xr:uid="{FD7F6BE2-EE69-43C0-BAAF-47F4227DE799}"/>
    <cellStyle name="Normal 65" xfId="238" xr:uid="{3A6792EA-FB7F-44FD-9614-8B59E9FFD9CD}"/>
    <cellStyle name="Normal 65 2" xfId="239" xr:uid="{7206D604-0D32-4050-92F6-29F35E724F74}"/>
    <cellStyle name="Normal 65_BOS Workings" xfId="240" xr:uid="{29FB5B76-E3FA-43E1-807F-9AF726DD7A4E}"/>
    <cellStyle name="Normal 66" xfId="241" xr:uid="{920E2EA9-81C9-4010-A184-4C88ADA8F927}"/>
    <cellStyle name="Normal 66 2" xfId="242" xr:uid="{B0B5AAB4-C5EC-4A7D-836C-69E3BFD35522}"/>
    <cellStyle name="Normal 66_BOS Workings" xfId="243" xr:uid="{3155AF0B-8715-4644-890E-631B1503F93C}"/>
    <cellStyle name="Normal 67" xfId="244" xr:uid="{3FA656DB-8F9F-448F-AF04-2CA36D2207C5}"/>
    <cellStyle name="Normal 67 2" xfId="245" xr:uid="{F29FD74D-7F9B-4446-9D7F-23270F42C783}"/>
    <cellStyle name="Normal 67_BOS Workings" xfId="246" xr:uid="{D99A620D-C887-479A-AD36-BD91039EEB1D}"/>
    <cellStyle name="Normal 68" xfId="247" xr:uid="{BDE761D8-DB5B-4710-855F-5EE90C227561}"/>
    <cellStyle name="Normal 68 2" xfId="248" xr:uid="{0828F65E-C0FC-4719-873C-BCDA72DD7F11}"/>
    <cellStyle name="Normal 68 3" xfId="2541" xr:uid="{18A4A3CF-E2C0-4941-91F4-A8DCBAA1F090}"/>
    <cellStyle name="Normal 68_BOS Workings" xfId="249" xr:uid="{C8DA182B-F7AB-4643-AAC1-F18FE6620D7E}"/>
    <cellStyle name="Normal 69" xfId="250" xr:uid="{C1FAF1D2-98AA-43EC-98C2-21FC88206840}"/>
    <cellStyle name="Normal 69 2" xfId="251" xr:uid="{2F776AFC-20B9-496E-9A35-DDF6DE641905}"/>
    <cellStyle name="Normal 69 3" xfId="2542" xr:uid="{CA5FD3D9-6E05-4AD4-9359-A02CA48E865C}"/>
    <cellStyle name="Normal 69_BOS Workings" xfId="252" xr:uid="{12C97F76-09FA-4490-9FFE-D760784AC547}"/>
    <cellStyle name="Normal 7" xfId="253" xr:uid="{9C3B45A8-096C-43A2-8A82-3783AC8B2387}"/>
    <cellStyle name="Normal 7 2" xfId="254" xr:uid="{92BA6BAD-5B61-4A81-85C0-68A837625CF3}"/>
    <cellStyle name="Normal 7 2 2" xfId="2544" xr:uid="{72E71CAC-4113-4094-BCAB-3382566357C3}"/>
    <cellStyle name="Normal 7 2 3" xfId="2545" xr:uid="{635158BE-DC00-4716-955B-D54BFE0F0FE3}"/>
    <cellStyle name="Normal 7 2 4" xfId="2546" xr:uid="{944C712B-0B3E-44CA-9F8F-83AFF5535460}"/>
    <cellStyle name="Normal 7 2 5" xfId="2543" xr:uid="{E957E357-A97B-4C3B-A99F-3630A308EE66}"/>
    <cellStyle name="Normal 7 3" xfId="2547" xr:uid="{E4D3B4CE-D0C0-4F89-87B6-EBE763E0A883}"/>
    <cellStyle name="Normal 7 3 2" xfId="2548" xr:uid="{25B37387-24F9-456B-9FA1-6F451D595E84}"/>
    <cellStyle name="Normal 7 4" xfId="2549" xr:uid="{E78410C8-F886-40CB-953A-566ADEAF60D8}"/>
    <cellStyle name="Normal 7 5" xfId="2550" xr:uid="{5B7FFC7D-816C-4109-9DE1-D51C09672182}"/>
    <cellStyle name="Normal 7 6" xfId="2551" xr:uid="{FDD3A24A-B9BD-417D-9913-791E4DBC5EF2}"/>
    <cellStyle name="Normal 7 6 2" xfId="2552" xr:uid="{B75D3D0D-29EE-46D1-A293-58F3F67E857D}"/>
    <cellStyle name="Normal 7_BOS Workings" xfId="255" xr:uid="{12CC4E1D-5B4F-4AA2-A003-D2F4D606633A}"/>
    <cellStyle name="Normal 70" xfId="256" xr:uid="{4AD3290A-9D34-4EB7-A0F2-4374FE765DF2}"/>
    <cellStyle name="Normal 70 2" xfId="257" xr:uid="{91530B54-BC7A-4D45-A498-287802D069E9}"/>
    <cellStyle name="Normal 70 3" xfId="2553" xr:uid="{4EF95FAC-CCE7-474B-BFFE-A6B1BB032590}"/>
    <cellStyle name="Normal 70_BOS Workings" xfId="258" xr:uid="{B9BDBC95-CC6B-400C-9AD8-DC019D2E79B3}"/>
    <cellStyle name="Normal 71" xfId="259" xr:uid="{2633B564-5076-4923-B456-617CE4A2C02F}"/>
    <cellStyle name="Normal 71 2" xfId="260" xr:uid="{83860AB1-7FE1-439A-AE23-39600C447789}"/>
    <cellStyle name="Normal 71_BOS Workings" xfId="261" xr:uid="{56D3EBE9-7395-4466-B281-EED8FC1C67E3}"/>
    <cellStyle name="Normal 72" xfId="262" xr:uid="{F067E4F0-F415-496B-9497-91605644FBEE}"/>
    <cellStyle name="Normal 72 2" xfId="263" xr:uid="{F0F0B756-025C-4021-8020-C5370BD291DB}"/>
    <cellStyle name="Normal 72 2 2" xfId="2556" xr:uid="{54EF3261-5A75-4298-882E-F63B7F139874}"/>
    <cellStyle name="Normal 72 2 3" xfId="2555" xr:uid="{46A7DE79-3BD2-40FA-98F7-D0E52AC4731E}"/>
    <cellStyle name="Normal 72 3" xfId="2557" xr:uid="{DA172F0F-B214-420D-9BB0-EC258E74FC1B}"/>
    <cellStyle name="Normal 72 4" xfId="2554" xr:uid="{44554E00-89B8-4ECD-8F36-F516551B8A05}"/>
    <cellStyle name="Normal 72_BOS Workings" xfId="264" xr:uid="{F02D32A4-AA3B-47BD-890B-F20D8144390E}"/>
    <cellStyle name="Normal 73" xfId="265" xr:uid="{5E0B3A11-E4F7-4C27-AD82-AC0C66BDA665}"/>
    <cellStyle name="Normal 73 2" xfId="266" xr:uid="{542EE90B-712D-4DA6-820D-7DB0988D696D}"/>
    <cellStyle name="Normal 73 2 2" xfId="2558" xr:uid="{CFC9B227-E9A7-4593-AF02-CCCDF0F517E1}"/>
    <cellStyle name="Normal 73 3" xfId="2559" xr:uid="{5F9D3B4D-7376-4D05-850B-C97DD84067B8}"/>
    <cellStyle name="Normal 73 4" xfId="2560" xr:uid="{AF80FADE-192F-494B-A2D9-AAC1DEF1AA8D}"/>
    <cellStyle name="Normal 73 5" xfId="2561" xr:uid="{B1FC4A53-AF15-4948-8DF3-B90DF5EBA540}"/>
    <cellStyle name="Normal 73_BOS Workings" xfId="267" xr:uid="{EEAEF78B-4BC4-4182-A9D8-6DE64A1CB769}"/>
    <cellStyle name="Normal 74" xfId="268" xr:uid="{1A100C99-8111-4816-8544-2EC117AFDD9B}"/>
    <cellStyle name="Normal 74 2" xfId="269" xr:uid="{823F55DE-C6D0-4F21-BF5B-CD895E3D5D98}"/>
    <cellStyle name="Normal 74_BOS Workings" xfId="270" xr:uid="{74953377-E64D-47A1-B4F2-31CA60B7834A}"/>
    <cellStyle name="Normal 75" xfId="271" xr:uid="{5B5897E6-554D-47BC-97A0-1DC4E776E961}"/>
    <cellStyle name="Normal 75 2" xfId="272" xr:uid="{BD03904E-E7B2-4C75-ADA6-ACA5BE3C1DCF}"/>
    <cellStyle name="Normal 75_BOS Workings" xfId="273" xr:uid="{FBE3EF59-AC32-4AA5-B347-0BA9979AFE28}"/>
    <cellStyle name="Normal 76" xfId="274" xr:uid="{849E08CC-A9B3-4CE7-B0E8-0185089A0C82}"/>
    <cellStyle name="Normal 76 2" xfId="275" xr:uid="{874E23BB-423E-4F50-AD0B-087E4C9BD17A}"/>
    <cellStyle name="Normal 76 3" xfId="2562" xr:uid="{0CE3ABFE-7DD0-4C20-8438-398C411597A8}"/>
    <cellStyle name="Normal 76_BOS Workings" xfId="276" xr:uid="{8AB03707-B6EE-45C7-A174-AB6A3B04A3BA}"/>
    <cellStyle name="Normal 77" xfId="277" xr:uid="{091DFD3C-A993-4A8A-A26B-1B7DE6E4FEE2}"/>
    <cellStyle name="Normal 77 2" xfId="278" xr:uid="{4D41FE35-5197-487D-846C-F9F47922CD06}"/>
    <cellStyle name="Normal 77 2 2" xfId="2563" xr:uid="{92AA27C8-BCFE-4272-934A-2A7B8191EF0B}"/>
    <cellStyle name="Normal 77 3" xfId="2564" xr:uid="{06FB5848-6EE2-4B8D-A9A4-01A9D95A59B7}"/>
    <cellStyle name="Normal 77_BOS Workings" xfId="279" xr:uid="{F9241B49-7E35-456B-B23D-7AFD22C0BFFB}"/>
    <cellStyle name="Normal 78" xfId="280" xr:uid="{24377460-731E-4640-B4EF-9994DA772E33}"/>
    <cellStyle name="Normal 78 2" xfId="281" xr:uid="{DE18C4F4-3856-44EE-9C27-ADC240063552}"/>
    <cellStyle name="Normal 78_BOS Workings" xfId="282" xr:uid="{8D960282-EA8E-4AD3-BFED-25347FC66682}"/>
    <cellStyle name="Normal 79" xfId="283" xr:uid="{FCC3386F-DD48-4E95-8A86-047D9BB3A158}"/>
    <cellStyle name="Normal 79 2" xfId="284" xr:uid="{6A1E6DE8-9871-4766-960F-D8CB8139819C}"/>
    <cellStyle name="Normal 79_BOS Workings" xfId="285" xr:uid="{F6D671E9-8172-4D84-A9DA-077D5EF2D914}"/>
    <cellStyle name="Normal 8" xfId="286" xr:uid="{7F265B80-F086-45C5-9D4F-1B62BDC9E173}"/>
    <cellStyle name="Normal 8 2" xfId="287" xr:uid="{933061BF-69FF-4C57-A860-1ABCC2B08AD5}"/>
    <cellStyle name="Normal 8 2 2" xfId="2567" xr:uid="{89F111CE-07C7-4093-A32B-626CAA3314F9}"/>
    <cellStyle name="Normal 8 2 3" xfId="2568" xr:uid="{2131014D-48EE-42B2-BF25-DB10E18EC06B}"/>
    <cellStyle name="Normal 8 2 4" xfId="2569" xr:uid="{56925E57-6A3A-4CC2-AFB7-8EA48B8B8F9D}"/>
    <cellStyle name="Normal 8 2 5" xfId="2566" xr:uid="{D0101933-04E6-4756-9203-9EC445427A73}"/>
    <cellStyle name="Normal 8 3" xfId="2570" xr:uid="{D221ACB3-44A0-4ED0-8A83-2AA4CD9D16B7}"/>
    <cellStyle name="Normal 8 3 2" xfId="2571" xr:uid="{9A8D5055-202E-4030-A270-B75420E767B5}"/>
    <cellStyle name="Normal 8 3 3" xfId="2572" xr:uid="{F14957FE-54BA-4F4B-8734-2F0B2F616668}"/>
    <cellStyle name="Normal 8 4" xfId="2573" xr:uid="{283E0FEC-325A-4AC4-A857-E68B906F4C8E}"/>
    <cellStyle name="Normal 8 4 2" xfId="2574" xr:uid="{4D2EA74F-C2E5-4F19-8A3D-102CC22BB1C6}"/>
    <cellStyle name="Normal 8 4 3" xfId="2575" xr:uid="{50F077B9-7575-4E09-A746-9BFB51C1B552}"/>
    <cellStyle name="Normal 8 5" xfId="2576" xr:uid="{CCE196BC-5262-4CA5-A689-D3C2D570F627}"/>
    <cellStyle name="Normal 8 5 2" xfId="2577" xr:uid="{E310A01E-CD58-42F3-B053-38B0936A1F92}"/>
    <cellStyle name="Normal 8 5 3" xfId="2578" xr:uid="{29E40FC8-EC0E-48FA-9C54-80283543F931}"/>
    <cellStyle name="Normal 8 6" xfId="2579" xr:uid="{92C60B6F-B66C-429F-A466-7127BAD7D1A5}"/>
    <cellStyle name="Normal 8 7" xfId="2580" xr:uid="{6CA7FE0A-CF5C-488E-85DB-3F507993FC1F}"/>
    <cellStyle name="Normal 8 8" xfId="2581" xr:uid="{524B7B35-EFB1-4C7E-9EA2-B4E4C0ED548D}"/>
    <cellStyle name="Normal 8 9" xfId="2565" xr:uid="{665EE97F-8F8C-4657-9DCB-46DB5702706B}"/>
    <cellStyle name="Normal 8_BOS Workings" xfId="288" xr:uid="{08F4CADB-76C3-4DF1-A5C5-9FA75032385D}"/>
    <cellStyle name="Normal 80" xfId="289" xr:uid="{1EDE324C-2080-419C-BF55-24976BF9F4DF}"/>
    <cellStyle name="Normal 80 2" xfId="290" xr:uid="{A43D8770-105D-46C5-A423-7D0512A62213}"/>
    <cellStyle name="Normal 80_BOS Workings" xfId="291" xr:uid="{D5BACB96-D0B6-45B0-B6D5-2E8B8047F562}"/>
    <cellStyle name="Normal 81" xfId="292" xr:uid="{7DD2DFF1-8063-426D-A8CC-DA6DC1FA2EF5}"/>
    <cellStyle name="Normal 81 2" xfId="293" xr:uid="{1655422E-6376-4C04-A30C-B3B0795377BF}"/>
    <cellStyle name="Normal 81_BOS Workings" xfId="294" xr:uid="{4F73488B-1990-4D36-AEF4-FF962CB81DFF}"/>
    <cellStyle name="Normal 82" xfId="295" xr:uid="{1DC6438C-DA0D-4E8E-8896-16C426696762}"/>
    <cellStyle name="Normal 82 2" xfId="296" xr:uid="{F01AB751-3752-47E9-B38B-FD5CF4D6B3CD}"/>
    <cellStyle name="Normal 82_BOS Workings" xfId="297" xr:uid="{96AF12E0-B880-45A9-9BBA-609793CF39E7}"/>
    <cellStyle name="Normal 83" xfId="298" xr:uid="{F04FB4F8-E754-424E-898B-54059FFBCB11}"/>
    <cellStyle name="Normal 83 2" xfId="299" xr:uid="{A4A599C7-A94E-4206-A32F-F27B589C7C8E}"/>
    <cellStyle name="Normal 83_BOS Workings" xfId="300" xr:uid="{D2861276-9B2D-4F30-A627-057CA31DDDA6}"/>
    <cellStyle name="Normal 84" xfId="301" xr:uid="{AD7DA8B2-BD23-42B8-BB1C-89DC8FE42792}"/>
    <cellStyle name="Normal 84 2" xfId="302" xr:uid="{83B25874-EEE2-46F1-A03A-B9C9D5A3CF15}"/>
    <cellStyle name="Normal 84_BOS Workings" xfId="303" xr:uid="{10CD4F19-1C70-412B-9C61-090AE6C4BC33}"/>
    <cellStyle name="Normal 85" xfId="304" xr:uid="{A4598EA9-3F24-4C94-AF5C-9DC1D984F0C9}"/>
    <cellStyle name="Normal 85 2" xfId="305" xr:uid="{39EDF61E-2F25-4842-BD35-6257BD25266B}"/>
    <cellStyle name="Normal 85_BOS Workings" xfId="306" xr:uid="{C0A54BC0-E3D3-44B3-86C0-14B7221D0625}"/>
    <cellStyle name="Normal 86" xfId="307" xr:uid="{052A1AE8-50BD-4444-9C76-22658E08C6E0}"/>
    <cellStyle name="Normal 86 2" xfId="308" xr:uid="{2F726377-1249-47F9-8EF5-2D5DF358A7DB}"/>
    <cellStyle name="Normal 86_BOS Workings" xfId="309" xr:uid="{5C6EC990-4114-4883-BD82-97ED963A39D7}"/>
    <cellStyle name="Normal 87" xfId="310" xr:uid="{D5F899CE-1578-43DE-98B9-6DCBDE986553}"/>
    <cellStyle name="Normal 87 2" xfId="311" xr:uid="{018C8507-E979-41C9-A04F-68AF32BC09DA}"/>
    <cellStyle name="Normal 87_BOS Workings" xfId="312" xr:uid="{59795A51-AD46-48A0-93A9-8F701F64642F}"/>
    <cellStyle name="Normal 88" xfId="313" xr:uid="{6DF3CB37-B307-45C8-864D-A14ACC2314E4}"/>
    <cellStyle name="Normal 88 2" xfId="314" xr:uid="{3DE4B70B-FE54-4480-A7A5-EE0B4C7F7700}"/>
    <cellStyle name="Normal 88_BOS Workings" xfId="315" xr:uid="{B1ED7F0D-8C11-421F-AC9F-116D7FA27B97}"/>
    <cellStyle name="Normal 89" xfId="316" xr:uid="{7C523A5B-6620-4E9D-ACDF-B1AB96A999FA}"/>
    <cellStyle name="Normal 89 2" xfId="317" xr:uid="{913ECCD6-4726-487F-B2AD-D0F1B7E4945E}"/>
    <cellStyle name="Normal 89_BOS Workings" xfId="318" xr:uid="{3CF6E7A5-DBAF-425F-B719-15323E8DC777}"/>
    <cellStyle name="Normal 9" xfId="319" xr:uid="{B11B5B6B-BF3C-44F3-A51B-2B6F7059F1F0}"/>
    <cellStyle name="Normal 9 2" xfId="320" xr:uid="{94460D3B-68AA-47C6-ACB6-C03EDCDB2BE8}"/>
    <cellStyle name="Normal 9 2 2" xfId="2584" xr:uid="{9C8E4912-3220-426D-951B-B3CBE9919A71}"/>
    <cellStyle name="Normal 9 2 3" xfId="2583" xr:uid="{0E8F360E-9D90-438A-B7BD-24AD62537927}"/>
    <cellStyle name="Normal 9 3" xfId="321" xr:uid="{133FFD44-7854-4663-8813-1623B0C148A4}"/>
    <cellStyle name="Normal 9 3 2" xfId="322" xr:uid="{434E5C47-2FF2-4093-B96B-E9390B993718}"/>
    <cellStyle name="Normal 9 3 3" xfId="2585" xr:uid="{3A3C71C2-EAAC-46C1-A20F-C540582A8BA6}"/>
    <cellStyle name="Normal 9 3_BOS Workings" xfId="323" xr:uid="{DC564BD5-C217-4093-9492-06D9D1529F23}"/>
    <cellStyle name="Normal 9 4" xfId="2582" xr:uid="{A46665B4-88B1-4BE9-B46A-D9E06C79CDD7}"/>
    <cellStyle name="Normal 90" xfId="324" xr:uid="{DAB3699D-781C-4980-A115-93632B48500C}"/>
    <cellStyle name="Normal 90 2" xfId="325" xr:uid="{A7EEE2B2-B459-46A6-AF4B-E0295BE2BEFB}"/>
    <cellStyle name="Normal 91" xfId="326" xr:uid="{6121E697-5404-48E9-BC61-C45DE37BF653}"/>
    <cellStyle name="Normal 91 2" xfId="327" xr:uid="{95DC73A3-AD6E-4525-BF05-C6B9933156B6}"/>
    <cellStyle name="Normal 92" xfId="328" xr:uid="{10BCA3B9-E395-4D6D-A37F-0B985E05DA2C}"/>
    <cellStyle name="Normal 92 2" xfId="329" xr:uid="{CC3DA6AB-5FC6-4BDD-BC2E-2723C12AE70D}"/>
    <cellStyle name="Normal 93" xfId="330" xr:uid="{6D210375-5EB7-454D-B755-A6205162D41D}"/>
    <cellStyle name="Normal 93 2" xfId="331" xr:uid="{BB1372D4-1296-4541-9473-76CB157CE8D8}"/>
    <cellStyle name="Normal 94" xfId="332" xr:uid="{1D63FD8F-F057-4D3C-A0CF-E541C4B80B04}"/>
    <cellStyle name="Normal 94 2" xfId="333" xr:uid="{3D30C699-ECB9-42FC-B8CE-F05757AB0B3C}"/>
    <cellStyle name="Normal 95" xfId="334" xr:uid="{39CD71AA-53B8-48A9-B934-075B81D45930}"/>
    <cellStyle name="Normal 95 2" xfId="335" xr:uid="{E467B2B7-AEA3-48DB-BE91-E2A3AC54FA98}"/>
    <cellStyle name="Normal 95 3" xfId="336" xr:uid="{3E30180A-A9EF-4C79-BCA6-A0951930ABCA}"/>
    <cellStyle name="Normal 96" xfId="337" xr:uid="{CA370E83-C934-4408-81ED-232836B08498}"/>
    <cellStyle name="Normal 96 2" xfId="338" xr:uid="{0906EDBD-4028-4226-9FAB-8231A3CF748D}"/>
    <cellStyle name="Normal 96 3" xfId="339" xr:uid="{C0C7C7A1-35DF-4123-9730-498591ECBE14}"/>
    <cellStyle name="Normal 97" xfId="340" xr:uid="{2BC64899-245D-42F2-A108-C3D56645DEF8}"/>
    <cellStyle name="Normal 97 2" xfId="341" xr:uid="{EB17C8E5-C6E1-4B5F-A79B-0FF2A99A7D5D}"/>
    <cellStyle name="Normal 98" xfId="342" xr:uid="{D89075C5-1F63-4E66-A2D9-CD0847FC9A25}"/>
    <cellStyle name="Normal 98 2" xfId="343" xr:uid="{A96AABC9-CFC0-4C9D-9785-A52B4D331FEA}"/>
    <cellStyle name="Normal 99" xfId="344" xr:uid="{992D2AE0-586F-4015-B7CD-AEBCDCC0450A}"/>
    <cellStyle name="Normal 99 2" xfId="345" xr:uid="{2460A829-1FDC-40CC-9FB3-520ED3A451FB}"/>
    <cellStyle name="Normal_1990 and 1998 CIP - Prices Quantity and CO2(MH)" xfId="8" xr:uid="{E42A0DB4-8E1A-4BC2-911B-A4A72A86B1DA}"/>
    <cellStyle name="Normal_2000balx" xfId="7" xr:uid="{7E529E51-F313-4873-A31D-04A2127BFF57}"/>
    <cellStyle name="Normale_B2020" xfId="2586" xr:uid="{0B37306D-88C4-490E-99F7-A6588214E70C}"/>
    <cellStyle name="Notas 10" xfId="2587" xr:uid="{F6145E73-E5CD-4E0C-8149-0F8FE7280802}"/>
    <cellStyle name="Notas 10 2" xfId="2588" xr:uid="{C9C3E366-6A59-4275-9254-DB334AFA88D7}"/>
    <cellStyle name="Notas 10 2 2" xfId="2589" xr:uid="{056A9661-3A62-465D-94E3-CF116CBE9F1B}"/>
    <cellStyle name="Notas 10 2 2 2" xfId="2590" xr:uid="{C6C68FB8-7D7A-42F6-B015-BD4A9229CBB0}"/>
    <cellStyle name="Notas 10 2 3" xfId="2591" xr:uid="{6D390496-0727-43B9-BA95-6167E21D5FF9}"/>
    <cellStyle name="Notas 10 3" xfId="2592" xr:uid="{200380A4-4DA5-4EAC-9500-DFBB050538C3}"/>
    <cellStyle name="Notas 10 3 2" xfId="2593" xr:uid="{44AB24AD-8899-4572-B906-6ABB4DD7C22B}"/>
    <cellStyle name="Notas 11" xfId="2594" xr:uid="{776CDEE2-049C-4712-A5BF-E6478C41FE41}"/>
    <cellStyle name="Notas 11 2" xfId="2595" xr:uid="{D343F819-DA4B-4C35-90A9-53C77BD2881A}"/>
    <cellStyle name="Notas 11 2 2" xfId="2596" xr:uid="{16D53578-F6E2-481B-BF95-36B7177F66D6}"/>
    <cellStyle name="Notas 11 2 2 2" xfId="2597" xr:uid="{70F48331-519D-42A7-B58F-F4E28DDEC52C}"/>
    <cellStyle name="Notas 11 2 3" xfId="2598" xr:uid="{6C557E72-0BB6-442C-B4EA-765B984C04BE}"/>
    <cellStyle name="Notas 11 3" xfId="2599" xr:uid="{B0757390-F449-49E4-AE80-8CB7034B1300}"/>
    <cellStyle name="Notas 11 3 2" xfId="2600" xr:uid="{17358DA2-BEE4-4B60-9D4E-330E82929DF3}"/>
    <cellStyle name="Notas 12" xfId="2601" xr:uid="{48EB6AA7-F184-4ACA-8702-20ADA269DBEA}"/>
    <cellStyle name="Notas 12 2" xfId="2602" xr:uid="{C4ACE32A-D47B-46D3-9EBB-88865727426A}"/>
    <cellStyle name="Notas 12 2 2" xfId="2603" xr:uid="{55CE04BD-F0C1-4515-99FC-FE4C12A2D011}"/>
    <cellStyle name="Notas 12 2 2 2" xfId="2604" xr:uid="{61666644-9064-4949-BF78-053952546773}"/>
    <cellStyle name="Notas 12 2 3" xfId="2605" xr:uid="{C6388B50-36EE-467B-952D-D92F0E72C292}"/>
    <cellStyle name="Notas 12 3" xfId="2606" xr:uid="{E823B9C3-E646-48B2-B8DE-5682C05EF82F}"/>
    <cellStyle name="Notas 12 3 2" xfId="2607" xr:uid="{E000463B-1AB9-4B3F-AC53-0ECDED638E19}"/>
    <cellStyle name="Notas 13" xfId="2608" xr:uid="{7C3A6281-F2C0-4BCA-BC9B-C8722DC65653}"/>
    <cellStyle name="Notas 13 2" xfId="2609" xr:uid="{4EDBD543-21B8-4CF3-8EB2-71646AA25F6E}"/>
    <cellStyle name="Notas 13 2 2" xfId="2610" xr:uid="{84FDDFE0-84C3-40D2-BD5D-5A328D4604AA}"/>
    <cellStyle name="Notas 13 2 2 2" xfId="2611" xr:uid="{AA7A8050-CBF8-457F-83E4-7D923D28F7BB}"/>
    <cellStyle name="Notas 13 2 3" xfId="2612" xr:uid="{647C24D6-E5E5-433E-A2CA-630CCDD0AE84}"/>
    <cellStyle name="Notas 13 3" xfId="2613" xr:uid="{5D1E4D8A-ACEA-4835-A280-06B79A3BCCFE}"/>
    <cellStyle name="Notas 13 3 2" xfId="2614" xr:uid="{F2C312E9-9D5B-466F-89BE-FE252D4D6DF8}"/>
    <cellStyle name="Notas 14" xfId="2615" xr:uid="{8F847063-FAF1-478D-B58E-42BDB2E9E342}"/>
    <cellStyle name="Notas 14 2" xfId="2616" xr:uid="{D00D8890-4539-4479-AD1A-4376EC19092F}"/>
    <cellStyle name="Notas 14 2 2" xfId="2617" xr:uid="{37288AF0-F3E0-43DB-997B-5068CEEFC8DC}"/>
    <cellStyle name="Notas 14 2 2 2" xfId="2618" xr:uid="{015DD502-BDAF-49C3-86D0-3EE20274D0E7}"/>
    <cellStyle name="Notas 14 2 3" xfId="2619" xr:uid="{40CC9875-3D25-4437-AB93-12950C3E4159}"/>
    <cellStyle name="Notas 14 3" xfId="2620" xr:uid="{314DDD74-6786-4FEC-971A-DCDF817584E7}"/>
    <cellStyle name="Notas 14 3 2" xfId="2621" xr:uid="{0D0801DC-F7DC-49E5-AC00-CC29DF896E3D}"/>
    <cellStyle name="Notas 15" xfId="2622" xr:uid="{2EC0174E-AB56-42AA-B17C-9B16D0FB80CE}"/>
    <cellStyle name="Notas 15 2" xfId="2623" xr:uid="{B9EC3359-CFE5-472C-A5CC-00EA2CA256CD}"/>
    <cellStyle name="Notas 15 2 2" xfId="2624" xr:uid="{CCD056AE-C778-4013-AFA8-79A70A35D568}"/>
    <cellStyle name="Notas 15 2 2 2" xfId="2625" xr:uid="{90C0106B-4A2F-45D4-B462-2DDEB7514B9B}"/>
    <cellStyle name="Notas 15 2 3" xfId="2626" xr:uid="{EA342780-CDD2-4023-9D19-07CD68EC339F}"/>
    <cellStyle name="Notas 15 3" xfId="2627" xr:uid="{D528B908-BBD6-42A2-9CE9-CBA7ABA7BEBE}"/>
    <cellStyle name="Notas 15 3 2" xfId="2628" xr:uid="{D42FB520-D80A-4936-9A8F-4EF951B1E131}"/>
    <cellStyle name="Notas 16" xfId="2629" xr:uid="{2EE68DAD-81E5-4E7D-BBC9-3C31BB3CB685}"/>
    <cellStyle name="Notas 16 2" xfId="2630" xr:uid="{F0422455-C250-4822-9665-C7A42DD22C71}"/>
    <cellStyle name="Notas 16 2 2" xfId="2631" xr:uid="{08409C87-9014-41FC-97B0-7721913614F0}"/>
    <cellStyle name="Notas 16 2 2 2" xfId="2632" xr:uid="{A9E1095F-6590-4948-BB43-527DE8BA2F9D}"/>
    <cellStyle name="Notas 16 2 3" xfId="2633" xr:uid="{1BA434D5-8DB3-43A1-AEAB-A819CAF6BD64}"/>
    <cellStyle name="Notas 16 3" xfId="2634" xr:uid="{F4FF1FF5-1C73-4916-923B-69E892E9BF85}"/>
    <cellStyle name="Notas 16 3 2" xfId="2635" xr:uid="{CFE32871-00E8-4BE4-8465-5CAC61CEE65A}"/>
    <cellStyle name="Notas 17" xfId="2636" xr:uid="{15EAF23B-D933-4F44-B204-D181F8B2FFD1}"/>
    <cellStyle name="Notas 17 2" xfId="2637" xr:uid="{33426598-B38E-442A-8B6F-C145773A15A3}"/>
    <cellStyle name="Notas 17 2 2" xfId="2638" xr:uid="{9C7FBF46-4BB7-4B93-B40A-D8A27BB264E2}"/>
    <cellStyle name="Notas 17 2 2 2" xfId="2639" xr:uid="{0D6F251E-D3ED-4995-BC3F-F449767625EB}"/>
    <cellStyle name="Notas 17 2 3" xfId="2640" xr:uid="{FBB78B99-1F9F-4BE0-ADF1-2EBA1881D417}"/>
    <cellStyle name="Notas 17 3" xfId="2641" xr:uid="{1E88443A-52AB-4A7C-9B75-6FDFE27B92EA}"/>
    <cellStyle name="Notas 17 3 2" xfId="2642" xr:uid="{4FC61C72-A930-4D89-986F-7AFC41EA6543}"/>
    <cellStyle name="Notas 18" xfId="2643" xr:uid="{C817C36B-B1B8-4830-A0AB-72AF8FD9409E}"/>
    <cellStyle name="Notas 18 2" xfId="2644" xr:uid="{0E617FD4-C1B3-4352-8D2E-3EFC97211DB7}"/>
    <cellStyle name="Notas 18 2 2" xfId="2645" xr:uid="{098F1746-D1F9-4F5E-96D0-29F70EB90A82}"/>
    <cellStyle name="Notas 18 2 2 2" xfId="2646" xr:uid="{5B23D353-326F-4E72-AF00-16350191DF2E}"/>
    <cellStyle name="Notas 18 2 3" xfId="2647" xr:uid="{87D4744A-EBA4-44BF-A399-F587E76A9E58}"/>
    <cellStyle name="Notas 18 3" xfId="2648" xr:uid="{A4DFB578-D33C-4E4F-B74C-C20716F9A37F}"/>
    <cellStyle name="Notas 18 3 2" xfId="2649" xr:uid="{C38A74CD-534C-4758-880E-D708582B6F0E}"/>
    <cellStyle name="Notas 19" xfId="2650" xr:uid="{4F9C9EAA-6D65-498F-B25E-330054FAFA00}"/>
    <cellStyle name="Notas 19 2" xfId="2651" xr:uid="{5C64B250-4ADF-4CB9-BDA4-13260B23DB37}"/>
    <cellStyle name="Notas 19 2 2" xfId="2652" xr:uid="{DC42811F-234D-46B8-B0C0-A7F0EB7735AC}"/>
    <cellStyle name="Notas 19 2 2 2" xfId="2653" xr:uid="{5B975C07-B628-43C2-B662-7EFCE30CB852}"/>
    <cellStyle name="Notas 19 2 3" xfId="2654" xr:uid="{958388B9-66CA-4898-812E-E0881F43353B}"/>
    <cellStyle name="Notas 19 3" xfId="2655" xr:uid="{AA96EFE3-E8FA-48D2-A555-C1EA1C31A830}"/>
    <cellStyle name="Notas 19 3 2" xfId="2656" xr:uid="{32EEA30D-62ED-4FB1-8EA5-94ABB2867616}"/>
    <cellStyle name="Notas 2" xfId="2657" xr:uid="{87232BAC-DA73-4CD2-B8AC-76F1D7535A91}"/>
    <cellStyle name="Notas 2 2" xfId="2658" xr:uid="{F3584BA5-FF07-43CF-981B-BF1AFBE8E626}"/>
    <cellStyle name="Notas 2 2 2" xfId="2659" xr:uid="{75FBE95A-A266-4C2A-82C0-8792B03D99C7}"/>
    <cellStyle name="Notas 2 2 2 2" xfId="2660" xr:uid="{A504DBBB-08DB-4334-88BE-7BDA578A1023}"/>
    <cellStyle name="Notas 2 2 2 2 2" xfId="2661" xr:uid="{3B30AFF8-C133-4D6D-9828-1F5E6DA4A01E}"/>
    <cellStyle name="Notas 2 2 2 3" xfId="2662" xr:uid="{4F44B20F-255D-4A5C-ABF4-87DDF79D8F69}"/>
    <cellStyle name="Notas 2 2 3" xfId="2663" xr:uid="{CAB83CD2-AC71-4C02-AE58-636E8883F873}"/>
    <cellStyle name="Notas 2 2 3 2" xfId="2664" xr:uid="{239D9AB0-4606-4122-BC2C-87F2680FB901}"/>
    <cellStyle name="Notas 2 3" xfId="2665" xr:uid="{3AF19ADC-E74B-433F-B6B1-97D835D5DF73}"/>
    <cellStyle name="Notas 2 3 2" xfId="2666" xr:uid="{6D8A6D68-454C-4DFF-A136-B5502F2E93F2}"/>
    <cellStyle name="Notas 2 3 2 2" xfId="2667" xr:uid="{075D2BB9-AF09-4AFE-899B-77DB736FC504}"/>
    <cellStyle name="Notas 2 3 3" xfId="2668" xr:uid="{BBED92B1-602E-48CB-8365-FB0A5D5FC44E}"/>
    <cellStyle name="Notas 2 4" xfId="2669" xr:uid="{6EA66455-0D1E-4A58-9BFE-CEA808A91689}"/>
    <cellStyle name="Notas 2 4 2" xfId="2670" xr:uid="{CAE503F8-C9ED-472F-A6F6-44B167487C89}"/>
    <cellStyle name="Notas 20" xfId="2671" xr:uid="{81C285C6-C36B-4095-8EC6-18321B835173}"/>
    <cellStyle name="Notas 20 2" xfId="2672" xr:uid="{25F3D908-53B1-4E3C-ABD9-5F44EC7937B6}"/>
    <cellStyle name="Notas 20 2 2" xfId="2673" xr:uid="{6A422DB8-88A2-4D07-BFD9-129026F3F557}"/>
    <cellStyle name="Notas 20 2 2 2" xfId="2674" xr:uid="{9534A915-2A08-4C83-9A64-502681B08CC2}"/>
    <cellStyle name="Notas 20 2 3" xfId="2675" xr:uid="{50C1A1FA-83D5-43BE-B4AB-1FD74527C7E2}"/>
    <cellStyle name="Notas 20 3" xfId="2676" xr:uid="{35EE51DC-75A1-47FF-A5A2-1F89B09ADCAC}"/>
    <cellStyle name="Notas 20 3 2" xfId="2677" xr:uid="{3A7E18AE-786A-4AC1-9302-9E776F4C09BE}"/>
    <cellStyle name="Notas 21" xfId="2678" xr:uid="{2006B775-F18F-4E89-B7E7-754CE6667D74}"/>
    <cellStyle name="Notas 21 10" xfId="2679" xr:uid="{9B08D374-11A4-4018-BD13-FB7AEC1C63C3}"/>
    <cellStyle name="Notas 21 11" xfId="2680" xr:uid="{7E0590ED-544E-4071-ACDE-D963713C0298}"/>
    <cellStyle name="Notas 21 2" xfId="2681" xr:uid="{0C0D5AE6-F620-4375-8E81-B9E92C782BC7}"/>
    <cellStyle name="Notas 21 2 2" xfId="2682" xr:uid="{51F1BE06-4A73-43D4-985F-3184FCE1097F}"/>
    <cellStyle name="Notas 21 2 2 2" xfId="2683" xr:uid="{0721C696-BD63-4460-AABC-2EE64E62D580}"/>
    <cellStyle name="Notas 21 2 2 3" xfId="2684" xr:uid="{02EC6B75-B99C-4D42-BE4D-87436FD56F80}"/>
    <cellStyle name="Notas 21 2 2 3 2" xfId="2685" xr:uid="{6DF3F034-59AF-444D-9BA0-4BD97518B6AB}"/>
    <cellStyle name="Notas 21 2 2 4" xfId="2686" xr:uid="{91932899-5324-4F8A-B9B5-69EEF27CF23B}"/>
    <cellStyle name="Notas 21 2 2 4 2" xfId="2687" xr:uid="{880781B3-C34B-46E8-8D07-CFB248DD525B}"/>
    <cellStyle name="Notas 21 2 2 4 3" xfId="2688" xr:uid="{2CE6988D-4324-4B04-AB00-9E6676F3624E}"/>
    <cellStyle name="Notas 21 2 2 5" xfId="2689" xr:uid="{17866C2A-B48C-4371-A51D-A64310D3B038}"/>
    <cellStyle name="Notas 21 2 2 5 2" xfId="2690" xr:uid="{E833A49A-3410-4D5E-9AD5-72B5AFE4F99A}"/>
    <cellStyle name="Notas 21 2 2 5 3" xfId="2691" xr:uid="{7C0E36C0-744C-402D-9BD4-C92F8E4E9E7D}"/>
    <cellStyle name="Notas 21 2 2 6" xfId="2692" xr:uid="{3ACD121E-0D69-4450-9371-A16647704A46}"/>
    <cellStyle name="Notas 21 2 2 7" xfId="2693" xr:uid="{1A950F7D-F8BE-404F-98B1-37D6A5B0AF4E}"/>
    <cellStyle name="Notas 21 2 2 8" xfId="2694" xr:uid="{D9F0FEE1-D48A-4219-9951-DE8402E5C32D}"/>
    <cellStyle name="Notas 21 2 3" xfId="2695" xr:uid="{27A937BE-789F-497B-AC46-9BB09C7C4689}"/>
    <cellStyle name="Notas 21 2 4" xfId="2696" xr:uid="{800A92DB-87AF-4BB3-8C51-D0E53E9667C5}"/>
    <cellStyle name="Notas 21 2 4 2" xfId="2697" xr:uid="{6296ADB2-A88D-4315-B9BA-39B3880A879C}"/>
    <cellStyle name="Notas 21 2 5" xfId="2698" xr:uid="{C7475BED-49A6-4843-8D98-6BCFB9911783}"/>
    <cellStyle name="Notas 21 2 5 2" xfId="2699" xr:uid="{F22D4752-E87B-486B-9AEE-10CF4EB73069}"/>
    <cellStyle name="Notas 21 2 5 3" xfId="2700" xr:uid="{E943AE8A-3286-4D3C-993D-B61A6372CA40}"/>
    <cellStyle name="Notas 21 2 6" xfId="2701" xr:uid="{20E57D1C-7B04-448F-B480-D034E959B1B7}"/>
    <cellStyle name="Notas 21 2 6 2" xfId="2702" xr:uid="{305B26A1-173A-455E-9D97-88160AC14797}"/>
    <cellStyle name="Notas 21 2 6 3" xfId="2703" xr:uid="{4BDF0897-3D0E-460E-8A43-77E7F8B674F6}"/>
    <cellStyle name="Notas 21 2 7" xfId="2704" xr:uid="{FD2A958C-0E9F-4C54-9647-BB3B2A68466E}"/>
    <cellStyle name="Notas 21 2 8" xfId="2705" xr:uid="{EC8423E5-0833-4CAD-9A35-6478FF2A7E63}"/>
    <cellStyle name="Notas 21 2 9" xfId="2706" xr:uid="{EA370BD1-2831-4B48-BFA5-56875922A3F2}"/>
    <cellStyle name="Notas 21 3" xfId="2707" xr:uid="{B10AD273-FF90-4884-8BE7-8CC1152F3B94}"/>
    <cellStyle name="Notas 21 3 2" xfId="2708" xr:uid="{7EBC3E81-DCB9-46ED-B653-E0E84E34A1CF}"/>
    <cellStyle name="Notas 21 3 2 2" xfId="2709" xr:uid="{98BDC3E7-A8F9-421E-A448-ED4F5C0B5091}"/>
    <cellStyle name="Notas 21 3 2 3" xfId="2710" xr:uid="{43239137-D337-4E42-B6EE-982F9CA073CE}"/>
    <cellStyle name="Notas 21 3 2 3 2" xfId="2711" xr:uid="{DDA663C4-AE01-4934-9C3F-A6AD2E449EB8}"/>
    <cellStyle name="Notas 21 3 2 4" xfId="2712" xr:uid="{38C8D8EE-6F12-41DC-944C-D788654BA063}"/>
    <cellStyle name="Notas 21 3 2 4 2" xfId="2713" xr:uid="{7F6A792F-898C-4105-BA78-142DBFE89E3B}"/>
    <cellStyle name="Notas 21 3 2 4 3" xfId="2714" xr:uid="{DFFDD218-A51A-49D9-94B2-31B0154773AA}"/>
    <cellStyle name="Notas 21 3 2 5" xfId="2715" xr:uid="{FD1AAC0F-0807-46EB-949E-8937751250AE}"/>
    <cellStyle name="Notas 21 3 2 5 2" xfId="2716" xr:uid="{BDAEFA3C-52DC-4D50-87F9-D70A15C3ECD0}"/>
    <cellStyle name="Notas 21 3 2 5 3" xfId="2717" xr:uid="{EE89B1EA-37DE-4486-9826-5AF35E39B1B5}"/>
    <cellStyle name="Notas 21 3 2 6" xfId="2718" xr:uid="{0D9A8DBC-A0E4-4706-B49A-9CF032DDC757}"/>
    <cellStyle name="Notas 21 3 2 7" xfId="2719" xr:uid="{1C0F25D5-901B-4A76-8C86-21822A52CDA2}"/>
    <cellStyle name="Notas 21 3 2 8" xfId="2720" xr:uid="{3D12342B-BF60-49EA-894A-5BE5189E50C2}"/>
    <cellStyle name="Notas 21 3 3" xfId="2721" xr:uid="{95D63575-EA1F-451C-952A-C3EE984C7F0F}"/>
    <cellStyle name="Notas 21 3 4" xfId="2722" xr:uid="{BAA7055E-78FA-4854-915F-E87E9B3B2DB3}"/>
    <cellStyle name="Notas 21 3 4 2" xfId="2723" xr:uid="{01E7E1FA-6C6F-4B92-8BEF-30367AABE887}"/>
    <cellStyle name="Notas 21 3 5" xfId="2724" xr:uid="{BEA71C0C-6442-4A91-95F4-DFF34B91F7B6}"/>
    <cellStyle name="Notas 21 3 5 2" xfId="2725" xr:uid="{210BF731-9278-44DC-B110-2D926C08C443}"/>
    <cellStyle name="Notas 21 3 5 3" xfId="2726" xr:uid="{FF3B7C21-BA54-4DD5-B256-332ED037D7D7}"/>
    <cellStyle name="Notas 21 3 6" xfId="2727" xr:uid="{4A46AD61-BB1C-483D-BE63-263430D79C41}"/>
    <cellStyle name="Notas 21 3 6 2" xfId="2728" xr:uid="{16F8729D-1775-4064-A6F0-A5B900D633E7}"/>
    <cellStyle name="Notas 21 3 6 3" xfId="2729" xr:uid="{2E996E2F-8BBF-4135-939A-D5CEB7EEE781}"/>
    <cellStyle name="Notas 21 3 7" xfId="2730" xr:uid="{4F0540F1-C090-4F02-976D-0518EDA8EBE8}"/>
    <cellStyle name="Notas 21 3 8" xfId="2731" xr:uid="{D8C3111B-D1C4-405D-92F6-399C25C98C7A}"/>
    <cellStyle name="Notas 21 3 9" xfId="2732" xr:uid="{501725B2-5112-45E1-881A-C62C7F9DC991}"/>
    <cellStyle name="Notas 21 4" xfId="2733" xr:uid="{DFED8D83-D892-4F36-9F42-2DC07D31CD39}"/>
    <cellStyle name="Notas 21 4 2" xfId="2734" xr:uid="{EB4A5F76-0248-4E37-A885-457BE8F0C427}"/>
    <cellStyle name="Notas 21 4 3" xfId="2735" xr:uid="{F355AC9A-51D1-458E-8E15-A7007E8F2B0B}"/>
    <cellStyle name="Notas 21 4 3 2" xfId="2736" xr:uid="{B59B2B1A-47E0-4B97-BF43-F5CEE7352F34}"/>
    <cellStyle name="Notas 21 4 4" xfId="2737" xr:uid="{8F341D27-3AE7-4B3F-B163-9BB049BB339F}"/>
    <cellStyle name="Notas 21 4 4 2" xfId="2738" xr:uid="{C82664DC-BC3C-4AFD-BD1E-56F4CF443711}"/>
    <cellStyle name="Notas 21 4 4 3" xfId="2739" xr:uid="{ACD8A460-C95A-4BA5-AD42-A84AF46CD75A}"/>
    <cellStyle name="Notas 21 4 5" xfId="2740" xr:uid="{D3D02A44-55C6-4EA9-93DB-9494328E0F0C}"/>
    <cellStyle name="Notas 21 4 5 2" xfId="2741" xr:uid="{C09DD862-4C3D-4AE1-BFAF-E4D5D87F7EDB}"/>
    <cellStyle name="Notas 21 4 5 3" xfId="2742" xr:uid="{AE73328D-40B6-4C13-856B-E0D4A76343A6}"/>
    <cellStyle name="Notas 21 4 6" xfId="2743" xr:uid="{4A00528D-C47D-46D9-BB43-C101D438841F}"/>
    <cellStyle name="Notas 21 4 7" xfId="2744" xr:uid="{7A9AA07E-1601-4752-9DCA-E767E0E63E38}"/>
    <cellStyle name="Notas 21 4 8" xfId="2745" xr:uid="{8E361C1D-47DF-45FA-BA65-678943B358D0}"/>
    <cellStyle name="Notas 21 5" xfId="2746" xr:uid="{56C0E628-990D-4DBB-8B62-7B1D6FA762E0}"/>
    <cellStyle name="Notas 21 6" xfId="2747" xr:uid="{40B041F3-D161-462B-91FC-3FDBBBE46C66}"/>
    <cellStyle name="Notas 21 6 2" xfId="2748" xr:uid="{691A4D6D-889D-4D21-AE62-4277C7E79419}"/>
    <cellStyle name="Notas 21 7" xfId="2749" xr:uid="{E1767116-2AF3-402C-87CB-F7FBEC637255}"/>
    <cellStyle name="Notas 21 7 2" xfId="2750" xr:uid="{BF7C77C5-4053-4EB5-94A0-DDDF62FC6C34}"/>
    <cellStyle name="Notas 21 7 3" xfId="2751" xr:uid="{6DF761DF-9BBC-4EA4-963B-A07DF0A4E096}"/>
    <cellStyle name="Notas 21 8" xfId="2752" xr:uid="{99858791-9856-48DE-8B98-FED91CC20A93}"/>
    <cellStyle name="Notas 21 8 2" xfId="2753" xr:uid="{9E9CD9C0-90AF-498D-A171-2D614375BD0E}"/>
    <cellStyle name="Notas 21 8 3" xfId="2754" xr:uid="{CD11B13E-C967-4D6A-83DA-2B2F275C6EFA}"/>
    <cellStyle name="Notas 21 9" xfId="2755" xr:uid="{CD5F20CE-908E-47A5-909A-755E469C8FE4}"/>
    <cellStyle name="Notas 22" xfId="2756" xr:uid="{9870BA96-346E-41B5-976F-EC671AE6524C}"/>
    <cellStyle name="Notas 22 10" xfId="2757" xr:uid="{E29CE26B-E407-491D-8761-AC77187F4387}"/>
    <cellStyle name="Notas 22 2" xfId="2758" xr:uid="{C9B04B7B-F6D3-4636-B5A7-7E50938DEAC9}"/>
    <cellStyle name="Notas 22 2 2" xfId="2759" xr:uid="{15BEB2ED-8AEF-4AC1-8FDE-B97AB788835A}"/>
    <cellStyle name="Notas 22 2 2 2" xfId="2760" xr:uid="{A2CDFA65-2039-468F-909D-5F40292CB000}"/>
    <cellStyle name="Notas 22 2 2 3" xfId="2761" xr:uid="{741A32B0-2E6A-4569-AE21-0E0D4BE7EC56}"/>
    <cellStyle name="Notas 22 2 2 3 2" xfId="2762" xr:uid="{57386D52-587E-4895-B7ED-C559C8836B1D}"/>
    <cellStyle name="Notas 22 2 2 4" xfId="2763" xr:uid="{B7B1F39A-F15C-4214-8559-B5FB6FF650F9}"/>
    <cellStyle name="Notas 22 2 2 4 2" xfId="2764" xr:uid="{7F146D03-DCCE-47EA-82C5-4C54DE25938F}"/>
    <cellStyle name="Notas 22 2 2 4 3" xfId="2765" xr:uid="{F80AEBFE-8DE2-4FD6-83B0-461B3C1D6C9E}"/>
    <cellStyle name="Notas 22 2 2 5" xfId="2766" xr:uid="{9EABD62D-01DC-48EC-B9A7-1907962CA962}"/>
    <cellStyle name="Notas 22 2 2 5 2" xfId="2767" xr:uid="{2B24B30B-7D8F-479C-B40F-C81B9334A42F}"/>
    <cellStyle name="Notas 22 2 2 5 3" xfId="2768" xr:uid="{A5B78FC3-9548-46D9-BF0F-7BE1C39FA312}"/>
    <cellStyle name="Notas 22 2 2 6" xfId="2769" xr:uid="{D4D6E479-8609-4A41-AC2F-D9AA361D188C}"/>
    <cellStyle name="Notas 22 2 2 7" xfId="2770" xr:uid="{2D77A5CC-1087-4357-A31E-AF2526B70A75}"/>
    <cellStyle name="Notas 22 2 2 8" xfId="2771" xr:uid="{E4779684-8152-471B-99F7-08E6C522AB81}"/>
    <cellStyle name="Notas 22 2 3" xfId="2772" xr:uid="{81E56B51-9DFA-4200-B150-B9F98BBBD07E}"/>
    <cellStyle name="Notas 22 2 4" xfId="2773" xr:uid="{F4FD5B89-B987-4EE7-9023-168EB3C98F50}"/>
    <cellStyle name="Notas 22 2 4 2" xfId="2774" xr:uid="{11C024A5-9CEC-44D8-A4E8-07AAC40C71BE}"/>
    <cellStyle name="Notas 22 2 5" xfId="2775" xr:uid="{7F456792-2C74-429B-9482-B4B7B36DCB7A}"/>
    <cellStyle name="Notas 22 2 5 2" xfId="2776" xr:uid="{D107CBCF-A2B8-4017-874B-39E1B89D4CF7}"/>
    <cellStyle name="Notas 22 2 5 3" xfId="2777" xr:uid="{BBA61110-1368-4AFD-A356-FC1AD6B2AB25}"/>
    <cellStyle name="Notas 22 2 6" xfId="2778" xr:uid="{DEDBE2D3-DB51-493E-9161-21A2CCA41E35}"/>
    <cellStyle name="Notas 22 2 6 2" xfId="2779" xr:uid="{08C4B558-B686-4E38-A247-54B84EB2CF9B}"/>
    <cellStyle name="Notas 22 2 6 3" xfId="2780" xr:uid="{5A4B3197-1DBF-4256-899C-528313EA4B87}"/>
    <cellStyle name="Notas 22 2 7" xfId="2781" xr:uid="{8DE280C7-028D-4750-A0EC-B10414174B95}"/>
    <cellStyle name="Notas 22 2 8" xfId="2782" xr:uid="{1ED5FC6E-C059-4031-935B-49068A6DD1D3}"/>
    <cellStyle name="Notas 22 2 9" xfId="2783" xr:uid="{2621521E-8095-4A79-B1FE-B7AB88E3E7B5}"/>
    <cellStyle name="Notas 22 3" xfId="2784" xr:uid="{18121841-6D68-4838-BD98-C18C2A14B5BC}"/>
    <cellStyle name="Notas 22 3 2" xfId="2785" xr:uid="{1E1DEF81-D44F-4BB6-9ACC-0F1DEC42928C}"/>
    <cellStyle name="Notas 22 3 3" xfId="2786" xr:uid="{88E69B62-D411-4DD8-9468-F48718BC4BCB}"/>
    <cellStyle name="Notas 22 3 3 2" xfId="2787" xr:uid="{16739041-E1EA-4977-9E6C-2A7B0C731EE5}"/>
    <cellStyle name="Notas 22 3 4" xfId="2788" xr:uid="{44981DB7-41D1-424F-A7F8-83FE908F1392}"/>
    <cellStyle name="Notas 22 3 4 2" xfId="2789" xr:uid="{3BF3860A-177C-4419-B6DD-B291861FF244}"/>
    <cellStyle name="Notas 22 3 4 3" xfId="2790" xr:uid="{9786D69C-C8AC-498A-BDC1-0DD86BEF444B}"/>
    <cellStyle name="Notas 22 3 5" xfId="2791" xr:uid="{703A4D4A-1978-44F8-83F3-049DF7A352E3}"/>
    <cellStyle name="Notas 22 3 5 2" xfId="2792" xr:uid="{338CD6CA-EB00-4A4D-B298-D3A8E201DC28}"/>
    <cellStyle name="Notas 22 3 5 3" xfId="2793" xr:uid="{F51230CB-E7C0-479D-A78F-FAE929EA1D2D}"/>
    <cellStyle name="Notas 22 3 6" xfId="2794" xr:uid="{9EAC388B-FEDE-4638-A542-186B4C025501}"/>
    <cellStyle name="Notas 22 3 7" xfId="2795" xr:uid="{BC8D5717-9856-4855-A128-20EF65A8F1CB}"/>
    <cellStyle name="Notas 22 3 8" xfId="2796" xr:uid="{BC94CD0B-7358-4FB7-8830-03629E70CC18}"/>
    <cellStyle name="Notas 22 4" xfId="2797" xr:uid="{D736C4E4-C6CA-4421-A544-3F5F26CA420D}"/>
    <cellStyle name="Notas 22 5" xfId="2798" xr:uid="{F729274F-C358-44A8-BBA4-8A95BB946D93}"/>
    <cellStyle name="Notas 22 5 2" xfId="2799" xr:uid="{0E315D08-A0BE-4989-B750-23A2CDD4ECCB}"/>
    <cellStyle name="Notas 22 6" xfId="2800" xr:uid="{64574368-BB53-4A9A-AECC-8D255E82B92F}"/>
    <cellStyle name="Notas 22 6 2" xfId="2801" xr:uid="{BE749C47-AEDE-43AD-BFFA-A3128E5C9076}"/>
    <cellStyle name="Notas 22 6 3" xfId="2802" xr:uid="{B7A55887-9E48-4FCE-800E-ADE73AB167D2}"/>
    <cellStyle name="Notas 22 7" xfId="2803" xr:uid="{ED5FA338-6D2B-4510-B57F-62DD44B69EC9}"/>
    <cellStyle name="Notas 22 7 2" xfId="2804" xr:uid="{353F64C8-BBF9-465A-B543-C522A7BE7624}"/>
    <cellStyle name="Notas 22 7 3" xfId="2805" xr:uid="{639C635B-42B3-405C-A198-F68E4CB8FCD3}"/>
    <cellStyle name="Notas 22 8" xfId="2806" xr:uid="{1480242A-7ACF-48B4-809D-301194B9AFCB}"/>
    <cellStyle name="Notas 22 9" xfId="2807" xr:uid="{C6F2303F-22F4-4BA8-B6C2-32B7E603E17A}"/>
    <cellStyle name="Notas 23" xfId="2808" xr:uid="{8890C9B4-77A4-44B1-BA94-862D322D05FD}"/>
    <cellStyle name="Notas 23 2" xfId="2809" xr:uid="{DD9CF8BE-7270-46C8-BBD1-6CE401F41F67}"/>
    <cellStyle name="Notas 24" xfId="2810" xr:uid="{54280B8F-7685-4704-B2AF-CB89E1B3361C}"/>
    <cellStyle name="Notas 24 2" xfId="2811" xr:uid="{982CFBE5-3E0D-41F8-AE42-A85D35B07A53}"/>
    <cellStyle name="Notas 24 3" xfId="2812" xr:uid="{447DB74F-D76C-4AE9-84CB-DEEA596A58A7}"/>
    <cellStyle name="Notas 25" xfId="2813" xr:uid="{00AB1569-960C-4573-A8A3-5C5B2433425A}"/>
    <cellStyle name="Notas 26" xfId="2814" xr:uid="{C286B352-F0DD-4629-B5AD-A85CFF32E9DF}"/>
    <cellStyle name="Notas 27" xfId="2815" xr:uid="{3E83AA1C-79C1-4890-B7F8-08727F357F73}"/>
    <cellStyle name="Notas 28" xfId="2816" xr:uid="{9757C487-7D30-4C6E-98BA-2BD35449D3A4}"/>
    <cellStyle name="Notas 29" xfId="2817" xr:uid="{034CB02D-6E0A-4C05-8FEA-3EF12933915C}"/>
    <cellStyle name="Notas 3" xfId="2818" xr:uid="{53B2DD43-70D9-41A5-9CB0-664F94C216F0}"/>
    <cellStyle name="Notas 3 2" xfId="2819" xr:uid="{9307D036-8EC0-43EA-9CAA-6CD517C0799C}"/>
    <cellStyle name="Notas 3 2 2" xfId="2820" xr:uid="{AC5877C6-5FC4-4B4F-879B-39F80CDB9184}"/>
    <cellStyle name="Notas 3 2 2 2" xfId="2821" xr:uid="{018B15C0-98D4-4924-8406-8558D9F54F54}"/>
    <cellStyle name="Notas 3 2 3" xfId="2822" xr:uid="{E7B55395-1BB8-4ED8-B49B-F9BC896F1328}"/>
    <cellStyle name="Notas 3 3" xfId="2823" xr:uid="{61E5862A-4142-4E2B-8791-F779B8934955}"/>
    <cellStyle name="Notas 3 3 2" xfId="2824" xr:uid="{CF6CDE4F-A232-4EB6-A7FF-2F5CE7DA2378}"/>
    <cellStyle name="Notas 30" xfId="2825" xr:uid="{A082DE41-09E6-4A7A-BFD8-881C611308BC}"/>
    <cellStyle name="Notas 31" xfId="2826" xr:uid="{799C6DDF-9D8C-4BC6-8634-49A057C676EF}"/>
    <cellStyle name="Notas 4" xfId="2827" xr:uid="{AA5F579C-84E9-4317-9713-617C94CF95C4}"/>
    <cellStyle name="Notas 4 2" xfId="2828" xr:uid="{30DC0260-6503-4E67-AFBF-E7FFAE2178DD}"/>
    <cellStyle name="Notas 4 2 2" xfId="2829" xr:uid="{72CEF23D-CAD8-489B-A0B1-513FCD8AAB3A}"/>
    <cellStyle name="Notas 4 2 2 2" xfId="2830" xr:uid="{0B6D12F1-A562-42D3-A998-C688F08B96D7}"/>
    <cellStyle name="Notas 4 2 3" xfId="2831" xr:uid="{9F20347D-A56F-48B4-B697-DA270723771D}"/>
    <cellStyle name="Notas 4 3" xfId="2832" xr:uid="{A8F60185-D83F-4BFE-8815-6829990AD840}"/>
    <cellStyle name="Notas 4 3 2" xfId="2833" xr:uid="{E5364B15-391C-4C76-8CF5-7AAE49D52472}"/>
    <cellStyle name="Notas 4 4" xfId="2834" xr:uid="{E4CCB82D-C637-4FDA-A86C-3ABCAFDFBF31}"/>
    <cellStyle name="Notas 4 5" xfId="2835" xr:uid="{9621EB49-66E2-4541-B35D-0FD21B8FE765}"/>
    <cellStyle name="Notas 4 6" xfId="2836" xr:uid="{734BFA98-1E8D-49F6-B330-5E629E654C1E}"/>
    <cellStyle name="Notas 4 6 2" xfId="2837" xr:uid="{B5816207-EB57-4404-88E9-DB4365C4F3A9}"/>
    <cellStyle name="Notas 4 7" xfId="2838" xr:uid="{1ED0A38F-0932-4587-83A8-A473826033C3}"/>
    <cellStyle name="Notas 4 7 2" xfId="2839" xr:uid="{BBA70B0F-5114-47C7-B5DD-C4EA6F068F4D}"/>
    <cellStyle name="Notas 4 7 3" xfId="2840" xr:uid="{759E689E-8AB0-4AEB-8B57-503D87E70BB1}"/>
    <cellStyle name="Notas 4 8" xfId="2841" xr:uid="{AC8113D8-C870-4325-B139-2A60B672A49A}"/>
    <cellStyle name="Notas 4 8 2" xfId="2842" xr:uid="{17BDF777-E3A3-4F99-B56C-6EB1745FC81F}"/>
    <cellStyle name="Notas 4 8 3" xfId="2843" xr:uid="{A63D7966-E5DE-4907-A80E-8FE08F97AD0C}"/>
    <cellStyle name="Notas 4 9" xfId="2844" xr:uid="{B1EDFAA1-8DC9-42B2-BAC5-2466872083DB}"/>
    <cellStyle name="Notas 5" xfId="2845" xr:uid="{1EF46914-793E-4D65-BB82-04F6ED6614C9}"/>
    <cellStyle name="Notas 5 2" xfId="2846" xr:uid="{B76093B9-54B3-4667-82CB-9190AF17DEA2}"/>
    <cellStyle name="Notas 5 2 2" xfId="2847" xr:uid="{0131E335-195D-447C-A831-548181CF1316}"/>
    <cellStyle name="Notas 5 2 2 2" xfId="2848" xr:uid="{BFD16531-2533-4276-BB9A-5C1191B03944}"/>
    <cellStyle name="Notas 5 2 3" xfId="2849" xr:uid="{FD6BC788-504E-428C-A4B6-43BB0FC35649}"/>
    <cellStyle name="Notas 5 3" xfId="2850" xr:uid="{D1C8FD10-ADDB-4709-B6A2-7B538DCEEB21}"/>
    <cellStyle name="Notas 5 3 2" xfId="2851" xr:uid="{81BE12EC-85DC-4957-A0F6-6F690994B6FA}"/>
    <cellStyle name="Notas 6" xfId="2852" xr:uid="{36FEAF63-3DB3-42C7-B64E-55FA9FEC6A7E}"/>
    <cellStyle name="Notas 6 2" xfId="2853" xr:uid="{1D0CB7FE-ECF3-4CA9-A10B-EDA291956BFA}"/>
    <cellStyle name="Notas 6 2 2" xfId="2854" xr:uid="{41B0CC56-CB19-477E-AF58-BC9765424A72}"/>
    <cellStyle name="Notas 6 2 2 2" xfId="2855" xr:uid="{6FDCD0A9-586D-425B-88FB-E33C558EE6B0}"/>
    <cellStyle name="Notas 6 2 3" xfId="2856" xr:uid="{C33BB68F-1ABC-4BB3-8490-F96EBF7649BD}"/>
    <cellStyle name="Notas 6 3" xfId="2857" xr:uid="{811E230B-28F8-416A-945A-2C8F658614D2}"/>
    <cellStyle name="Notas 6 3 2" xfId="2858" xr:uid="{C8E37BD5-2A92-4646-A4C7-BEF5D7F0C87F}"/>
    <cellStyle name="Notas 7" xfId="2859" xr:uid="{728FE838-4240-43F8-BE65-5452915DD37F}"/>
    <cellStyle name="Notas 7 2" xfId="2860" xr:uid="{B04E3862-EE6C-4E92-A764-C87AD62E3F5E}"/>
    <cellStyle name="Notas 7 2 2" xfId="2861" xr:uid="{0433AD5D-E633-4E9F-B9F2-F5DD78D573FE}"/>
    <cellStyle name="Notas 7 2 2 2" xfId="2862" xr:uid="{32C9DB3D-DAB3-43C4-9921-93D1BAFE1112}"/>
    <cellStyle name="Notas 7 2 3" xfId="2863" xr:uid="{3A7C96F0-3FDA-4ECC-BCD4-61CF93AC6DFF}"/>
    <cellStyle name="Notas 7 3" xfId="2864" xr:uid="{EBDA659D-B778-4968-894A-AA3F803945C3}"/>
    <cellStyle name="Notas 7 3 2" xfId="2865" xr:uid="{16D2EB9D-F012-49DF-A996-C8B55F0763AC}"/>
    <cellStyle name="Notas 8" xfId="2866" xr:uid="{5C7C8453-C7AB-436F-AFE3-8EDD867A65F2}"/>
    <cellStyle name="Notas 8 2" xfId="2867" xr:uid="{AF71C7D0-EE47-4D77-8D83-0FDB2EE7C187}"/>
    <cellStyle name="Notas 8 2 2" xfId="2868" xr:uid="{0E1CE507-FD80-41FF-BFF0-BBD97149C893}"/>
    <cellStyle name="Notas 8 2 2 2" xfId="2869" xr:uid="{680124E0-6704-4365-8C8F-A9275D8A803C}"/>
    <cellStyle name="Notas 8 2 3" xfId="2870" xr:uid="{96A65F65-D9F3-422B-9ED7-E0BCF63C515D}"/>
    <cellStyle name="Notas 8 3" xfId="2871" xr:uid="{EBC736E4-E03F-4E06-9412-0D50C2ABFC1F}"/>
    <cellStyle name="Notas 8 3 2" xfId="2872" xr:uid="{CCA4A17F-4A55-48D0-BC28-B206977EC401}"/>
    <cellStyle name="Notas 9" xfId="2873" xr:uid="{2EDCEB93-71FD-4486-B1FD-BB8E3A705AEE}"/>
    <cellStyle name="Notas 9 2" xfId="2874" xr:uid="{02A55681-34D6-484C-9CE4-DD8450B846C2}"/>
    <cellStyle name="Notas 9 2 2" xfId="2875" xr:uid="{3E6C4065-1FAA-4AFC-9DAA-6BF876C8D2C0}"/>
    <cellStyle name="Notas 9 2 2 2" xfId="2876" xr:uid="{81833C7E-526F-4D34-B3C3-ED51485ABF7A}"/>
    <cellStyle name="Notas 9 2 3" xfId="2877" xr:uid="{1136232C-EF64-48DB-BC51-E900BA36A1E0}"/>
    <cellStyle name="Notas 9 3" xfId="2878" xr:uid="{0E7CFF98-3C65-46C9-84AE-F8E5AA90821C}"/>
    <cellStyle name="Notas 9 3 2" xfId="2879" xr:uid="{CCFE75A0-CDF9-4866-8756-8EBB982B5E98}"/>
    <cellStyle name="Note 2" xfId="2880" xr:uid="{B0CD8842-F54A-4F88-A622-88F25C9B70F5}"/>
    <cellStyle name="Output" xfId="452" builtinId="21" customBuiltin="1"/>
    <cellStyle name="Output 2" xfId="402" xr:uid="{E7DF33D2-2CF1-4907-A974-0522D5A9F609}"/>
    <cellStyle name="Output 2 2" xfId="2881" xr:uid="{2E6D477D-A893-41D4-AA07-B984461DB291}"/>
    <cellStyle name="p" xfId="2882" xr:uid="{0A285BA6-A7C6-4B31-87BF-C52B9316B37E}"/>
    <cellStyle name="Pame" xfId="2883" xr:uid="{E0750D6F-3FF6-45FE-AA7A-D6B0F5190AEE}"/>
    <cellStyle name="Percent" xfId="2" builtinId="5"/>
    <cellStyle name="Percent 2" xfId="12" xr:uid="{CEB78263-4329-4777-A163-EC70B823E0DF}"/>
    <cellStyle name="Percent 2 2" xfId="2885" xr:uid="{60515DDA-A2F1-4D34-828F-30BC47BD056E}"/>
    <cellStyle name="Percent 2 3" xfId="2886" xr:uid="{0A0CCC37-FD18-483C-B093-9625C98EFE33}"/>
    <cellStyle name="Percent 2 4" xfId="2887" xr:uid="{B79EA782-5448-4CEC-83D1-60D6F30A71ED}"/>
    <cellStyle name="Percent 3" xfId="367" xr:uid="{C066C057-2F2A-4ADD-AE65-9B8A5F2DE56E}"/>
    <cellStyle name="Percent 3 2" xfId="2889" xr:uid="{34D63012-8AAD-4BBD-A801-9EEFA338821D}"/>
    <cellStyle name="Percent 3 2 2" xfId="2890" xr:uid="{45ED9621-15B8-4C22-85D1-6DE1B9F7A04D}"/>
    <cellStyle name="Percent 3 2 3" xfId="4543" xr:uid="{CEE32E58-524C-4EDF-9C75-4C14B76B46E8}"/>
    <cellStyle name="Percent 3 3" xfId="2891" xr:uid="{D63147B4-C0C7-41AE-815A-BAEC2049D66A}"/>
    <cellStyle name="Percent 3 4" xfId="2892" xr:uid="{6D4B7D0D-8B2E-46D1-80F8-25AD115D864E}"/>
    <cellStyle name="Percent 3 4 2" xfId="2893" xr:uid="{684878F4-EF72-4994-9132-44EF0AE5AF3A}"/>
    <cellStyle name="Percent 3 4 3" xfId="2894" xr:uid="{4C85A837-D930-43B8-B9EB-2676E228D28E}"/>
    <cellStyle name="Percent 3 5" xfId="2895" xr:uid="{96A4B70A-0456-457D-BA18-441ACB13EB94}"/>
    <cellStyle name="Percent 3 6" xfId="2896" xr:uid="{E9C7376B-A741-4C74-9AFB-6F0C6CF933DE}"/>
    <cellStyle name="Percent 3 7" xfId="2897" xr:uid="{10395D7C-ED58-420F-ACFA-77301CBD7C43}"/>
    <cellStyle name="Percent 3 8" xfId="2888" xr:uid="{8EDB515E-8DE4-48BA-A437-30C5B3790956}"/>
    <cellStyle name="Percent 4" xfId="420" xr:uid="{20F117C3-659C-47F9-8A00-E46653244892}"/>
    <cellStyle name="Percent 4 2" xfId="2899" xr:uid="{BDFF8874-E82F-43DE-AD8F-400EBE0F9580}"/>
    <cellStyle name="Percent 4 3" xfId="2900" xr:uid="{1E11A74C-2972-413C-B8F5-B0AE1C88CAEE}"/>
    <cellStyle name="Percent 4 4" xfId="2901" xr:uid="{A44D4310-0DE6-49A1-A6D6-2D787F9B72E4}"/>
    <cellStyle name="Percent 4 4 2" xfId="2902" xr:uid="{3E26CC30-F4EF-4CD1-9484-9AB7E1C96C79}"/>
    <cellStyle name="Percent 4 4 3" xfId="2903" xr:uid="{CF9EF454-BD77-4BB1-AC77-81E4E6B24604}"/>
    <cellStyle name="Percent 4 5" xfId="2904" xr:uid="{35734970-AECA-45C2-AF1E-A7B2E21D2328}"/>
    <cellStyle name="Percent 4 6" xfId="2905" xr:uid="{BCCF79C7-A327-45EC-852C-EAF259457F6E}"/>
    <cellStyle name="Percent 4 7" xfId="2898" xr:uid="{DA2C55FB-B287-4F05-B0DD-98CA9F2BAF49}"/>
    <cellStyle name="Percent 5" xfId="476" xr:uid="{40BB18FF-405B-47B5-8C8C-B53A9BFF2C62}"/>
    <cellStyle name="Percent 5 2" xfId="2906" xr:uid="{2A1B00BA-C6C7-47F6-B35E-F94CA83B055F}"/>
    <cellStyle name="Percent 5 2 2" xfId="2907" xr:uid="{04448F64-26F6-4331-82A7-ACB91B6EC5C5}"/>
    <cellStyle name="Percent 5 2 3" xfId="2908" xr:uid="{83688BE3-91FF-42F1-80B3-0DF5CC82DF2E}"/>
    <cellStyle name="Percent 5 3" xfId="2909" xr:uid="{A9A9D7C3-AF42-41E9-A3AF-726158F8686A}"/>
    <cellStyle name="Percent 5 4" xfId="2910" xr:uid="{A212BA6F-70D4-4ED1-89E4-CE28716CE66A}"/>
    <cellStyle name="Percent 5 4 2" xfId="2911" xr:uid="{BF0A3FA1-7955-4AFD-8E6D-15750D4EBA67}"/>
    <cellStyle name="Percent 5 5" xfId="2912" xr:uid="{5BF765E1-0C47-4956-9805-8B650BF660CB}"/>
    <cellStyle name="Percent 5 6" xfId="4528" xr:uid="{7775D2EA-018E-4B0D-B873-456842F9F7B0}"/>
    <cellStyle name="Percent 6" xfId="2913" xr:uid="{CC1F0B7B-06F9-4170-8A09-395B17555DE4}"/>
    <cellStyle name="Percent 6 2" xfId="2914" xr:uid="{37A9C476-9A65-405E-AC01-5463B1EF67A3}"/>
    <cellStyle name="Percent 6 3" xfId="2915" xr:uid="{34E35658-CFC0-4C18-8FBB-4A88A8131749}"/>
    <cellStyle name="Percent 6 3 2" xfId="2916" xr:uid="{78978D1B-6D22-4B32-BB4A-A119758D9053}"/>
    <cellStyle name="Percent 6 4" xfId="2917" xr:uid="{E931ACD1-2429-4512-BC70-DE766AED0C8E}"/>
    <cellStyle name="Percent 7" xfId="2918" xr:uid="{A511953C-B3BD-42C7-8562-849B7F1A2DEA}"/>
    <cellStyle name="Percent 7 2" xfId="2919" xr:uid="{0A9C438F-829F-4ABF-955D-7A9FD51C11A0}"/>
    <cellStyle name="Percent 8" xfId="2884" xr:uid="{4EF4CD4E-0610-4688-B67D-242E57D98D26}"/>
    <cellStyle name="Porcentagem 2" xfId="2920" xr:uid="{3C405787-2FD0-4B86-AA08-15A2A5F66174}"/>
    <cellStyle name="Porcentagem 2 2" xfId="2921" xr:uid="{F4622F35-B863-4695-8903-C6934D71610A}"/>
    <cellStyle name="Porcentagem 2 3" xfId="2922" xr:uid="{60950F9D-CAE8-4345-A6B5-1A4D2E6C9555}"/>
    <cellStyle name="Porcentagem 2 4" xfId="2923" xr:uid="{FBD9BC06-14E1-49B1-8BE2-EE1D0ECBAEA6}"/>
    <cellStyle name="Porcentaje 10" xfId="2924" xr:uid="{4C30F8F2-4C10-42B2-8F29-73D43D6A70FC}"/>
    <cellStyle name="Porcentaje 11" xfId="2925" xr:uid="{880C26F7-EEC1-4354-B1FD-C9CDE7BF2C65}"/>
    <cellStyle name="Porcentaje 12" xfId="2926" xr:uid="{4B8C5C80-631A-421F-9853-89DA1FB5AB36}"/>
    <cellStyle name="Porcentaje 13" xfId="2927" xr:uid="{A9668020-54AB-4190-925C-EC3AEC419347}"/>
    <cellStyle name="Porcentaje 13 2" xfId="2928" xr:uid="{68EDFDD6-5046-45DC-A849-F797E0BA0A36}"/>
    <cellStyle name="Porcentaje 14" xfId="2929" xr:uid="{4F8C1F12-B076-4234-9879-1824AA7D40B1}"/>
    <cellStyle name="Porcentaje 14 2" xfId="2930" xr:uid="{419FAED1-4588-43CE-B531-ABF2CF88102D}"/>
    <cellStyle name="Porcentaje 14 3" xfId="2931" xr:uid="{05D22691-5483-4852-B630-49B774F3B5D6}"/>
    <cellStyle name="Porcentaje 15" xfId="2932" xr:uid="{0BA9E7A4-2022-4C70-9791-ED7E0D2D0429}"/>
    <cellStyle name="Porcentaje 16" xfId="2933" xr:uid="{91D6088B-1FF9-42C6-AC17-A7DC580085EB}"/>
    <cellStyle name="Porcentaje 16 2" xfId="2934" xr:uid="{02C800E4-7123-4C18-BFE6-47A5935C3A24}"/>
    <cellStyle name="Porcentaje 16 3" xfId="2935" xr:uid="{14490EF0-49D1-46A7-B28C-FB683B5095D8}"/>
    <cellStyle name="Porcentaje 2" xfId="2936" xr:uid="{933BFF70-4799-474B-948F-0743CED5F9BF}"/>
    <cellStyle name="Porcentaje 2 10" xfId="2937" xr:uid="{79D09D3B-9A3F-40C3-80C2-942C4587DF62}"/>
    <cellStyle name="Porcentaje 2 11" xfId="2938" xr:uid="{4331B371-1CDF-4214-9DC4-0AC325B07968}"/>
    <cellStyle name="Porcentaje 2 12" xfId="2939" xr:uid="{379365DA-FA1E-4BB0-8B67-A28B4431078C}"/>
    <cellStyle name="Porcentaje 2 2" xfId="2940" xr:uid="{09D264AA-F4E8-441D-ADA6-2F27D6750F17}"/>
    <cellStyle name="Porcentaje 2 2 10" xfId="2941" xr:uid="{F46A7E4E-8EB4-4515-85CC-96DE93088421}"/>
    <cellStyle name="Porcentaje 2 2 2" xfId="2942" xr:uid="{13D9BC8B-F5C1-49BF-A346-503F8869E272}"/>
    <cellStyle name="Porcentaje 2 2 2 10" xfId="2943" xr:uid="{25D0FE09-2365-4EDF-87C4-7B426883987F}"/>
    <cellStyle name="Porcentaje 2 2 2 2" xfId="2944" xr:uid="{5F3EC7E2-20BF-4704-A4D3-BA0230E940DD}"/>
    <cellStyle name="Porcentaje 2 2 2 2 10" xfId="2945" xr:uid="{A4E10510-8561-4292-9D86-E0F746B72BC7}"/>
    <cellStyle name="Porcentaje 2 2 2 2 2" xfId="2946" xr:uid="{072B4D16-B3A2-4119-9ACB-A146A35F5749}"/>
    <cellStyle name="Porcentaje 2 2 2 2 2 2" xfId="2947" xr:uid="{3F0C210A-1EDA-448F-9A07-73B851397863}"/>
    <cellStyle name="Porcentaje 2 2 2 2 2 2 2" xfId="2948" xr:uid="{78D1B974-91ED-4114-8AEB-4F458C1EDA71}"/>
    <cellStyle name="Porcentaje 2 2 2 2 2 2 3" xfId="2949" xr:uid="{1E533EB3-BE4A-4449-A58C-8733793F0471}"/>
    <cellStyle name="Porcentaje 2 2 2 2 2 2 3 2" xfId="2950" xr:uid="{983C253C-690C-4DAC-AAC5-BA415CF3AD37}"/>
    <cellStyle name="Porcentaje 2 2 2 2 2 2 4" xfId="2951" xr:uid="{BC47C392-5582-405B-8E45-C47A710631D9}"/>
    <cellStyle name="Porcentaje 2 2 2 2 2 2 4 2" xfId="2952" xr:uid="{7F1E15EC-03CE-452B-A64F-014121AFE090}"/>
    <cellStyle name="Porcentaje 2 2 2 2 2 2 4 3" xfId="2953" xr:uid="{3E672003-354F-4A85-8142-3E907E918AEC}"/>
    <cellStyle name="Porcentaje 2 2 2 2 2 2 5" xfId="2954" xr:uid="{9A05F978-7D33-4152-A78C-820807488B86}"/>
    <cellStyle name="Porcentaje 2 2 2 2 2 2 5 2" xfId="2955" xr:uid="{D17F9908-E453-4E30-BC50-CE7CEEB39D2C}"/>
    <cellStyle name="Porcentaje 2 2 2 2 2 2 5 3" xfId="2956" xr:uid="{FAC842EF-D282-4791-A11A-562BC118E5AB}"/>
    <cellStyle name="Porcentaje 2 2 2 2 2 2 6" xfId="2957" xr:uid="{868F1EE5-B536-4D0D-A1E3-E63785BB9CE9}"/>
    <cellStyle name="Porcentaje 2 2 2 2 2 2 7" xfId="2958" xr:uid="{527A1AFA-239B-4C0E-9047-829C363CF06F}"/>
    <cellStyle name="Porcentaje 2 2 2 2 2 2 8" xfId="2959" xr:uid="{D358AC8F-809B-4944-8581-D7E19040768F}"/>
    <cellStyle name="Porcentaje 2 2 2 2 2 3" xfId="2960" xr:uid="{21635A22-CA96-43BA-9960-8F2B602CB54E}"/>
    <cellStyle name="Porcentaje 2 2 2 2 2 4" xfId="2961" xr:uid="{14D8FF50-6CFE-44EA-B7C3-1E582CF0DA95}"/>
    <cellStyle name="Porcentaje 2 2 2 2 2 4 2" xfId="2962" xr:uid="{A38286D1-5C62-4175-AF53-13B332BCEEFA}"/>
    <cellStyle name="Porcentaje 2 2 2 2 2 5" xfId="2963" xr:uid="{AC74C3FC-342A-4BAF-BEB0-ADD990E403A3}"/>
    <cellStyle name="Porcentaje 2 2 2 2 2 5 2" xfId="2964" xr:uid="{DD2FE85A-02FE-4A3D-9470-62637F39C9D3}"/>
    <cellStyle name="Porcentaje 2 2 2 2 2 5 3" xfId="2965" xr:uid="{2334DD1F-49A5-4C50-907C-680ED42675CE}"/>
    <cellStyle name="Porcentaje 2 2 2 2 2 6" xfId="2966" xr:uid="{96E7E8A0-14A1-4ABE-AAC7-07E1510CC546}"/>
    <cellStyle name="Porcentaje 2 2 2 2 2 6 2" xfId="2967" xr:uid="{8601D94B-77DC-417C-A867-C3A9CB9C13E7}"/>
    <cellStyle name="Porcentaje 2 2 2 2 2 6 3" xfId="2968" xr:uid="{89B8C8D7-FA35-4B26-B113-6C2BCE6D65C2}"/>
    <cellStyle name="Porcentaje 2 2 2 2 2 7" xfId="2969" xr:uid="{FE8AD845-DF5E-462F-99DF-71CD18EFA328}"/>
    <cellStyle name="Porcentaje 2 2 2 2 2 8" xfId="2970" xr:uid="{3BA01D97-08DF-484A-A135-9E78A9D30051}"/>
    <cellStyle name="Porcentaje 2 2 2 2 2 9" xfId="2971" xr:uid="{5AACDD48-6062-491E-97E2-76DD814D6262}"/>
    <cellStyle name="Porcentaje 2 2 2 2 3" xfId="2972" xr:uid="{B126F90A-4BDE-40D3-B995-7981568B612E}"/>
    <cellStyle name="Porcentaje 2 2 2 2 3 2" xfId="2973" xr:uid="{CF39A411-2CEA-4CDC-A747-0AD3F8FF7E5B}"/>
    <cellStyle name="Porcentaje 2 2 2 2 3 3" xfId="2974" xr:uid="{8C93B525-E845-496A-B386-01A96E2220A3}"/>
    <cellStyle name="Porcentaje 2 2 2 2 3 3 2" xfId="2975" xr:uid="{F0018A93-9A7C-43A2-84EF-6B938B98B794}"/>
    <cellStyle name="Porcentaje 2 2 2 2 3 4" xfId="2976" xr:uid="{EE04422F-AE77-4A2A-9F6A-5AAE8C98F3F1}"/>
    <cellStyle name="Porcentaje 2 2 2 2 3 4 2" xfId="2977" xr:uid="{AF85B70C-878B-412D-BE7D-C346F7AEB49B}"/>
    <cellStyle name="Porcentaje 2 2 2 2 3 4 3" xfId="2978" xr:uid="{FF345578-17EA-4798-9942-494AEF3E4BDA}"/>
    <cellStyle name="Porcentaje 2 2 2 2 3 5" xfId="2979" xr:uid="{98B6A2F8-75C2-4AD2-84BD-C1A502255D7D}"/>
    <cellStyle name="Porcentaje 2 2 2 2 3 5 2" xfId="2980" xr:uid="{216B845B-41A3-4E9D-924B-7014C4C5C8DB}"/>
    <cellStyle name="Porcentaje 2 2 2 2 3 5 3" xfId="2981" xr:uid="{576E2356-0575-48A1-86F4-C30498C9E2BC}"/>
    <cellStyle name="Porcentaje 2 2 2 2 3 6" xfId="2982" xr:uid="{1348619C-D4C1-4E96-8E00-FB9232563950}"/>
    <cellStyle name="Porcentaje 2 2 2 2 3 7" xfId="2983" xr:uid="{D3E90256-6ED2-4491-8425-429C33696EE3}"/>
    <cellStyle name="Porcentaje 2 2 2 2 3 8" xfId="2984" xr:uid="{CF3F6B3C-B623-4A6F-81BF-7F3D41C3F997}"/>
    <cellStyle name="Porcentaje 2 2 2 2 4" xfId="2985" xr:uid="{38288EC6-0260-4497-B5DA-938F323B3196}"/>
    <cellStyle name="Porcentaje 2 2 2 2 5" xfId="2986" xr:uid="{61792BEC-2E58-47C3-B403-50547DA13BCA}"/>
    <cellStyle name="Porcentaje 2 2 2 2 5 2" xfId="2987" xr:uid="{BA1B2A09-F2E7-4362-BFEE-4DCAB9D45B0A}"/>
    <cellStyle name="Porcentaje 2 2 2 2 6" xfId="2988" xr:uid="{6D91F84B-519D-44D5-98FC-70E8A37E420F}"/>
    <cellStyle name="Porcentaje 2 2 2 2 6 2" xfId="2989" xr:uid="{FFC2405C-CDBB-4600-BF5C-6408345F1073}"/>
    <cellStyle name="Porcentaje 2 2 2 2 6 3" xfId="2990" xr:uid="{267CA115-B024-4509-82C3-3E40EDA1E44B}"/>
    <cellStyle name="Porcentaje 2 2 2 2 7" xfId="2991" xr:uid="{7A1DBE1A-7950-431E-82C5-CCAB2E0840ED}"/>
    <cellStyle name="Porcentaje 2 2 2 2 7 2" xfId="2992" xr:uid="{5541C3AD-2482-47DA-92C5-72765E5EACD5}"/>
    <cellStyle name="Porcentaje 2 2 2 2 7 3" xfId="2993" xr:uid="{E808F89C-6BA7-4AB8-90E9-03447A7B2A99}"/>
    <cellStyle name="Porcentaje 2 2 2 2 8" xfId="2994" xr:uid="{EE8CF331-EB64-45B5-95D7-D0FB49BC489C}"/>
    <cellStyle name="Porcentaje 2 2 2 2 9" xfId="2995" xr:uid="{B1AAD45F-7A98-40F4-8451-D4E45E048388}"/>
    <cellStyle name="Porcentaje 2 2 2 3" xfId="2996" xr:uid="{9CF5EDB8-CD07-4C9A-92CD-B2D44A1FE630}"/>
    <cellStyle name="Porcentaje 2 2 2 3 2" xfId="2997" xr:uid="{BDFBB4E4-E644-4C91-9DD3-E469C074F7F4}"/>
    <cellStyle name="Porcentaje 2 2 2 3 3" xfId="2998" xr:uid="{A3666861-C823-4E96-96E6-763A24702983}"/>
    <cellStyle name="Porcentaje 2 2 2 3 3 2" xfId="2999" xr:uid="{F0587A40-5D12-4B73-917F-2F1829773BBE}"/>
    <cellStyle name="Porcentaje 2 2 2 3 4" xfId="3000" xr:uid="{579E09E3-04EF-408A-B237-5B38B967A737}"/>
    <cellStyle name="Porcentaje 2 2 2 3 4 2" xfId="3001" xr:uid="{A6813780-6866-4D05-ADF3-27AD1B262EE3}"/>
    <cellStyle name="Porcentaje 2 2 2 3 4 3" xfId="3002" xr:uid="{BCC4651E-E9E0-4705-A884-B89D476BF8C3}"/>
    <cellStyle name="Porcentaje 2 2 2 3 5" xfId="3003" xr:uid="{AB6F8830-0913-407A-870D-15BC812A7F58}"/>
    <cellStyle name="Porcentaje 2 2 2 3 5 2" xfId="3004" xr:uid="{FAAEBB59-B649-4CB0-9335-A99E76453040}"/>
    <cellStyle name="Porcentaje 2 2 2 3 5 3" xfId="3005" xr:uid="{07B1D0A5-7417-4965-A68E-72A80D69EBD6}"/>
    <cellStyle name="Porcentaje 2 2 2 3 6" xfId="3006" xr:uid="{F131A797-BBCE-4941-AC91-0F718531E9D8}"/>
    <cellStyle name="Porcentaje 2 2 2 3 7" xfId="3007" xr:uid="{835B6435-0F6F-4A34-B5DC-A6185CC5B337}"/>
    <cellStyle name="Porcentaje 2 2 2 3 8" xfId="3008" xr:uid="{59698E2F-F896-4BD1-9FBC-42BE59422D99}"/>
    <cellStyle name="Porcentaje 2 2 2 4" xfId="3009" xr:uid="{01133628-8FF5-475B-AEE4-74F52F89183B}"/>
    <cellStyle name="Porcentaje 2 2 2 5" xfId="3010" xr:uid="{4EA4267B-6E32-4B67-826B-8CCE9B4FA048}"/>
    <cellStyle name="Porcentaje 2 2 2 5 2" xfId="3011" xr:uid="{49622BA2-C5F2-47A7-BFBD-14DC203FE2CC}"/>
    <cellStyle name="Porcentaje 2 2 2 6" xfId="3012" xr:uid="{D09903CE-C5BA-470B-B74E-F13CEF1818D7}"/>
    <cellStyle name="Porcentaje 2 2 2 6 2" xfId="3013" xr:uid="{C927EED4-770D-417B-99FB-D47F7BB0DBB5}"/>
    <cellStyle name="Porcentaje 2 2 2 6 3" xfId="3014" xr:uid="{0EDE8718-29A6-4550-A1C8-1BF00ED81F21}"/>
    <cellStyle name="Porcentaje 2 2 2 7" xfId="3015" xr:uid="{E6DFFEB5-4330-46FD-AAE7-2CE299743DC4}"/>
    <cellStyle name="Porcentaje 2 2 2 7 2" xfId="3016" xr:uid="{1253F4CB-6AD8-4D56-B140-E7A4614784D3}"/>
    <cellStyle name="Porcentaje 2 2 2 7 3" xfId="3017" xr:uid="{09F7C1E0-0066-490F-BFC4-D5A103CA196A}"/>
    <cellStyle name="Porcentaje 2 2 2 8" xfId="3018" xr:uid="{F7B0E527-0B8A-493B-933F-F70F1562DB42}"/>
    <cellStyle name="Porcentaje 2 2 2 9" xfId="3019" xr:uid="{DC4CFB3A-FC0F-4CD5-97BA-72E779E39F34}"/>
    <cellStyle name="Porcentaje 2 2 3" xfId="3020" xr:uid="{1EC399C1-AFCA-4F4E-BA75-27FF65078970}"/>
    <cellStyle name="Porcentaje 2 2 3 2" xfId="3021" xr:uid="{C541A1F7-FD7C-4FE9-BC8C-C10DA575730E}"/>
    <cellStyle name="Porcentaje 2 2 3 3" xfId="3022" xr:uid="{2EE81A89-E28A-4556-AE1F-E057293DCB96}"/>
    <cellStyle name="Porcentaje 2 2 3 3 2" xfId="3023" xr:uid="{CB840666-4E47-4959-8A94-B763261BB118}"/>
    <cellStyle name="Porcentaje 2 2 3 4" xfId="3024" xr:uid="{59E0BFF4-8BF3-4655-9E7A-C75CE53C3EE5}"/>
    <cellStyle name="Porcentaje 2 2 3 4 2" xfId="3025" xr:uid="{2C828333-46F0-45A4-907B-1E385758363E}"/>
    <cellStyle name="Porcentaje 2 2 3 4 3" xfId="3026" xr:uid="{7C68ADF8-F7FF-4831-ADC5-EA80D161C421}"/>
    <cellStyle name="Porcentaje 2 2 3 5" xfId="3027" xr:uid="{73217279-9BC6-4703-91CF-81C8F79D862B}"/>
    <cellStyle name="Porcentaje 2 2 3 5 2" xfId="3028" xr:uid="{32B32B48-161B-49E3-AC0D-8B5037E2CECB}"/>
    <cellStyle name="Porcentaje 2 2 3 5 3" xfId="3029" xr:uid="{46E72F38-EE47-4D34-8E21-F51FD401B800}"/>
    <cellStyle name="Porcentaje 2 2 3 6" xfId="3030" xr:uid="{3D77E8D8-7905-4DCB-984E-24BB8380C00C}"/>
    <cellStyle name="Porcentaje 2 2 3 7" xfId="3031" xr:uid="{AD441EE4-BA20-4D83-BA27-B35E5B6D32C3}"/>
    <cellStyle name="Porcentaje 2 2 3 8" xfId="3032" xr:uid="{E19ACBF2-396E-4CC1-9622-F83E308142C5}"/>
    <cellStyle name="Porcentaje 2 2 4" xfId="3033" xr:uid="{623B8805-7B4E-4612-9EE9-6FC513E5DC2C}"/>
    <cellStyle name="Porcentaje 2 2 4 2" xfId="3034" xr:uid="{154B8BCB-0835-4338-8335-80223984F6C3}"/>
    <cellStyle name="Porcentaje 2 2 4 3" xfId="3035" xr:uid="{5AA76B82-7EC2-4D8E-BFF9-891869B681D7}"/>
    <cellStyle name="Porcentaje 2 2 4 3 2" xfId="3036" xr:uid="{4679CACE-D0E2-4041-9EEA-532CB44D6C1B}"/>
    <cellStyle name="Porcentaje 2 2 4 4" xfId="3037" xr:uid="{A4586052-E2BE-4845-A55F-7D54480A9429}"/>
    <cellStyle name="Porcentaje 2 2 4 4 2" xfId="3038" xr:uid="{FDF2CC68-D4AC-4D80-84EC-812360F6EEF2}"/>
    <cellStyle name="Porcentaje 2 2 4 4 3" xfId="3039" xr:uid="{7DA8BC34-812F-4AEA-8A29-000D98F4A883}"/>
    <cellStyle name="Porcentaje 2 2 4 5" xfId="3040" xr:uid="{47672C0D-AC49-438C-89F0-B289321D3D82}"/>
    <cellStyle name="Porcentaje 2 2 4 5 2" xfId="3041" xr:uid="{D873889A-C10C-432C-B710-E143AF04A9BB}"/>
    <cellStyle name="Porcentaje 2 2 4 5 3" xfId="3042" xr:uid="{56371A32-163B-43C5-9BBB-A96310CCB109}"/>
    <cellStyle name="Porcentaje 2 2 4 6" xfId="3043" xr:uid="{C389723A-1B49-4F4C-BC69-F1D07F7D7F5A}"/>
    <cellStyle name="Porcentaje 2 2 5" xfId="3044" xr:uid="{40AE857C-0CEB-4C37-9F07-D3B055BF42FC}"/>
    <cellStyle name="Porcentaje 2 2 6" xfId="3045" xr:uid="{A2D7B057-E1E2-4407-B602-C3B604506988}"/>
    <cellStyle name="Porcentaje 2 2 7" xfId="3046" xr:uid="{BCAD6E03-7682-494D-8D4E-5C57C1A8637A}"/>
    <cellStyle name="Porcentaje 2 2 8" xfId="3047" xr:uid="{06DF3919-C5E0-4AC3-950F-9A366F1F895D}"/>
    <cellStyle name="Porcentaje 2 2 9" xfId="3048" xr:uid="{BF2462F9-BB5C-42A3-AF35-485A37FFCC59}"/>
    <cellStyle name="Porcentaje 2 3" xfId="3049" xr:uid="{AF0417A5-3E36-4337-8297-C1C05A04EC48}"/>
    <cellStyle name="Porcentaje 2 3 2" xfId="3050" xr:uid="{712676CC-9C72-43A0-950F-2095CC125526}"/>
    <cellStyle name="Porcentaje 2 3 2 2" xfId="3051" xr:uid="{D3820052-AA86-4E27-A6F3-D056C25F7F3D}"/>
    <cellStyle name="Porcentaje 2 3 2 3" xfId="3052" xr:uid="{C3BBB9E4-88C1-4A9F-AD04-DE7981573A43}"/>
    <cellStyle name="Porcentaje 2 3 2 3 2" xfId="3053" xr:uid="{435EB6A2-498B-4F8B-AF9C-3F1FF2A20F9B}"/>
    <cellStyle name="Porcentaje 2 3 2 4" xfId="3054" xr:uid="{25D38A31-FCA8-4371-A67D-29001836FFBE}"/>
    <cellStyle name="Porcentaje 2 3 2 4 2" xfId="3055" xr:uid="{3B37FAB3-0AFA-4404-962B-8AB7E209AE2A}"/>
    <cellStyle name="Porcentaje 2 3 2 4 3" xfId="3056" xr:uid="{9F2975A8-A492-4AF8-9DA9-C856E50670B9}"/>
    <cellStyle name="Porcentaje 2 3 2 5" xfId="3057" xr:uid="{FBA8BE44-D1B5-496B-904A-04EEC907B607}"/>
    <cellStyle name="Porcentaje 2 3 2 5 2" xfId="3058" xr:uid="{69358067-F930-4271-AD24-98FE3A171A2D}"/>
    <cellStyle name="Porcentaje 2 3 2 5 3" xfId="3059" xr:uid="{01C921D7-DC97-4362-8455-73A91FCE1831}"/>
    <cellStyle name="Porcentaje 2 3 2 6" xfId="3060" xr:uid="{60F8AEDD-0454-432A-9E10-D41FF0B9DC3C}"/>
    <cellStyle name="Porcentaje 2 3 2 7" xfId="3061" xr:uid="{24237A43-4741-4908-876B-2C2D14A31CE6}"/>
    <cellStyle name="Porcentaje 2 3 2 8" xfId="3062" xr:uid="{B1B75C52-0D31-466B-B928-CD2F3EFF1A61}"/>
    <cellStyle name="Porcentaje 2 3 3" xfId="3063" xr:uid="{91DB56E2-2500-4FAB-8F70-E4B7E8EE5D31}"/>
    <cellStyle name="Porcentaje 2 3 4" xfId="3064" xr:uid="{2E24D9C3-1F6C-4FF9-96B3-C1B01070BA36}"/>
    <cellStyle name="Porcentaje 2 3 4 2" xfId="3065" xr:uid="{60C85BAC-50B5-40A4-9C22-01CC8AA06F1B}"/>
    <cellStyle name="Porcentaje 2 3 5" xfId="3066" xr:uid="{A04A515D-200A-4D88-8978-CC909884C719}"/>
    <cellStyle name="Porcentaje 2 3 5 2" xfId="3067" xr:uid="{B2DAE4CF-A0F2-460C-AF30-E4B0923E2753}"/>
    <cellStyle name="Porcentaje 2 3 5 3" xfId="3068" xr:uid="{22045447-CAC2-4033-B398-9A6B8353ED67}"/>
    <cellStyle name="Porcentaje 2 3 6" xfId="3069" xr:uid="{800F3307-5A5C-47A1-8DF2-56F25D71D98D}"/>
    <cellStyle name="Porcentaje 2 3 6 2" xfId="3070" xr:uid="{4356140B-CD9B-4605-BBFB-415FEE46D3AF}"/>
    <cellStyle name="Porcentaje 2 3 6 3" xfId="3071" xr:uid="{ECF8CDB9-E36E-4AF3-B512-741C3DCCED89}"/>
    <cellStyle name="Porcentaje 2 3 7" xfId="3072" xr:uid="{D0B7F391-BB2F-4E55-8043-4B67A8E1F79C}"/>
    <cellStyle name="Porcentaje 2 3 8" xfId="3073" xr:uid="{9FDE48AE-3283-42E9-B9BE-E3E7F3BC034E}"/>
    <cellStyle name="Porcentaje 2 3 9" xfId="3074" xr:uid="{A3EBE20A-0595-47D7-8D40-F38F3FE82FE5}"/>
    <cellStyle name="Porcentaje 2 4" xfId="3075" xr:uid="{768B30D6-1E25-4853-AD2D-9EB90E6C3D56}"/>
    <cellStyle name="Porcentaje 2 4 2" xfId="3076" xr:uid="{E6F7AABD-5BCC-4E62-BBF6-73EFE33E6A5F}"/>
    <cellStyle name="Porcentaje 2 4 2 2" xfId="3077" xr:uid="{28BC6088-C3EB-4C6A-AE3D-CDDC0D05F032}"/>
    <cellStyle name="Porcentaje 2 4 2 3" xfId="3078" xr:uid="{0740603A-60D0-45A2-B4DC-F2EAF75C9912}"/>
    <cellStyle name="Porcentaje 2 4 2 3 2" xfId="3079" xr:uid="{2C911020-6605-44C5-8AE1-BFD0573D55C3}"/>
    <cellStyle name="Porcentaje 2 4 2 4" xfId="3080" xr:uid="{0F765D3F-2B92-4A09-9AE4-E4D443472236}"/>
    <cellStyle name="Porcentaje 2 4 2 4 2" xfId="3081" xr:uid="{34A79247-CB63-4285-B98B-4D962DD8AAD3}"/>
    <cellStyle name="Porcentaje 2 4 2 4 3" xfId="3082" xr:uid="{6CCEB83A-498A-45F5-921D-4BB6D5AA3CB3}"/>
    <cellStyle name="Porcentaje 2 4 2 5" xfId="3083" xr:uid="{299DC7A5-3FD0-4113-B0FF-2E8EBA49FC39}"/>
    <cellStyle name="Porcentaje 2 4 2 5 2" xfId="3084" xr:uid="{D37622B0-6165-4110-8351-6E21FC5B986A}"/>
    <cellStyle name="Porcentaje 2 4 2 5 3" xfId="3085" xr:uid="{A3DB7F3C-0DEE-4BEF-B42C-6B458B6823CD}"/>
    <cellStyle name="Porcentaje 2 4 2 6" xfId="3086" xr:uid="{A2CDA19F-EE3C-4CDF-967A-EDED3F775772}"/>
    <cellStyle name="Porcentaje 2 4 2 7" xfId="3087" xr:uid="{456C41D0-49FC-4F43-8249-D3D2565A4EBE}"/>
    <cellStyle name="Porcentaje 2 4 2 8" xfId="3088" xr:uid="{33CC145D-81D4-4C94-8F9B-841E60BD02EF}"/>
    <cellStyle name="Porcentaje 2 4 3" xfId="3089" xr:uid="{5F62C2A2-F558-4A3B-AFDF-A8AAF0D9F026}"/>
    <cellStyle name="Porcentaje 2 4 4" xfId="3090" xr:uid="{1F242D4C-05FB-40E8-BA74-D5008A03D312}"/>
    <cellStyle name="Porcentaje 2 4 4 2" xfId="3091" xr:uid="{28E60C55-BB37-442A-8164-3952AA758276}"/>
    <cellStyle name="Porcentaje 2 4 5" xfId="3092" xr:uid="{FC808B05-4A5E-4B13-8784-21094C419DD6}"/>
    <cellStyle name="Porcentaje 2 4 5 2" xfId="3093" xr:uid="{182CA97B-B2EA-4113-A710-98B45A013EBB}"/>
    <cellStyle name="Porcentaje 2 4 5 3" xfId="3094" xr:uid="{7F19BC2C-B1B4-47DD-88A4-E5DC5D757417}"/>
    <cellStyle name="Porcentaje 2 4 6" xfId="3095" xr:uid="{E6B38667-5D9E-4CE4-B037-0A81E4918103}"/>
    <cellStyle name="Porcentaje 2 4 6 2" xfId="3096" xr:uid="{F5D3715F-186A-48A9-8767-388DFE9B20E3}"/>
    <cellStyle name="Porcentaje 2 4 6 3" xfId="3097" xr:uid="{D41439CF-1CE4-4F5E-8873-5FF1DE58C8E4}"/>
    <cellStyle name="Porcentaje 2 4 7" xfId="3098" xr:uid="{0D743ACB-EB46-4C2F-B266-04EDD0E75785}"/>
    <cellStyle name="Porcentaje 2 4 8" xfId="3099" xr:uid="{749E3EFE-3F55-4E36-B1F1-062493009FF6}"/>
    <cellStyle name="Porcentaje 2 4 9" xfId="3100" xr:uid="{5C7CA094-5662-4AFC-8580-8919F1B5AC76}"/>
    <cellStyle name="Porcentaje 2 5" xfId="3101" xr:uid="{4DCFDF8A-6DF5-4F63-89D9-D5F6FDBA81DA}"/>
    <cellStyle name="Porcentaje 2 5 2" xfId="3102" xr:uid="{84B06917-B8E2-4385-BEBA-9903E326D5BC}"/>
    <cellStyle name="Porcentaje 2 5 3" xfId="3103" xr:uid="{D17A9001-DF64-42F2-B0EC-F32657B5D6B7}"/>
    <cellStyle name="Porcentaje 2 5 3 2" xfId="3104" xr:uid="{E4AAA6E0-6918-4595-B285-E8F674CBB1C0}"/>
    <cellStyle name="Porcentaje 2 5 4" xfId="3105" xr:uid="{88E40C76-10DB-4DCE-9E20-09D3CC071B89}"/>
    <cellStyle name="Porcentaje 2 5 4 2" xfId="3106" xr:uid="{E3B3AE7C-27FA-4182-BFCB-326115AF2F7F}"/>
    <cellStyle name="Porcentaje 2 5 4 3" xfId="3107" xr:uid="{78FBB752-517E-43DA-82FA-0ACBD6D982BE}"/>
    <cellStyle name="Porcentaje 2 5 5" xfId="3108" xr:uid="{499FD22B-DF02-45DA-A1A5-21F991589185}"/>
    <cellStyle name="Porcentaje 2 5 5 2" xfId="3109" xr:uid="{41748304-FF0A-4BB0-B519-5E09228DFB9B}"/>
    <cellStyle name="Porcentaje 2 5 5 3" xfId="3110" xr:uid="{5EAE550C-FBA5-4947-8560-E38EDCE2C33B}"/>
    <cellStyle name="Porcentaje 2 5 6" xfId="3111" xr:uid="{EA82CD59-5987-4DC5-8D67-5A73C763DBAA}"/>
    <cellStyle name="Porcentaje 2 5 7" xfId="3112" xr:uid="{001B0965-6158-46F2-A03C-397F8962DDBD}"/>
    <cellStyle name="Porcentaje 2 5 8" xfId="3113" xr:uid="{4D99F24E-6A5A-40A1-ACB8-51F15C0B56C1}"/>
    <cellStyle name="Porcentaje 2 6" xfId="3114" xr:uid="{A8FB9677-8CBC-4F50-AC42-C09C55E9081B}"/>
    <cellStyle name="Porcentaje 2 6 2" xfId="3115" xr:uid="{7509E943-C96B-4FB0-9437-602D0643A0A7}"/>
    <cellStyle name="Porcentaje 2 6 3" xfId="3116" xr:uid="{D1CFD906-11DE-4C42-A077-363E49B16B2C}"/>
    <cellStyle name="Porcentaje 2 6 3 2" xfId="3117" xr:uid="{90F47423-4FA9-498F-BA1E-95B9BDFE2BD3}"/>
    <cellStyle name="Porcentaje 2 6 4" xfId="3118" xr:uid="{F5B041C6-07A9-4702-8689-25B7B8A17F4D}"/>
    <cellStyle name="Porcentaje 2 6 4 2" xfId="3119" xr:uid="{44F9CFFF-9558-46C3-AB21-6A05AFC6BEB6}"/>
    <cellStyle name="Porcentaje 2 6 4 3" xfId="3120" xr:uid="{0FDB4111-925D-4A4E-AFDD-351EDFF5BE85}"/>
    <cellStyle name="Porcentaje 2 6 5" xfId="3121" xr:uid="{0C860371-1586-46DA-AD01-29B03C02F766}"/>
    <cellStyle name="Porcentaje 2 6 5 2" xfId="3122" xr:uid="{1C4DBBCF-B72C-4042-8D9E-09D9F1A26FFF}"/>
    <cellStyle name="Porcentaje 2 6 5 3" xfId="3123" xr:uid="{C68825D0-5173-42CE-9A67-9A86446D2463}"/>
    <cellStyle name="Porcentaje 2 6 6" xfId="3124" xr:uid="{9F361497-6D4D-4930-9D96-BAF63A10B5AB}"/>
    <cellStyle name="Porcentaje 2 7" xfId="3125" xr:uid="{858A7BF4-00B9-4EE8-BB68-1CA79A26A574}"/>
    <cellStyle name="Porcentaje 2 7 2" xfId="3126" xr:uid="{B7015136-5657-4274-BBC8-4FB5D10ED818}"/>
    <cellStyle name="Porcentaje 2 7 3" xfId="3127" xr:uid="{3F0B6C49-C1E8-4E5A-B08D-C7DC2BDDB9F7}"/>
    <cellStyle name="Porcentaje 2 8" xfId="3128" xr:uid="{B01B25AB-ED4C-452F-A047-64BAC82E304A}"/>
    <cellStyle name="Porcentaje 2 9" xfId="3129" xr:uid="{4FA6E14A-5965-4373-81B8-38D416A7DF5B}"/>
    <cellStyle name="Porcentaje 3" xfId="3130" xr:uid="{C86CDE00-3599-40C4-9CDE-F68D17FB6D81}"/>
    <cellStyle name="Porcentaje 3 2" xfId="3131" xr:uid="{B7E44752-66AC-40EB-AF20-A6B9064762DA}"/>
    <cellStyle name="Porcentaje 4" xfId="3132" xr:uid="{D51A9710-62D4-4356-965D-D06DD9BF1A6F}"/>
    <cellStyle name="Porcentaje 4 2" xfId="3133" xr:uid="{9057EC8A-CB94-4FAD-A238-F26B63D8F44F}"/>
    <cellStyle name="Porcentaje 4 2 2" xfId="3134" xr:uid="{6AAB6D7A-1E5E-4050-A580-FA1E34D720B3}"/>
    <cellStyle name="Porcentaje 4 2 3" xfId="3135" xr:uid="{5195963E-359F-484C-8DC0-F4A5E85F092E}"/>
    <cellStyle name="Porcentaje 4 2 3 2" xfId="3136" xr:uid="{A92E19B9-CC4E-4AA3-A73F-08E9368945D9}"/>
    <cellStyle name="Porcentaje 4 2 4" xfId="3137" xr:uid="{F03A424F-62D4-4372-AD4A-42056404FF19}"/>
    <cellStyle name="Porcentaje 4 2 4 2" xfId="3138" xr:uid="{0E345950-BCFC-467A-B0F2-E7B6D64258B2}"/>
    <cellStyle name="Porcentaje 4 2 4 3" xfId="3139" xr:uid="{0A7CB380-F26D-470F-9888-734771FD223E}"/>
    <cellStyle name="Porcentaje 4 2 5" xfId="3140" xr:uid="{6F79B0F0-B394-4C73-9F3B-2008AE88E21B}"/>
    <cellStyle name="Porcentaje 4 2 5 2" xfId="3141" xr:uid="{D85A8518-801C-412F-A577-D4B85DF457EA}"/>
    <cellStyle name="Porcentaje 4 2 5 3" xfId="3142" xr:uid="{12AC8911-E873-4C0C-8CD3-648E459A0C66}"/>
    <cellStyle name="Porcentaje 4 2 6" xfId="3143" xr:uid="{073DD4D5-900B-42CE-AB97-B47170C29E00}"/>
    <cellStyle name="Porcentaje 4 2 7" xfId="3144" xr:uid="{E85F8A36-4345-4AF4-9CAA-E00F1CAA74A9}"/>
    <cellStyle name="Porcentaje 4 2 8" xfId="3145" xr:uid="{C65BCEA7-8DB1-4BC4-946F-8A6BCFA50928}"/>
    <cellStyle name="Porcentaje 4 3" xfId="3146" xr:uid="{7043E173-C58B-42FF-9C98-81B1F41A3FE9}"/>
    <cellStyle name="Porcentaje 4 3 2" xfId="3147" xr:uid="{963D16DF-6BFB-477E-A45A-C8601D0D4698}"/>
    <cellStyle name="Porcentaje 4 3 3" xfId="3148" xr:uid="{75E030EA-F89F-4E92-BDF9-2E1F1F84C2D8}"/>
    <cellStyle name="Porcentaje 4 3 3 2" xfId="3149" xr:uid="{0CEE9E5C-A650-4FE7-8AB2-8F422A56D325}"/>
    <cellStyle name="Porcentaje 4 3 4" xfId="3150" xr:uid="{D5BCED8B-9D8B-4DEF-AFD8-C45EB7B7A4F1}"/>
    <cellStyle name="Porcentaje 4 3 4 2" xfId="3151" xr:uid="{C37CEB37-80B7-410C-AF17-3EA4D32F262F}"/>
    <cellStyle name="Porcentaje 4 3 4 3" xfId="3152" xr:uid="{D4E4DD54-64DE-457E-96E7-B6BE8B4D9F84}"/>
    <cellStyle name="Porcentaje 4 3 5" xfId="3153" xr:uid="{2D1118BD-B87B-4107-BA72-7149E743C23B}"/>
    <cellStyle name="Porcentaje 4 3 5 2" xfId="3154" xr:uid="{C1CE8A1D-E83B-4A63-9576-B1BEC4A36DA9}"/>
    <cellStyle name="Porcentaje 4 3 5 3" xfId="3155" xr:uid="{F44945E0-BA42-43FC-95EF-F0A6E4C082A8}"/>
    <cellStyle name="Porcentaje 4 3 6" xfId="3156" xr:uid="{9E34264B-427A-4795-B4B7-2ADFB2EB6A19}"/>
    <cellStyle name="Porcentaje 4 4" xfId="3157" xr:uid="{41A4D836-0D31-4A50-A214-B71B58ED5731}"/>
    <cellStyle name="Porcentaje 4 5" xfId="3158" xr:uid="{C6FA90D2-56E0-4CAB-9B3E-F0D06CC18038}"/>
    <cellStyle name="Porcentaje 4 6" xfId="3159" xr:uid="{693C2F2D-17B9-4A4C-A9BB-5D66988390D7}"/>
    <cellStyle name="Porcentaje 4 7" xfId="3160" xr:uid="{306050A6-845C-4E96-996B-1B5CAF1B9405}"/>
    <cellStyle name="Porcentaje 4 8" xfId="3161" xr:uid="{D9562BDC-433A-42B1-8CD8-CB5850F4BACE}"/>
    <cellStyle name="Porcentaje 4 9" xfId="3162" xr:uid="{9898AB4B-9C20-4BD8-965A-DF97D8BFF60D}"/>
    <cellStyle name="Porcentaje 5" xfId="3163" xr:uid="{83F692DA-9880-4517-857B-C86DF9ACF3F4}"/>
    <cellStyle name="Porcentaje 5 2" xfId="3164" xr:uid="{F34D6B23-9F2C-4392-9782-19E79EE51DD7}"/>
    <cellStyle name="Porcentaje 5 2 2" xfId="3165" xr:uid="{6FA4CD65-B54E-4949-B970-AE9DA2612B34}"/>
    <cellStyle name="Porcentaje 5 2 3" xfId="3166" xr:uid="{B3D61E16-1B26-4E54-A956-D2D9382CF548}"/>
    <cellStyle name="Porcentaje 5 2 3 2" xfId="3167" xr:uid="{4699319C-7081-4522-9FF9-A67CD82F1E92}"/>
    <cellStyle name="Porcentaje 5 2 4" xfId="3168" xr:uid="{CB4C1E07-5643-4209-98C3-FD263F36B823}"/>
    <cellStyle name="Porcentaje 5 2 4 2" xfId="3169" xr:uid="{EBF7C38B-39CC-4EDC-952B-4403F3AB19AE}"/>
    <cellStyle name="Porcentaje 5 2 4 3" xfId="3170" xr:uid="{4A5B939D-DC1A-4A1B-A13F-83CCAF199EE1}"/>
    <cellStyle name="Porcentaje 5 2 5" xfId="3171" xr:uid="{77F47C75-A6C6-470E-9AD6-BE6DAA7334AE}"/>
    <cellStyle name="Porcentaje 5 2 5 2" xfId="3172" xr:uid="{4CE52D0C-545C-4DE6-BECB-E375EFA57D5B}"/>
    <cellStyle name="Porcentaje 5 2 5 3" xfId="3173" xr:uid="{E26C3493-9C42-4D14-AA10-2E1636EBDF9E}"/>
    <cellStyle name="Porcentaje 5 2 6" xfId="3174" xr:uid="{3C9BC25E-78FA-453C-AF97-C339E32B4817}"/>
    <cellStyle name="Porcentaje 5 2 7" xfId="3175" xr:uid="{23D832B4-ACCC-4A54-81F1-D156FB99D803}"/>
    <cellStyle name="Porcentaje 5 2 8" xfId="3176" xr:uid="{1EDD7CB8-DC28-4D86-B76B-0B77EF36AFC1}"/>
    <cellStyle name="Porcentaje 5 3" xfId="3177" xr:uid="{FD7B5523-4184-4625-9C0A-548CF5B2D62A}"/>
    <cellStyle name="Porcentaje 5 4" xfId="3178" xr:uid="{EC68D9DF-5561-47A4-A8F7-BCB6BAA5DE57}"/>
    <cellStyle name="Porcentaje 5 4 2" xfId="3179" xr:uid="{963EC3D1-2289-4BA8-98A4-64FDB4BFB4C6}"/>
    <cellStyle name="Porcentaje 5 5" xfId="3180" xr:uid="{B3A95F7E-EB2B-4DE8-82D2-081C61BD1ECA}"/>
    <cellStyle name="Porcentaje 5 5 2" xfId="3181" xr:uid="{C7D514C5-650B-4103-AAAA-5A487373EFF1}"/>
    <cellStyle name="Porcentaje 5 5 3" xfId="3182" xr:uid="{86B9B38B-0B02-4B9A-8349-60D4236871F0}"/>
    <cellStyle name="Porcentaje 5 6" xfId="3183" xr:uid="{D96231D6-216A-4F9A-ABBC-51CCC2AA4367}"/>
    <cellStyle name="Porcentaje 5 6 2" xfId="3184" xr:uid="{3D9FEE34-DCF4-4E7E-804A-38B3DD8FEFB0}"/>
    <cellStyle name="Porcentaje 5 6 3" xfId="3185" xr:uid="{8E9E7202-7E6B-41CC-95DF-7F266F2B29BB}"/>
    <cellStyle name="Porcentaje 5 7" xfId="3186" xr:uid="{C3497356-45E6-420D-A9D3-EBAB8491F7C2}"/>
    <cellStyle name="Porcentaje 5 8" xfId="3187" xr:uid="{B3FF64E5-6F92-46DD-B162-FE056A71038D}"/>
    <cellStyle name="Porcentaje 5 9" xfId="3188" xr:uid="{4CCACD91-9471-4EB0-8015-93E9D0CDCD66}"/>
    <cellStyle name="Porcentaje 6" xfId="3189" xr:uid="{8B30C989-2C53-49C3-B875-BB82D043B259}"/>
    <cellStyle name="Porcentaje 7" xfId="3190" xr:uid="{3E524BC2-68C0-4957-BDD1-28A3F8819FA2}"/>
    <cellStyle name="Porcentaje 7 2" xfId="3191" xr:uid="{A8D88A0C-A463-488E-B0F7-F1B19C9779D2}"/>
    <cellStyle name="Porcentaje 7 3" xfId="3192" xr:uid="{99529306-9609-4FDE-A6DB-13B147CBA545}"/>
    <cellStyle name="Porcentaje 8" xfId="3193" xr:uid="{376919ED-A1E4-49BF-B925-B5B762299F00}"/>
    <cellStyle name="Porcentaje 9" xfId="3194" xr:uid="{F25DF479-947D-4AE9-9046-3E6DA5D17762}"/>
    <cellStyle name="Porcentual 10" xfId="3195" xr:uid="{69EE8B45-92F5-4A82-B21F-A1EE3E7E3DF2}"/>
    <cellStyle name="Porcentual 11" xfId="3196" xr:uid="{1D19E9AF-D3CA-4D00-89DA-D6708AC48781}"/>
    <cellStyle name="Porcentual 12" xfId="3197" xr:uid="{197E1C63-0911-4D92-92B9-B5F181054CDC}"/>
    <cellStyle name="Porcentual 13" xfId="3198" xr:uid="{DCCC5FCC-EA21-44EF-AB87-491908CB8DF1}"/>
    <cellStyle name="Porcentual 14" xfId="3199" xr:uid="{B55F08C0-06D5-4E5B-9388-26B31C615DE5}"/>
    <cellStyle name="Porcentual 15" xfId="3200" xr:uid="{5C4038B2-45E8-4DE8-A0C1-3C6C673ACFD6}"/>
    <cellStyle name="Porcentual 16" xfId="3201" xr:uid="{A47A9B78-25D2-43AF-BC0A-824D5AD04FCD}"/>
    <cellStyle name="Porcentual 17" xfId="3202" xr:uid="{C1B47570-2840-442D-AD19-A49F0A7E7F44}"/>
    <cellStyle name="Porcentual 18" xfId="3203" xr:uid="{63DB7F1E-283C-413E-90C2-FD3AA9917E54}"/>
    <cellStyle name="Porcentual 19" xfId="3204" xr:uid="{577112ED-64F2-4FE8-A474-D8352FBACA7E}"/>
    <cellStyle name="Porcentual 2" xfId="3205" xr:uid="{2205A43E-DFC9-43C2-A20A-C0569EF94374}"/>
    <cellStyle name="Porcentual 2 10" xfId="3206" xr:uid="{5CF7EAD2-22DB-4C4B-995C-6723DC929571}"/>
    <cellStyle name="Porcentual 2 10 2" xfId="3207" xr:uid="{573E0248-CBE7-4B04-964E-D46981746343}"/>
    <cellStyle name="Porcentual 2 11" xfId="3208" xr:uid="{7E1D2944-97CF-493B-B38B-D4F58FD6A644}"/>
    <cellStyle name="Porcentual 2 11 2" xfId="3209" xr:uid="{733E0C3F-F237-4C9D-9834-DD02C8D37F22}"/>
    <cellStyle name="Porcentual 2 12" xfId="3210" xr:uid="{E52C9105-BAC9-42F2-B880-C2A4D0F13572}"/>
    <cellStyle name="Porcentual 2 12 2" xfId="3211" xr:uid="{A7BC2AE0-C49C-426E-A8AF-7AFB038469BE}"/>
    <cellStyle name="Porcentual 2 13" xfId="3212" xr:uid="{26B363E8-B466-4E55-84A2-78D9550ADC2A}"/>
    <cellStyle name="Porcentual 2 13 2" xfId="3213" xr:uid="{0DCD0D5A-F41C-4DF5-9458-64E346C2256F}"/>
    <cellStyle name="Porcentual 2 14" xfId="3214" xr:uid="{FB44D440-E2C4-454C-81A0-42AEA3A7C856}"/>
    <cellStyle name="Porcentual 2 14 2" xfId="3215" xr:uid="{3A1CF768-0CBC-432C-AE26-ADBBB64E396D}"/>
    <cellStyle name="Porcentual 2 15" xfId="3216" xr:uid="{ED51B338-2966-405A-AD84-E2CB234E42DF}"/>
    <cellStyle name="Porcentual 2 15 2" xfId="3217" xr:uid="{051E8E10-78D3-4E98-BEEB-854C16BF50EA}"/>
    <cellStyle name="Porcentual 2 16" xfId="3218" xr:uid="{AAC86262-C7B3-4DC7-B469-0F0E1AFE5516}"/>
    <cellStyle name="Porcentual 2 16 2" xfId="3219" xr:uid="{AB85A49B-384B-4CB0-8588-A941B91AF573}"/>
    <cellStyle name="Porcentual 2 17" xfId="3220" xr:uid="{B72E37D6-B160-4C72-AB4E-F61B1A7FE548}"/>
    <cellStyle name="Porcentual 2 17 2" xfId="3221" xr:uid="{EED7622C-E49A-413B-9EF3-8E2CF884EDE0}"/>
    <cellStyle name="Porcentual 2 18" xfId="3222" xr:uid="{96366166-12A2-4159-81F4-75220723A7DF}"/>
    <cellStyle name="Porcentual 2 18 2" xfId="3223" xr:uid="{93B4118B-A6B7-44F9-920D-388572D2D9F3}"/>
    <cellStyle name="Porcentual 2 19" xfId="3224" xr:uid="{AB39AB16-AC65-4B66-8972-6A90E3CB608E}"/>
    <cellStyle name="Porcentual 2 19 2" xfId="3225" xr:uid="{6C0D1D00-F506-497B-B0C3-5C15E3FCB538}"/>
    <cellStyle name="Porcentual 2 19 3" xfId="3226" xr:uid="{ACC5DF3E-72C3-4501-9C8B-6C03F5DF4D15}"/>
    <cellStyle name="Porcentual 2 19 3 2" xfId="3227" xr:uid="{8E58DAE5-6F8E-4AB6-A0E0-9F85A0DEFD90}"/>
    <cellStyle name="Porcentual 2 19 4" xfId="3228" xr:uid="{5ECBD095-78CB-4766-924C-FB1CE8A43404}"/>
    <cellStyle name="Porcentual 2 19 4 2" xfId="3229" xr:uid="{B216E347-D67A-47BF-A25E-0416FA01B368}"/>
    <cellStyle name="Porcentual 2 19 4 3" xfId="3230" xr:uid="{EDA4FCC4-5882-4564-B5F0-58A1109DD495}"/>
    <cellStyle name="Porcentual 2 19 5" xfId="3231" xr:uid="{016F0B18-C02F-455E-80B1-CAF333038DD7}"/>
    <cellStyle name="Porcentual 2 19 5 2" xfId="3232" xr:uid="{8F1F1BAE-88E8-4672-A6BE-969CDB9F86A0}"/>
    <cellStyle name="Porcentual 2 19 5 3" xfId="3233" xr:uid="{4399BF45-EE1C-4184-8EED-48AEAAAF4441}"/>
    <cellStyle name="Porcentual 2 19 6" xfId="3234" xr:uid="{4D0E4BA2-D8B1-4D48-ACA4-DA8A916A2B36}"/>
    <cellStyle name="Porcentual 2 19 7" xfId="3235" xr:uid="{8D8BDC26-2E5F-44A1-B15A-1A2E4511B9C5}"/>
    <cellStyle name="Porcentual 2 19 8" xfId="3236" xr:uid="{AC276CC5-F495-4332-AA98-3AFCA1C9D711}"/>
    <cellStyle name="Porcentual 2 2" xfId="3237" xr:uid="{0975AA80-4944-4DFA-8D53-2E56C339F414}"/>
    <cellStyle name="Porcentual 2 2 2" xfId="3238" xr:uid="{5A644F73-B3BF-4130-8858-A6D15DA9CE67}"/>
    <cellStyle name="Porcentual 2 2 2 2" xfId="3239" xr:uid="{0EE8B780-D455-4BAD-B9D5-3DA3D97F22C8}"/>
    <cellStyle name="Porcentual 2 2 2 3" xfId="3240" xr:uid="{BCEC6539-E22B-4776-925D-302A9DA3E38B}"/>
    <cellStyle name="Porcentual 2 2 2 3 2" xfId="3241" xr:uid="{5B4D8CBC-B7F7-4E9A-97D7-3DBF2D893AF7}"/>
    <cellStyle name="Porcentual 2 2 2 4" xfId="3242" xr:uid="{F6FB67D5-BCC0-4D8A-91B4-ADE1C1E80C66}"/>
    <cellStyle name="Porcentual 2 2 2 4 2" xfId="3243" xr:uid="{B2C1EA6B-19F1-410E-A326-328ABD546438}"/>
    <cellStyle name="Porcentual 2 2 2 4 3" xfId="3244" xr:uid="{EA6EDF02-8AB6-4EF5-92D9-D937B10A041F}"/>
    <cellStyle name="Porcentual 2 2 2 5" xfId="3245" xr:uid="{0F30E44B-9A64-4F37-BC84-DA6E788CE65A}"/>
    <cellStyle name="Porcentual 2 2 2 5 2" xfId="3246" xr:uid="{1B46ECE9-EB68-4F01-8566-8471095DBDF9}"/>
    <cellStyle name="Porcentual 2 2 2 5 3" xfId="3247" xr:uid="{A54F73F9-6EB1-451B-A9B7-B12A3AFB20AD}"/>
    <cellStyle name="Porcentual 2 2 2 6" xfId="3248" xr:uid="{33DE5514-A7F7-40B8-AAD7-A9CE7E989E89}"/>
    <cellStyle name="Porcentual 2 2 2 7" xfId="3249" xr:uid="{1EB52C5D-8014-4D9F-806B-62EE1A381C8A}"/>
    <cellStyle name="Porcentual 2 2 2 8" xfId="3250" xr:uid="{A5348E26-060E-4F92-9564-D267E1F2DD7D}"/>
    <cellStyle name="Porcentual 2 20" xfId="3251" xr:uid="{FB162B00-57EA-4C39-909F-5EEDA0772119}"/>
    <cellStyle name="Porcentual 2 21" xfId="3252" xr:uid="{E14C3A1E-437D-4BA3-88D9-32D55B5BA028}"/>
    <cellStyle name="Porcentual 2 22" xfId="3253" xr:uid="{69E035DA-AA75-438E-BD5D-95A61D384FA7}"/>
    <cellStyle name="Porcentual 2 23" xfId="3254" xr:uid="{39CF806B-0A5F-4885-9D34-23FAA0AC02D3}"/>
    <cellStyle name="Porcentual 2 24" xfId="3255" xr:uid="{60B2971D-0B36-476D-874B-6FAB9DFD1E77}"/>
    <cellStyle name="Porcentual 2 25" xfId="3256" xr:uid="{AF16A578-9F99-4C12-A3AB-15DA4A263160}"/>
    <cellStyle name="Porcentual 2 26" xfId="3257" xr:uid="{92B1A72D-8136-4DAD-BEE1-F052F80E2664}"/>
    <cellStyle name="Porcentual 2 27" xfId="3258" xr:uid="{DA381BD2-32D7-4B3A-9297-840085F745D7}"/>
    <cellStyle name="Porcentual 2 28" xfId="3259" xr:uid="{AE95CD9F-4E99-48C1-BC5C-5BAE23BC144D}"/>
    <cellStyle name="Porcentual 2 29" xfId="3260" xr:uid="{0C925FA6-F3AE-4145-B9EB-AEF0AAB6B734}"/>
    <cellStyle name="Porcentual 2 3" xfId="3261" xr:uid="{12F2C4D9-27A4-4F74-8603-610DFBC16C10}"/>
    <cellStyle name="Porcentual 2 3 2" xfId="3262" xr:uid="{C5D7C6FE-E94F-4496-953F-7A7652A965EE}"/>
    <cellStyle name="Porcentual 2 30" xfId="3263" xr:uid="{F2A1A16A-33E4-45D1-AA0D-197E5F20FF43}"/>
    <cellStyle name="Porcentual 2 31" xfId="3264" xr:uid="{5D14DEB8-133E-4086-84B9-9D2C26401CBC}"/>
    <cellStyle name="Porcentual 2 32" xfId="3265" xr:uid="{4E3E19C1-F367-4115-BA96-8CB146CE2DEF}"/>
    <cellStyle name="Porcentual 2 33" xfId="3266" xr:uid="{BC750556-0163-41FE-B9E1-F883FAC6BBEF}"/>
    <cellStyle name="Porcentual 2 34" xfId="3267" xr:uid="{029CB9A6-A8F5-46CF-A0CB-F5132AF5665B}"/>
    <cellStyle name="Porcentual 2 35" xfId="3268" xr:uid="{18EB5479-37EE-4D46-9984-0919DECAFC83}"/>
    <cellStyle name="Porcentual 2 36" xfId="3269" xr:uid="{A3825D02-E5A7-4D73-A8DA-5E80467B8B19}"/>
    <cellStyle name="Porcentual 2 37" xfId="3270" xr:uid="{3F5FF1E8-DD21-4043-B725-117D1BEBC0DE}"/>
    <cellStyle name="Porcentual 2 38" xfId="3271" xr:uid="{1FF8D3F0-AF0E-431F-B8C6-2446C36BE7C2}"/>
    <cellStyle name="Porcentual 2 39" xfId="3272" xr:uid="{61288163-0D5D-432E-8BF8-ACF4B2C07EDD}"/>
    <cellStyle name="Porcentual 2 4" xfId="3273" xr:uid="{15A1892B-76BE-4A89-B57E-F17EB2ED503F}"/>
    <cellStyle name="Porcentual 2 4 2" xfId="3274" xr:uid="{38BC3070-8463-4B0F-AEED-DD5DAF280F8F}"/>
    <cellStyle name="Porcentual 2 40" xfId="3275" xr:uid="{E87753F4-4D24-4E8E-8649-114352CBB1CF}"/>
    <cellStyle name="Porcentual 2 41" xfId="3276" xr:uid="{20C7539A-C6B6-4349-B314-9789B3819BAD}"/>
    <cellStyle name="Porcentual 2 42" xfId="3277" xr:uid="{4B1BA44B-F2A1-45CA-A06E-313A8D4B2BEE}"/>
    <cellStyle name="Porcentual 2 43" xfId="3278" xr:uid="{F22410D6-24CD-44D1-9367-8624AD775BDD}"/>
    <cellStyle name="Porcentual 2 44" xfId="3279" xr:uid="{1C5B5939-6788-4C5E-B7B6-983E31D75272}"/>
    <cellStyle name="Porcentual 2 45" xfId="3280" xr:uid="{2A0D8401-3537-4B86-B15E-FB0470A0AD75}"/>
    <cellStyle name="Porcentual 2 46" xfId="3281" xr:uid="{4F841BE3-C018-4277-837E-58A652D5D0F3}"/>
    <cellStyle name="Porcentual 2 47" xfId="3282" xr:uid="{50E4EF2E-EF2B-46E3-951A-6A32125DB467}"/>
    <cellStyle name="Porcentual 2 48" xfId="3283" xr:uid="{20A898B1-0ADF-465C-A1A9-247146F683E7}"/>
    <cellStyle name="Porcentual 2 49" xfId="3284" xr:uid="{754246AB-3CEB-42E4-8CD5-4CF8D0F4F834}"/>
    <cellStyle name="Porcentual 2 5" xfId="3285" xr:uid="{B246F863-CF60-4A8D-9161-4C7CB5469784}"/>
    <cellStyle name="Porcentual 2 5 2" xfId="3286" xr:uid="{C8EAE475-6751-4D62-92EA-4076CCECC00E}"/>
    <cellStyle name="Porcentual 2 50" xfId="3287" xr:uid="{3F269CED-DAF4-4808-8D0E-C2A3BC906602}"/>
    <cellStyle name="Porcentual 2 51" xfId="3288" xr:uid="{3ED73F37-26C3-4C6D-9832-D6E2DED5F2FF}"/>
    <cellStyle name="Porcentual 2 52" xfId="3289" xr:uid="{E9DE59F1-E3A8-4A82-B8A5-E608C1425979}"/>
    <cellStyle name="Porcentual 2 53" xfId="3290" xr:uid="{AAF7773E-62FB-4D0B-B6C9-1C959CFD1903}"/>
    <cellStyle name="Porcentual 2 54" xfId="3291" xr:uid="{123F2666-0122-4254-9F36-7FCCE39CB442}"/>
    <cellStyle name="Porcentual 2 55" xfId="3292" xr:uid="{ECFBDE17-B5E4-4CB3-960B-F6449B8C8F59}"/>
    <cellStyle name="Porcentual 2 56" xfId="3293" xr:uid="{D9F94586-F335-4CAF-907F-8EAC034ECA19}"/>
    <cellStyle name="Porcentual 2 57" xfId="3294" xr:uid="{CC2C015F-F0A5-493C-846F-03DA2D8504F2}"/>
    <cellStyle name="Porcentual 2 58" xfId="3295" xr:uid="{601C054B-12DA-42A4-80B8-0A79966770CF}"/>
    <cellStyle name="Porcentual 2 59" xfId="3296" xr:uid="{6D6273F8-DC44-4BA5-900F-9CA368C2FD67}"/>
    <cellStyle name="Porcentual 2 6" xfId="3297" xr:uid="{CA4DA47B-F2F6-4F18-B1F6-9EC4DC08322D}"/>
    <cellStyle name="Porcentual 2 6 2" xfId="3298" xr:uid="{F2D0B7E0-C0D6-47F4-A089-E903A8639AB9}"/>
    <cellStyle name="Porcentual 2 60" xfId="3299" xr:uid="{B17A37A4-AD7E-4359-95E4-F630947B5466}"/>
    <cellStyle name="Porcentual 2 61" xfId="3300" xr:uid="{ACC9D1AA-91BC-4089-9626-6478A21A2A05}"/>
    <cellStyle name="Porcentual 2 62" xfId="3301" xr:uid="{47000F76-D2D8-442C-AE52-93218C22512C}"/>
    <cellStyle name="Porcentual 2 63" xfId="3302" xr:uid="{904E760A-D849-484E-84F1-09E417447049}"/>
    <cellStyle name="Porcentual 2 64" xfId="3303" xr:uid="{8CA805DC-9C48-4748-94C3-7BB10A7C327D}"/>
    <cellStyle name="Porcentual 2 65" xfId="3304" xr:uid="{6A16D455-61B0-4EE7-9E0C-D3B4453577C4}"/>
    <cellStyle name="Porcentual 2 66" xfId="3305" xr:uid="{3ABCAD4B-6800-4308-940B-C75EE97D041F}"/>
    <cellStyle name="Porcentual 2 67" xfId="3306" xr:uid="{6153A843-7512-43BF-9FAB-FD1275F7BDFF}"/>
    <cellStyle name="Porcentual 2 7" xfId="3307" xr:uid="{64EB3124-4629-47A9-8DC0-C1A661532EBC}"/>
    <cellStyle name="Porcentual 2 7 2" xfId="3308" xr:uid="{7777B067-D7E7-4251-B81C-8885D3D8C044}"/>
    <cellStyle name="Porcentual 2 8" xfId="3309" xr:uid="{E00714FF-B0E0-41E8-BDA0-EA8CD88EE847}"/>
    <cellStyle name="Porcentual 2 8 2" xfId="3310" xr:uid="{1155F77B-FF28-424F-8D7E-526CA17E27D0}"/>
    <cellStyle name="Porcentual 2 9" xfId="3311" xr:uid="{074A015A-FAF3-47F4-9DAB-77FDA66CF2FA}"/>
    <cellStyle name="Porcentual 2 9 2" xfId="3312" xr:uid="{B4685AF9-C1E4-4A2D-B1E9-8F2961105135}"/>
    <cellStyle name="Porcentual 20" xfId="3313" xr:uid="{8B18A4F7-FAC0-4B91-B6DD-F7E4F09517E8}"/>
    <cellStyle name="Porcentual 21" xfId="3314" xr:uid="{04C40831-AFF3-436E-B884-D2FD5D509DAF}"/>
    <cellStyle name="Porcentual 22" xfId="3315" xr:uid="{C59D900F-C6C1-47EB-87AC-D546D8506616}"/>
    <cellStyle name="Porcentual 23" xfId="3316" xr:uid="{CAF6C4B9-AEBD-4B24-B02D-5AE6E6C16704}"/>
    <cellStyle name="Porcentual 24" xfId="3317" xr:uid="{5CFA294E-CF97-44D1-BF74-648771A613B8}"/>
    <cellStyle name="Porcentual 25" xfId="3318" xr:uid="{92D56E58-B0E5-4243-89FB-B0B86B2583A3}"/>
    <cellStyle name="Porcentual 26" xfId="3319" xr:uid="{CA2E357A-4A35-4E0E-B93B-0AC0F9F830AD}"/>
    <cellStyle name="Porcentual 27" xfId="3320" xr:uid="{500833E7-85C2-4547-A084-2D0DE4E4D49C}"/>
    <cellStyle name="Porcentual 28" xfId="3321" xr:uid="{AF81797A-B868-4EEF-B141-9DE18B96B277}"/>
    <cellStyle name="Porcentual 29" xfId="3322" xr:uid="{F5D383CA-8464-4B19-A391-3E031CAB7195}"/>
    <cellStyle name="Porcentual 3" xfId="3323" xr:uid="{3106F4E5-18AE-4CB3-8B56-0404431E8BB5}"/>
    <cellStyle name="Porcentual 3 10" xfId="3324" xr:uid="{C8234195-7140-42AC-8D0B-4D48B27BCEE8}"/>
    <cellStyle name="Porcentual 3 11" xfId="3325" xr:uid="{A38C4AA3-C3D8-4996-996A-A106841A00FF}"/>
    <cellStyle name="Porcentual 3 12" xfId="3326" xr:uid="{87329CAB-F988-4D41-B66A-CAFD6A8C9A14}"/>
    <cellStyle name="Porcentual 3 13" xfId="3327" xr:uid="{63E322BB-F997-4A48-BEC5-CDFB200A22F6}"/>
    <cellStyle name="Porcentual 3 14" xfId="3328" xr:uid="{BAAD37ED-82C9-462C-A2AB-622EA17F5BDD}"/>
    <cellStyle name="Porcentual 3 15" xfId="3329" xr:uid="{0A9E7825-6D15-48E7-B8CB-59CE6131FD65}"/>
    <cellStyle name="Porcentual 3 16" xfId="3330" xr:uid="{C352289A-5EAF-4068-AB2F-034C8F844297}"/>
    <cellStyle name="Porcentual 3 17" xfId="3331" xr:uid="{36CC1E98-BF73-4284-86A3-27B223997712}"/>
    <cellStyle name="Porcentual 3 18" xfId="3332" xr:uid="{887CFD8D-9F3F-41C6-8B43-3DA9E2BBBA7D}"/>
    <cellStyle name="Porcentual 3 19" xfId="3333" xr:uid="{517283CF-33AA-4EFE-861D-165EE1C03083}"/>
    <cellStyle name="Porcentual 3 2" xfId="3334" xr:uid="{05245475-D0E7-48B1-8F88-699581716A6D}"/>
    <cellStyle name="Porcentual 3 20" xfId="3335" xr:uid="{2C4D96F1-A09D-46A6-99F9-6028A7E465BB}"/>
    <cellStyle name="Porcentual 3 20 2" xfId="3336" xr:uid="{559906E9-E389-4CA1-B94C-5637702B717B}"/>
    <cellStyle name="Porcentual 3 20 2 2" xfId="3337" xr:uid="{EA94EA70-31F8-4882-901C-5DC9159E01BB}"/>
    <cellStyle name="Porcentual 3 20 2 3" xfId="3338" xr:uid="{DC76F368-2F15-41D9-BF10-5884B650ADD8}"/>
    <cellStyle name="Porcentual 3 20 2 3 2" xfId="3339" xr:uid="{88B0BD2C-6A79-498C-87C3-607C45B33028}"/>
    <cellStyle name="Porcentual 3 20 2 4" xfId="3340" xr:uid="{39A1B95B-A163-47A8-86AA-C6033EA8B917}"/>
    <cellStyle name="Porcentual 3 20 2 4 2" xfId="3341" xr:uid="{58A21DFA-5ACA-44D4-A183-F2EBD02BDA25}"/>
    <cellStyle name="Porcentual 3 20 2 4 3" xfId="3342" xr:uid="{9E526ED6-5C39-4979-865F-043E2DC9D67C}"/>
    <cellStyle name="Porcentual 3 20 2 5" xfId="3343" xr:uid="{30349803-4201-4F66-82BF-8DE22CA55D56}"/>
    <cellStyle name="Porcentual 3 20 2 5 2" xfId="3344" xr:uid="{7CB6BEC0-DF90-49B6-9259-534E2BC974BD}"/>
    <cellStyle name="Porcentual 3 20 2 5 3" xfId="3345" xr:uid="{D689A623-E1ED-4A89-A012-F1D9C1D8A2E0}"/>
    <cellStyle name="Porcentual 3 20 2 6" xfId="3346" xr:uid="{A5912F7C-5FD4-4E5B-9099-F283573B32DC}"/>
    <cellStyle name="Porcentual 3 20 2 7" xfId="3347" xr:uid="{7A3961A4-BB21-4D11-949E-D38110433DEC}"/>
    <cellStyle name="Porcentual 3 20 2 8" xfId="3348" xr:uid="{04C28524-9051-4C6E-A414-704A0BB01ECD}"/>
    <cellStyle name="Porcentual 3 20 3" xfId="3349" xr:uid="{82FF2417-7480-4E85-8ABC-46841E06A7D7}"/>
    <cellStyle name="Porcentual 3 20 4" xfId="3350" xr:uid="{209AD81A-0EED-487F-ACF0-B8B6447E273B}"/>
    <cellStyle name="Porcentual 3 20 4 2" xfId="3351" xr:uid="{06760395-0B35-4916-9B03-D8EFA4B17476}"/>
    <cellStyle name="Porcentual 3 20 5" xfId="3352" xr:uid="{977BC003-BEF2-450B-B4E2-BB82F27A22A5}"/>
    <cellStyle name="Porcentual 3 20 5 2" xfId="3353" xr:uid="{99DF85E7-AAB7-4C0A-8F38-05F581BF8263}"/>
    <cellStyle name="Porcentual 3 20 5 3" xfId="3354" xr:uid="{EC178F1D-5E2B-4D98-8CFB-8293FBDA312C}"/>
    <cellStyle name="Porcentual 3 20 6" xfId="3355" xr:uid="{EC2D8800-F80E-4549-A91E-1972EAABA65D}"/>
    <cellStyle name="Porcentual 3 20 6 2" xfId="3356" xr:uid="{970C40AE-4673-4ECA-AFF9-196A88361FB4}"/>
    <cellStyle name="Porcentual 3 20 6 3" xfId="3357" xr:uid="{EEC4F111-78E2-4D8D-B967-E4E53C513471}"/>
    <cellStyle name="Porcentual 3 20 7" xfId="3358" xr:uid="{BE3E4F31-AC7E-44F8-B6D0-D032933565CC}"/>
    <cellStyle name="Porcentual 3 20 8" xfId="3359" xr:uid="{887C7D59-C506-41AE-A789-1FEFBA07AA06}"/>
    <cellStyle name="Porcentual 3 20 9" xfId="3360" xr:uid="{C718B0C3-4FDC-4F96-AD45-5BB94870D7F7}"/>
    <cellStyle name="Porcentual 3 21" xfId="3361" xr:uid="{97AA97A4-63B4-4806-8964-E2A42640F326}"/>
    <cellStyle name="Porcentual 3 21 2" xfId="3362" xr:uid="{1783D26C-B2DA-46DF-803A-C07339E1CC20}"/>
    <cellStyle name="Porcentual 3 21 2 2" xfId="3363" xr:uid="{140D96A8-2B5B-4635-9CEF-E4A080DC9AED}"/>
    <cellStyle name="Porcentual 3 21 2 3" xfId="3364" xr:uid="{15A4CBB1-E309-4899-B309-2E49435578D3}"/>
    <cellStyle name="Porcentual 3 21 2 3 2" xfId="3365" xr:uid="{B398911F-557E-42E9-A857-677447628770}"/>
    <cellStyle name="Porcentual 3 21 2 4" xfId="3366" xr:uid="{5CA0BBC6-B726-4665-B7E0-A61E67BDD637}"/>
    <cellStyle name="Porcentual 3 21 2 4 2" xfId="3367" xr:uid="{57C0A578-9673-4B2F-B329-3091B1C77868}"/>
    <cellStyle name="Porcentual 3 21 2 4 3" xfId="3368" xr:uid="{A4105926-BA78-444F-A7F1-D321253F5121}"/>
    <cellStyle name="Porcentual 3 21 2 5" xfId="3369" xr:uid="{CD9A5C26-A803-4EDC-800F-E42476C13170}"/>
    <cellStyle name="Porcentual 3 21 2 5 2" xfId="3370" xr:uid="{3104AB9D-338E-4C5B-8EF0-5D7ED899A111}"/>
    <cellStyle name="Porcentual 3 21 2 5 3" xfId="3371" xr:uid="{801EDA20-5B15-4A65-A06B-512FAF4D9B52}"/>
    <cellStyle name="Porcentual 3 21 2 6" xfId="3372" xr:uid="{F792B5DC-7280-4A30-A23D-EC78D71344D2}"/>
    <cellStyle name="Porcentual 3 21 2 7" xfId="3373" xr:uid="{BD5307D2-87EA-452C-A9E9-5589777EFB26}"/>
    <cellStyle name="Porcentual 3 21 2 8" xfId="3374" xr:uid="{43713DFD-7F5E-4CFA-BF46-676F1D01C398}"/>
    <cellStyle name="Porcentual 3 21 3" xfId="3375" xr:uid="{E2EEAF1F-6656-471E-AAAB-1A874DD220C8}"/>
    <cellStyle name="Porcentual 3 21 4" xfId="3376" xr:uid="{606CFAB1-7446-445D-BB81-377310BA6D36}"/>
    <cellStyle name="Porcentual 3 21 4 2" xfId="3377" xr:uid="{0E9D1CC3-E2DB-4BF5-934D-782AC9CC19FD}"/>
    <cellStyle name="Porcentual 3 21 5" xfId="3378" xr:uid="{F2E982EB-EB60-440D-A0D8-9E2299459114}"/>
    <cellStyle name="Porcentual 3 21 5 2" xfId="3379" xr:uid="{D4E3D3D1-E744-45AA-A8F5-550E50C5E4A4}"/>
    <cellStyle name="Porcentual 3 21 5 3" xfId="3380" xr:uid="{124EAEFD-3F01-445F-A081-5490F0584920}"/>
    <cellStyle name="Porcentual 3 21 6" xfId="3381" xr:uid="{E166E8D3-C283-4DA5-8186-2C6BDDB527B6}"/>
    <cellStyle name="Porcentual 3 21 6 2" xfId="3382" xr:uid="{781F2E5F-4E82-4596-B2B7-E9CF04ACBBC1}"/>
    <cellStyle name="Porcentual 3 21 6 3" xfId="3383" xr:uid="{7A4ACD48-7E35-4813-9181-072B01BDC323}"/>
    <cellStyle name="Porcentual 3 21 7" xfId="3384" xr:uid="{BADD2F72-005C-4558-9812-57916F1EB7F1}"/>
    <cellStyle name="Porcentual 3 21 8" xfId="3385" xr:uid="{7618A4CF-5EC6-4670-9AC0-FF8868AEEF8E}"/>
    <cellStyle name="Porcentual 3 21 9" xfId="3386" xr:uid="{D13DB0CA-DE77-472F-8D31-B7E6A71A0B5C}"/>
    <cellStyle name="Porcentual 3 22" xfId="3387" xr:uid="{8A3A70A1-A66A-4D7D-8CB0-67BA741DEC5D}"/>
    <cellStyle name="Porcentual 3 22 2" xfId="3388" xr:uid="{12EB7152-EE6C-4222-A3CD-BFA9F3CD085C}"/>
    <cellStyle name="Porcentual 3 22 3" xfId="3389" xr:uid="{EDD9CDAC-F600-4780-BC23-6A70867307B8}"/>
    <cellStyle name="Porcentual 3 22 3 2" xfId="3390" xr:uid="{B5005E5B-0047-4C2B-BE4D-6CBC6D2066EA}"/>
    <cellStyle name="Porcentual 3 22 4" xfId="3391" xr:uid="{7D3893C0-1E1C-4400-B05D-84D68640EA4D}"/>
    <cellStyle name="Porcentual 3 22 4 2" xfId="3392" xr:uid="{9252D8BE-FF3B-407A-AFF8-1B54B4FED2E7}"/>
    <cellStyle name="Porcentual 3 22 4 3" xfId="3393" xr:uid="{E6B5E458-3434-4CA4-AB38-0465640244F2}"/>
    <cellStyle name="Porcentual 3 22 5" xfId="3394" xr:uid="{6DE34CA8-2983-4FF1-BAA2-352D2439A93C}"/>
    <cellStyle name="Porcentual 3 22 5 2" xfId="3395" xr:uid="{A377D76A-F47B-4AAA-AEFA-8BB5A89D5171}"/>
    <cellStyle name="Porcentual 3 22 5 3" xfId="3396" xr:uid="{7C247156-2532-498C-A3D9-5597E800A3C2}"/>
    <cellStyle name="Porcentual 3 22 6" xfId="3397" xr:uid="{DEB55E47-78B8-4B05-9C6D-177CE2D6F484}"/>
    <cellStyle name="Porcentual 3 22 7" xfId="3398" xr:uid="{D9F97D29-B9CA-401C-8C5C-5DB09631887B}"/>
    <cellStyle name="Porcentual 3 22 8" xfId="3399" xr:uid="{A59B854E-B81B-48EA-B500-ADE9530D554E}"/>
    <cellStyle name="Porcentual 3 23" xfId="3400" xr:uid="{616CA855-7A41-4547-A390-AF9C97CB8E8A}"/>
    <cellStyle name="Porcentual 3 23 2" xfId="3401" xr:uid="{9F01F253-860D-490C-9775-B60DC55C7236}"/>
    <cellStyle name="Porcentual 3 23 3" xfId="3402" xr:uid="{C0B4547B-D882-4E54-815B-988F3DCE9DD2}"/>
    <cellStyle name="Porcentual 3 23 3 2" xfId="3403" xr:uid="{3C40BE0E-869E-41E5-A745-2716C6DC5DAF}"/>
    <cellStyle name="Porcentual 3 23 4" xfId="3404" xr:uid="{F9677268-03A2-4251-9AAA-1D661AAA32E5}"/>
    <cellStyle name="Porcentual 3 23 4 2" xfId="3405" xr:uid="{B7F53122-B762-4CC1-AC84-95DC488F83F8}"/>
    <cellStyle name="Porcentual 3 23 4 3" xfId="3406" xr:uid="{D6165DCB-8D9F-4428-AC24-4576F3E4A1F2}"/>
    <cellStyle name="Porcentual 3 23 5" xfId="3407" xr:uid="{1B16044C-E941-44CF-A90C-CEDAA5ACE26D}"/>
    <cellStyle name="Porcentual 3 23 5 2" xfId="3408" xr:uid="{36504E6D-3FF4-4421-84A4-7A2744F4C716}"/>
    <cellStyle name="Porcentual 3 23 5 3" xfId="3409" xr:uid="{7DDC6CF9-B29F-4FD6-B6D6-03D9EC6C2B3C}"/>
    <cellStyle name="Porcentual 3 23 6" xfId="3410" xr:uid="{812A2C59-9A20-448A-9DD5-8DCAEECDFB96}"/>
    <cellStyle name="Porcentual 3 24" xfId="3411" xr:uid="{8AED2014-0D4E-4D73-A747-B45D8CD3F4D3}"/>
    <cellStyle name="Porcentual 3 25" xfId="3412" xr:uid="{0CE4EFC8-0C25-427D-8D75-0DB4BAFB9DD5}"/>
    <cellStyle name="Porcentual 3 26" xfId="3413" xr:uid="{88D19A90-FBBF-4A79-9895-01FB7678E8A1}"/>
    <cellStyle name="Porcentual 3 27" xfId="3414" xr:uid="{1D109311-3111-4617-ABD9-B5A3F3AF11A9}"/>
    <cellStyle name="Porcentual 3 28" xfId="3415" xr:uid="{EE4C80A0-1884-481F-94AA-71BCC06A9CA9}"/>
    <cellStyle name="Porcentual 3 29" xfId="3416" xr:uid="{13FE8C20-B68E-4101-9EFF-D07F15091175}"/>
    <cellStyle name="Porcentual 3 3" xfId="3417" xr:uid="{F11787AE-723B-47F4-A03B-16E449208CCC}"/>
    <cellStyle name="Porcentual 3 4" xfId="3418" xr:uid="{D3091412-022B-466D-BD33-D4A298BD725D}"/>
    <cellStyle name="Porcentual 3 5" xfId="3419" xr:uid="{141DA295-0F98-4F31-A914-641A943418FA}"/>
    <cellStyle name="Porcentual 3 6" xfId="3420" xr:uid="{E5D0B138-A1AC-4437-ACC1-AB512DA7BC0A}"/>
    <cellStyle name="Porcentual 3 7" xfId="3421" xr:uid="{3655CD45-9652-4CAD-8AE1-EE351500DB4E}"/>
    <cellStyle name="Porcentual 3 8" xfId="3422" xr:uid="{CFA0D0D6-E3B1-4D4A-9DCC-5E1FB6C25CA5}"/>
    <cellStyle name="Porcentual 3 9" xfId="3423" xr:uid="{1970E694-BD91-4336-80D1-3EBBCD688DDD}"/>
    <cellStyle name="Porcentual 30" xfId="3424" xr:uid="{8C18B108-29F4-405B-BE2D-807DCC655F00}"/>
    <cellStyle name="Porcentual 31" xfId="3425" xr:uid="{EBB75AC3-6069-4D2F-9EE1-925E64C1B285}"/>
    <cellStyle name="Porcentual 32" xfId="3426" xr:uid="{BB9D95B6-5D57-4000-9952-22F9BFA864B1}"/>
    <cellStyle name="Porcentual 33" xfId="3427" xr:uid="{D023710A-7C60-4B51-8E3F-59913DF09452}"/>
    <cellStyle name="Porcentual 34" xfId="3428" xr:uid="{A52BDCAD-99B7-458F-BDB2-10CE6656CE6E}"/>
    <cellStyle name="Porcentual 35" xfId="3429" xr:uid="{AEDF5D4D-660F-4A58-BADB-CB863204C6B2}"/>
    <cellStyle name="Porcentual 36" xfId="3430" xr:uid="{14A3B4FF-ADCA-4E42-9B7B-1DE1EF0237FB}"/>
    <cellStyle name="Porcentual 37" xfId="3431" xr:uid="{6F2FCF0F-60E0-4A50-81C6-EC7E1382D7CC}"/>
    <cellStyle name="Porcentual 38" xfId="3432" xr:uid="{D4A467C8-5D91-41AB-B360-46C2E5D5D473}"/>
    <cellStyle name="Porcentual 39" xfId="3433" xr:uid="{4E5BC5D1-9754-49B9-ACEC-F7CCDC96FD23}"/>
    <cellStyle name="Porcentual 4" xfId="3434" xr:uid="{BE4945E6-B592-4E2F-B4F6-F0DBFD930CF5}"/>
    <cellStyle name="Porcentual 4 2" xfId="3435" xr:uid="{A035DC26-577C-4AA9-8FA4-07CDC118358D}"/>
    <cellStyle name="Porcentual 4 3" xfId="3436" xr:uid="{718A46FD-5211-417D-9505-078C2D469564}"/>
    <cellStyle name="Porcentual 4 4" xfId="3437" xr:uid="{A37ADB4C-C32D-4CA7-AFE2-C0887E34D5FE}"/>
    <cellStyle name="Porcentual 40" xfId="3438" xr:uid="{373949E5-7B2D-4B53-B4E5-6B3944E4FB2A}"/>
    <cellStyle name="Porcentual 41" xfId="3439" xr:uid="{FB43576E-64FA-4B1E-9E22-5FEE2ACB89DA}"/>
    <cellStyle name="Porcentual 42" xfId="3440" xr:uid="{F2C2982B-A343-43F0-BAAF-763AF56F39F4}"/>
    <cellStyle name="Porcentual 43" xfId="3441" xr:uid="{518C8344-AC47-47B0-AEB8-685C3E67AF72}"/>
    <cellStyle name="Porcentual 44" xfId="3442" xr:uid="{033C9862-436F-4FCC-A425-7F5A00728B4E}"/>
    <cellStyle name="Porcentual 45" xfId="3443" xr:uid="{3685E288-E4A1-4612-9A20-33372A66EF5D}"/>
    <cellStyle name="Porcentual 46" xfId="3444" xr:uid="{DA378C9F-FD62-44D8-85DE-216487EAD041}"/>
    <cellStyle name="Porcentual 47" xfId="3445" xr:uid="{D4CA3281-CAFB-4803-937C-7304F1B77004}"/>
    <cellStyle name="Porcentual 48" xfId="3446" xr:uid="{115A5400-1C56-48A8-A946-CFD2BE89183D}"/>
    <cellStyle name="Porcentual 49" xfId="3447" xr:uid="{7CC5E493-2146-48DD-AF4C-603D7E109166}"/>
    <cellStyle name="Porcentual 5" xfId="3448" xr:uid="{88D311FC-5246-4DD8-8C08-454BEAD665FD}"/>
    <cellStyle name="Porcentual 5 2" xfId="3449" xr:uid="{092DC6CD-C709-407F-BCF3-BA0BC8856848}"/>
    <cellStyle name="Porcentual 5 2 2" xfId="3450" xr:uid="{396F1F83-D149-4094-BF1A-40D9AB54A76D}"/>
    <cellStyle name="Porcentual 5 2 3" xfId="3451" xr:uid="{EB88F6D7-1C17-442A-8C64-5C19074C3713}"/>
    <cellStyle name="Porcentual 5 2 3 2" xfId="3452" xr:uid="{3EDD4453-6B28-4696-B171-1735AC50C9F2}"/>
    <cellStyle name="Porcentual 5 2 4" xfId="3453" xr:uid="{6E4871E2-2727-479A-9B52-445B7D0B4BDD}"/>
    <cellStyle name="Porcentual 5 2 4 2" xfId="3454" xr:uid="{6A2F37DA-950D-4C64-BC38-4A969D599E4F}"/>
    <cellStyle name="Porcentual 5 2 4 3" xfId="3455" xr:uid="{87027279-DD10-470C-9260-BE70D232D112}"/>
    <cellStyle name="Porcentual 5 2 5" xfId="3456" xr:uid="{FF46B4E6-7114-44D5-B34A-8C79DF7522C7}"/>
    <cellStyle name="Porcentual 5 2 5 2" xfId="3457" xr:uid="{F6ECAA3E-98A1-4AF9-8319-40FE362A6449}"/>
    <cellStyle name="Porcentual 5 2 5 3" xfId="3458" xr:uid="{4E41C6F5-257D-46A2-8188-FDABF719C70D}"/>
    <cellStyle name="Porcentual 5 2 6" xfId="3459" xr:uid="{BC488AF6-EF92-4487-9837-40D12686C5B3}"/>
    <cellStyle name="Porcentual 5 2 7" xfId="3460" xr:uid="{00B8C279-F750-46A9-B183-B36E3A393618}"/>
    <cellStyle name="Porcentual 5 2 8" xfId="3461" xr:uid="{5CE65C43-BD51-4608-9132-D990158B94FD}"/>
    <cellStyle name="Porcentual 5 3" xfId="3462" xr:uid="{C13E0A4A-5592-44AE-A044-165FACD847D2}"/>
    <cellStyle name="Porcentual 5 3 2" xfId="3463" xr:uid="{F57EFB39-49A0-4180-A077-6155AE5FCB63}"/>
    <cellStyle name="Porcentual 5 3 3" xfId="3464" xr:uid="{4700DF3A-ACE7-42A1-B43B-36C7E5B825EB}"/>
    <cellStyle name="Porcentual 5 3 3 2" xfId="3465" xr:uid="{1675C945-A19D-4C7F-BDF2-CC637C739F39}"/>
    <cellStyle name="Porcentual 5 3 4" xfId="3466" xr:uid="{0B0F1CF8-D3C0-4EB2-AC4E-739E4A662198}"/>
    <cellStyle name="Porcentual 5 3 4 2" xfId="3467" xr:uid="{3D5D479D-7F11-49BD-BB1A-75393CF20DA4}"/>
    <cellStyle name="Porcentual 5 3 4 3" xfId="3468" xr:uid="{BE5083EC-AAA8-4435-BD51-FCB098BE7FD7}"/>
    <cellStyle name="Porcentual 5 3 5" xfId="3469" xr:uid="{44FCBEBA-C896-4EE4-98EC-993944941103}"/>
    <cellStyle name="Porcentual 5 3 5 2" xfId="3470" xr:uid="{BD8C6930-9B0C-4C2F-96A1-63706BBE29F8}"/>
    <cellStyle name="Porcentual 5 3 5 3" xfId="3471" xr:uid="{000A13C9-97E2-458E-94CF-A469303706A1}"/>
    <cellStyle name="Porcentual 5 3 6" xfId="3472" xr:uid="{3B2F6C1A-E513-47A2-A6B0-DBF5FAB941B9}"/>
    <cellStyle name="Porcentual 5 3 7" xfId="3473" xr:uid="{5B99EE74-2655-4E51-A337-F7017729046C}"/>
    <cellStyle name="Porcentual 5 3 8" xfId="3474" xr:uid="{3A311447-F02E-4BC3-AEFB-DF677EDD82CC}"/>
    <cellStyle name="Porcentual 5 4" xfId="3475" xr:uid="{0B6C8A0A-FE3E-45BC-BD87-CD4682818D3C}"/>
    <cellStyle name="Porcentual 50" xfId="3476" xr:uid="{54F4EE4F-5914-4F87-80AD-4A7637CC05F9}"/>
    <cellStyle name="Porcentual 51" xfId="3477" xr:uid="{ABD333F2-E629-4BEB-AE81-EDD484C07C4B}"/>
    <cellStyle name="Porcentual 52" xfId="3478" xr:uid="{CD797AAA-DF42-4406-A31C-4DEFA1AABD1F}"/>
    <cellStyle name="Porcentual 53" xfId="3479" xr:uid="{C0DFEBF2-23A1-4262-9A43-42209DDB01D7}"/>
    <cellStyle name="Porcentual 54" xfId="3480" xr:uid="{2159D91D-F511-478E-8B78-0CEE6165461A}"/>
    <cellStyle name="Porcentual 55" xfId="3481" xr:uid="{7203069C-7AFD-4A0B-87BE-0FED9D4AE756}"/>
    <cellStyle name="Porcentual 56" xfId="3482" xr:uid="{940C6897-C6D7-4EEF-966B-D8ED611FCD23}"/>
    <cellStyle name="Porcentual 57" xfId="3483" xr:uid="{E557005A-3339-4110-A381-8893D7FBACF2}"/>
    <cellStyle name="Porcentual 58" xfId="3484" xr:uid="{B3FCC855-3391-493F-B0A3-48624A2B2229}"/>
    <cellStyle name="Porcentual 59" xfId="3485" xr:uid="{D2A55EB0-3F44-4B41-AC9D-953A7E9116FE}"/>
    <cellStyle name="Porcentual 6" xfId="3486" xr:uid="{C9B0079E-7790-41A9-B180-BC7EFE867BBA}"/>
    <cellStyle name="Porcentual 6 10" xfId="3487" xr:uid="{A4F240AF-549A-44E8-BDD9-0ED80ABE7D4E}"/>
    <cellStyle name="Porcentual 6 10 2" xfId="3488" xr:uid="{9CF8CCED-F371-44EC-A517-2819177A003D}"/>
    <cellStyle name="Porcentual 6 10 3" xfId="3489" xr:uid="{A0D85E8A-8E4E-4CC0-B503-AA35DA5D0EAB}"/>
    <cellStyle name="Porcentual 6 11" xfId="3490" xr:uid="{9D0E5895-B1E2-4A9E-94DA-F4E9DE82C89E}"/>
    <cellStyle name="Porcentual 6 11 2" xfId="3491" xr:uid="{6457D74F-8330-48C5-AABE-66EB2B36580F}"/>
    <cellStyle name="Porcentual 6 11 3" xfId="3492" xr:uid="{03DFFFEC-33C2-4B44-A312-E3D781F6E5B7}"/>
    <cellStyle name="Porcentual 6 12" xfId="3493" xr:uid="{B423DA2F-D2DA-4B9A-B6A7-E1DF98F2C04C}"/>
    <cellStyle name="Porcentual 6 13" xfId="3494" xr:uid="{BF74F4EF-4263-4EF5-AB61-AB578F48CF6F}"/>
    <cellStyle name="Porcentual 6 14" xfId="3495" xr:uid="{299A6F6F-804F-44EC-A65D-42A5FE8F2D12}"/>
    <cellStyle name="Porcentual 6 2" xfId="3496" xr:uid="{D3C2A4C5-C08C-451C-AE53-C5B6E280F490}"/>
    <cellStyle name="Porcentual 6 2 10" xfId="3497" xr:uid="{0F39EFA1-5AF9-4DCC-AB16-20D77463C215}"/>
    <cellStyle name="Porcentual 6 2 11" xfId="3498" xr:uid="{7C1DA718-9873-4FC6-AEFA-114625AB8BFD}"/>
    <cellStyle name="Porcentual 6 2 12" xfId="3499" xr:uid="{A220BE09-BBEA-4447-81C0-33536E33A677}"/>
    <cellStyle name="Porcentual 6 2 2" xfId="3500" xr:uid="{61DCAB45-1FC0-4F44-91CC-0074736FD26D}"/>
    <cellStyle name="Porcentual 6 2 2 2" xfId="3501" xr:uid="{EB09EA5A-1A0E-4A0D-91CC-C41521D029A4}"/>
    <cellStyle name="Porcentual 6 2 2 2 2" xfId="3502" xr:uid="{70F70F2C-04DF-448C-B191-63F0164A45EF}"/>
    <cellStyle name="Porcentual 6 2 2 2 3" xfId="3503" xr:uid="{BD6161EC-B2AD-4CE2-B9C9-4EE21038BF4A}"/>
    <cellStyle name="Porcentual 6 2 2 2 3 2" xfId="3504" xr:uid="{B3E5D9E9-11DB-423D-8C27-DC89D8B1FBF7}"/>
    <cellStyle name="Porcentual 6 2 2 2 4" xfId="3505" xr:uid="{EF2A0E55-9B10-4A49-96B8-1D2EF38D3F00}"/>
    <cellStyle name="Porcentual 6 2 2 2 4 2" xfId="3506" xr:uid="{A2B5EDAC-F553-4C5E-83DB-E12117CA20CB}"/>
    <cellStyle name="Porcentual 6 2 2 2 4 3" xfId="3507" xr:uid="{64116E84-C6DD-45A1-B554-879307590F5D}"/>
    <cellStyle name="Porcentual 6 2 2 2 5" xfId="3508" xr:uid="{004DC9AC-69E2-40EE-A94D-148AD53AB1B2}"/>
    <cellStyle name="Porcentual 6 2 2 2 5 2" xfId="3509" xr:uid="{D749FF90-0F3C-4104-8057-84C3BCB6F398}"/>
    <cellStyle name="Porcentual 6 2 2 2 5 3" xfId="3510" xr:uid="{DA9F2C82-7C42-4D5C-91A8-443D06593CF5}"/>
    <cellStyle name="Porcentual 6 2 2 2 6" xfId="3511" xr:uid="{B3CA63F1-BB0E-4F41-8F75-3EEC876239BB}"/>
    <cellStyle name="Porcentual 6 2 2 2 7" xfId="3512" xr:uid="{C190BF54-A10A-4078-BEF9-43F501102A25}"/>
    <cellStyle name="Porcentual 6 2 2 2 8" xfId="3513" xr:uid="{C04704DD-D532-43F6-ACEF-EFB46982C908}"/>
    <cellStyle name="Porcentual 6 2 2 3" xfId="3514" xr:uid="{6F70DD1F-84DF-4F36-B5DF-7C8F3A86E180}"/>
    <cellStyle name="Porcentual 6 2 2 4" xfId="3515" xr:uid="{E6B56B2D-1651-4FB6-A211-3069A1D905D0}"/>
    <cellStyle name="Porcentual 6 2 2 4 2" xfId="3516" xr:uid="{329DDD9D-3D0A-4A3B-8FAA-18FDD129F9EF}"/>
    <cellStyle name="Porcentual 6 2 2 5" xfId="3517" xr:uid="{982D84B8-3F71-4AE3-AF56-1D4C79DE0D69}"/>
    <cellStyle name="Porcentual 6 2 2 5 2" xfId="3518" xr:uid="{D16DCA32-068F-401A-93A8-823676A99F1C}"/>
    <cellStyle name="Porcentual 6 2 2 5 3" xfId="3519" xr:uid="{77E90055-78B6-49CA-8D95-2FCA16D696E9}"/>
    <cellStyle name="Porcentual 6 2 2 6" xfId="3520" xr:uid="{013B0399-306D-4E5D-A157-4A43CE02568D}"/>
    <cellStyle name="Porcentual 6 2 2 6 2" xfId="3521" xr:uid="{3BB3E7E2-1DE0-4D71-99BD-F8AD4B8A65CC}"/>
    <cellStyle name="Porcentual 6 2 2 6 3" xfId="3522" xr:uid="{B15FD98B-E4CE-490E-A3CE-BADB6B3A12F1}"/>
    <cellStyle name="Porcentual 6 2 2 7" xfId="3523" xr:uid="{C063ABA4-1A54-43F6-A82E-C5F82C12A35C}"/>
    <cellStyle name="Porcentual 6 2 2 8" xfId="3524" xr:uid="{301CEA20-20A1-4C1D-8827-3BB9F958350F}"/>
    <cellStyle name="Porcentual 6 2 2 9" xfId="3525" xr:uid="{AF90C295-1C80-49A9-99DC-62B5D423177D}"/>
    <cellStyle name="Porcentual 6 2 3" xfId="3526" xr:uid="{5E85F6C6-21C1-4E1F-BD34-823A70D993F3}"/>
    <cellStyle name="Porcentual 6 2 3 2" xfId="3527" xr:uid="{D6CED1EE-3217-437B-A725-69390E925CD0}"/>
    <cellStyle name="Porcentual 6 2 3 2 2" xfId="3528" xr:uid="{FFB2507E-18FC-4E49-83F8-FB707ADDE141}"/>
    <cellStyle name="Porcentual 6 2 3 2 3" xfId="3529" xr:uid="{D566A0AB-33AA-42E5-A914-F542C7849344}"/>
    <cellStyle name="Porcentual 6 2 3 2 3 2" xfId="3530" xr:uid="{79E77607-2DCF-458D-84E2-5D957DA12BBA}"/>
    <cellStyle name="Porcentual 6 2 3 2 4" xfId="3531" xr:uid="{984D59CC-A815-4025-B813-19ED00C7B1BD}"/>
    <cellStyle name="Porcentual 6 2 3 2 4 2" xfId="3532" xr:uid="{824C8BB1-6461-4838-AB69-57E1CEFACBE4}"/>
    <cellStyle name="Porcentual 6 2 3 2 4 3" xfId="3533" xr:uid="{D66F4A65-7E53-410A-98E0-9E0D5A97E29B}"/>
    <cellStyle name="Porcentual 6 2 3 2 5" xfId="3534" xr:uid="{4988B0CF-85CE-404C-AB19-6E0BF91AA31E}"/>
    <cellStyle name="Porcentual 6 2 3 2 5 2" xfId="3535" xr:uid="{3A23F40B-2AD0-4578-96C8-43625ED039DE}"/>
    <cellStyle name="Porcentual 6 2 3 2 5 3" xfId="3536" xr:uid="{59790B71-49B9-4C65-909C-B0FF910324E0}"/>
    <cellStyle name="Porcentual 6 2 3 2 6" xfId="3537" xr:uid="{75B7C5CB-2D6E-4DC1-B9C3-E758FF6ACA0A}"/>
    <cellStyle name="Porcentual 6 2 3 2 7" xfId="3538" xr:uid="{190C71A7-9ACA-4EFC-92FD-DEB78F1418F5}"/>
    <cellStyle name="Porcentual 6 2 3 2 8" xfId="3539" xr:uid="{6089B7D0-955A-4AC7-8D85-11E43C2A6E3A}"/>
    <cellStyle name="Porcentual 6 2 3 3" xfId="3540" xr:uid="{692B7827-9405-4AEC-9DED-EF7ABB6D8177}"/>
    <cellStyle name="Porcentual 6 2 3 4" xfId="3541" xr:uid="{5FF4AB9E-B21A-4E2B-B648-26636895D3CD}"/>
    <cellStyle name="Porcentual 6 2 3 4 2" xfId="3542" xr:uid="{44669532-4870-4925-B6CB-4381D5012030}"/>
    <cellStyle name="Porcentual 6 2 3 5" xfId="3543" xr:uid="{A908E7C1-A547-4AB9-8D75-9FD3FA88DAA3}"/>
    <cellStyle name="Porcentual 6 2 3 5 2" xfId="3544" xr:uid="{9BE4899F-5642-4650-A431-D6985EEFCC89}"/>
    <cellStyle name="Porcentual 6 2 3 5 3" xfId="3545" xr:uid="{659B5708-F5DA-48F5-9150-1D37CEAB9086}"/>
    <cellStyle name="Porcentual 6 2 3 6" xfId="3546" xr:uid="{AD512145-15B5-4D7F-8858-DB4F683181A4}"/>
    <cellStyle name="Porcentual 6 2 3 6 2" xfId="3547" xr:uid="{92251DF3-73A0-419F-9B58-D0BBDF098119}"/>
    <cellStyle name="Porcentual 6 2 3 6 3" xfId="3548" xr:uid="{0619B3BD-BDD9-4AE1-A43B-6FCC1E72E826}"/>
    <cellStyle name="Porcentual 6 2 3 7" xfId="3549" xr:uid="{BF3B0BEC-9BC2-461A-8392-C134689E986C}"/>
    <cellStyle name="Porcentual 6 2 3 8" xfId="3550" xr:uid="{FBFAF7D9-4C6B-471F-B4EB-178C68BD15D1}"/>
    <cellStyle name="Porcentual 6 2 3 9" xfId="3551" xr:uid="{CA8C5431-7E6E-4FF9-B712-4E6421EA45CD}"/>
    <cellStyle name="Porcentual 6 2 4" xfId="3552" xr:uid="{3AE44490-3FBD-4357-B9EE-82D0AC9817CB}"/>
    <cellStyle name="Porcentual 6 2 4 2" xfId="3553" xr:uid="{8E95B99A-3476-47BD-AE46-90A7DF28062A}"/>
    <cellStyle name="Porcentual 6 2 4 3" xfId="3554" xr:uid="{9F640BA8-E619-4528-82D4-AD4CB1D60265}"/>
    <cellStyle name="Porcentual 6 2 4 3 2" xfId="3555" xr:uid="{A4E684D4-B1B4-4CEB-8DF2-F5B543B84ED2}"/>
    <cellStyle name="Porcentual 6 2 4 4" xfId="3556" xr:uid="{AF29EE24-FC2A-41F8-B305-E64B2137159D}"/>
    <cellStyle name="Porcentual 6 2 4 4 2" xfId="3557" xr:uid="{592D0C18-21B9-4922-BDCD-CEDD40484379}"/>
    <cellStyle name="Porcentual 6 2 4 4 3" xfId="3558" xr:uid="{5CE795E7-3431-4F66-9866-D0A305D5B628}"/>
    <cellStyle name="Porcentual 6 2 4 5" xfId="3559" xr:uid="{6398B74C-DC76-426A-8CB8-BED7A90E5712}"/>
    <cellStyle name="Porcentual 6 2 4 5 2" xfId="3560" xr:uid="{E5BAE64B-C105-408F-9648-674AD3403BE4}"/>
    <cellStyle name="Porcentual 6 2 4 5 3" xfId="3561" xr:uid="{5103983C-AE94-4710-AC14-4AD2ABFFE794}"/>
    <cellStyle name="Porcentual 6 2 4 6" xfId="3562" xr:uid="{258769D0-9DB4-4FEE-92C3-AD790C6D0B3E}"/>
    <cellStyle name="Porcentual 6 2 4 7" xfId="3563" xr:uid="{14EF16CE-C53B-4E7C-B8E7-23C1885E8CEB}"/>
    <cellStyle name="Porcentual 6 2 4 8" xfId="3564" xr:uid="{29C07381-477D-436E-BCDF-3B86E653D637}"/>
    <cellStyle name="Porcentual 6 2 5" xfId="3565" xr:uid="{63B8945C-1B51-4F61-9DC4-52BC860253E3}"/>
    <cellStyle name="Porcentual 6 2 5 2" xfId="3566" xr:uid="{9D784F85-5333-40B4-8989-06E46FFD4F13}"/>
    <cellStyle name="Porcentual 6 2 5 3" xfId="3567" xr:uid="{15303B3B-FE3F-426F-A875-086AFBB82C29}"/>
    <cellStyle name="Porcentual 6 2 5 3 2" xfId="3568" xr:uid="{982AC248-CC91-4A0A-A5FD-ED375500C3B5}"/>
    <cellStyle name="Porcentual 6 2 5 4" xfId="3569" xr:uid="{28027AA1-717E-4394-9426-268FF0853201}"/>
    <cellStyle name="Porcentual 6 2 5 4 2" xfId="3570" xr:uid="{1DBAF5C6-CEC8-4FF8-A604-3C09889F15DA}"/>
    <cellStyle name="Porcentual 6 2 5 4 3" xfId="3571" xr:uid="{4E3ADD4F-BD13-42AE-A95F-F9A3F604918F}"/>
    <cellStyle name="Porcentual 6 2 5 5" xfId="3572" xr:uid="{3D1E6F94-6655-41EA-A322-9A7E4910AE64}"/>
    <cellStyle name="Porcentual 6 2 5 5 2" xfId="3573" xr:uid="{283A1190-6D11-443E-9048-84808CE86458}"/>
    <cellStyle name="Porcentual 6 2 5 5 3" xfId="3574" xr:uid="{DD719A34-CDA5-4000-BB05-4749EFE51F98}"/>
    <cellStyle name="Porcentual 6 2 5 6" xfId="3575" xr:uid="{316AFA2D-3F15-4B8B-A9EA-167C195FB561}"/>
    <cellStyle name="Porcentual 6 2 5 7" xfId="3576" xr:uid="{164944BF-56E4-4284-9793-1A365F2AA8DE}"/>
    <cellStyle name="Porcentual 6 2 5 8" xfId="3577" xr:uid="{77A2A4F5-15F9-40A0-87D8-21AE978F0779}"/>
    <cellStyle name="Porcentual 6 2 6" xfId="3578" xr:uid="{27DF42ED-8E13-4ABD-BDEC-EBAAA7F12208}"/>
    <cellStyle name="Porcentual 6 2 7" xfId="3579" xr:uid="{B4BC8F18-7D3D-4511-8857-9DCFA292A905}"/>
    <cellStyle name="Porcentual 6 2 7 2" xfId="3580" xr:uid="{6B435013-2EAE-4577-9422-69BC27B8A19B}"/>
    <cellStyle name="Porcentual 6 2 8" xfId="3581" xr:uid="{1CC79502-AC0E-4CDC-A02D-D67EB5891BD3}"/>
    <cellStyle name="Porcentual 6 2 8 2" xfId="3582" xr:uid="{C7CFD245-47A5-4998-AF50-3CB3FDB6763D}"/>
    <cellStyle name="Porcentual 6 2 8 3" xfId="3583" xr:uid="{359FC287-7A16-4671-8502-24DAF8544C53}"/>
    <cellStyle name="Porcentual 6 2 9" xfId="3584" xr:uid="{72CF2347-3454-408F-BF7E-37E92E30C936}"/>
    <cellStyle name="Porcentual 6 2 9 2" xfId="3585" xr:uid="{D7DA194B-1B9B-4403-96C2-35011FE733D1}"/>
    <cellStyle name="Porcentual 6 2 9 3" xfId="3586" xr:uid="{62441CA6-4AF8-44C7-91E1-72F0559320B1}"/>
    <cellStyle name="Porcentual 6 3" xfId="3587" xr:uid="{5F2D929C-2138-4402-A0EC-295EC11C0A09}"/>
    <cellStyle name="Porcentual 6 4" xfId="3588" xr:uid="{BBD9572A-ED62-4C94-9852-A525C52069F9}"/>
    <cellStyle name="Porcentual 6 4 2" xfId="3589" xr:uid="{CF48B099-CD50-4CA6-A823-DDBEF1C5CB88}"/>
    <cellStyle name="Porcentual 6 4 2 2" xfId="3590" xr:uid="{865F9645-27B5-433B-94C5-871CA64755A8}"/>
    <cellStyle name="Porcentual 6 4 2 3" xfId="3591" xr:uid="{253B1E96-6E4A-421F-AD87-975CF51C83DE}"/>
    <cellStyle name="Porcentual 6 4 2 3 2" xfId="3592" xr:uid="{C4135B0F-E3BC-472A-9BE8-E3E2480600D3}"/>
    <cellStyle name="Porcentual 6 4 2 4" xfId="3593" xr:uid="{6AC8980E-C9D5-493D-B1A7-06C48FD2E6BA}"/>
    <cellStyle name="Porcentual 6 4 2 4 2" xfId="3594" xr:uid="{C2AE3E25-C280-436B-AA53-5CB13288B038}"/>
    <cellStyle name="Porcentual 6 4 2 4 3" xfId="3595" xr:uid="{0F5ABA9B-80CB-43FB-A2A1-9C2691AE3EA1}"/>
    <cellStyle name="Porcentual 6 4 2 5" xfId="3596" xr:uid="{6953A472-13DF-44A1-8DAA-50A18FFE39C4}"/>
    <cellStyle name="Porcentual 6 4 2 5 2" xfId="3597" xr:uid="{88B7024D-3DED-43A0-9022-95C299C58D74}"/>
    <cellStyle name="Porcentual 6 4 2 5 3" xfId="3598" xr:uid="{2004CA9D-6ED3-4989-A5C7-A2BFC5733BF7}"/>
    <cellStyle name="Porcentual 6 4 2 6" xfId="3599" xr:uid="{19F30351-A656-436B-B4B5-71983D9FC036}"/>
    <cellStyle name="Porcentual 6 4 2 7" xfId="3600" xr:uid="{6CB76B57-13AB-4812-91A9-BA2EC023E649}"/>
    <cellStyle name="Porcentual 6 4 2 8" xfId="3601" xr:uid="{BD1802D4-6855-41BA-AFBE-197B72466598}"/>
    <cellStyle name="Porcentual 6 4 3" xfId="3602" xr:uid="{C609EAE7-4DCB-4D80-AD8A-6FE347BCBDE2}"/>
    <cellStyle name="Porcentual 6 4 4" xfId="3603" xr:uid="{358DE6CD-9A8C-4FD6-8CFC-550E1B20AC01}"/>
    <cellStyle name="Porcentual 6 4 4 2" xfId="3604" xr:uid="{9463116B-7985-4160-B4BB-0DC52DC2BFB7}"/>
    <cellStyle name="Porcentual 6 4 5" xfId="3605" xr:uid="{551268D0-0A5F-4CBB-A57E-5377DC95F9CB}"/>
    <cellStyle name="Porcentual 6 4 5 2" xfId="3606" xr:uid="{1C1216DC-A784-4471-8763-F7816EA6EE86}"/>
    <cellStyle name="Porcentual 6 4 5 3" xfId="3607" xr:uid="{17004F6F-591A-421F-AEB6-A11FFE1E6394}"/>
    <cellStyle name="Porcentual 6 4 6" xfId="3608" xr:uid="{8CA94CB2-0542-4F36-81A5-3491365E8AE9}"/>
    <cellStyle name="Porcentual 6 4 6 2" xfId="3609" xr:uid="{9DAEA76B-572C-46C2-B4DE-4F22A28C8467}"/>
    <cellStyle name="Porcentual 6 4 6 3" xfId="3610" xr:uid="{391C207F-316F-4BDB-ADFC-9494C17D1F5B}"/>
    <cellStyle name="Porcentual 6 4 7" xfId="3611" xr:uid="{BEFE4B66-8E72-40DA-A8A9-716AB55AFC93}"/>
    <cellStyle name="Porcentual 6 4 8" xfId="3612" xr:uid="{434EC19B-CC84-4A23-8760-3A6E9FB34C31}"/>
    <cellStyle name="Porcentual 6 4 9" xfId="3613" xr:uid="{EBDEA4D5-072E-46F2-A74B-460DAFD4C8B4}"/>
    <cellStyle name="Porcentual 6 5" xfId="3614" xr:uid="{DC4C687B-9F19-4646-9E11-BD5DF51BA526}"/>
    <cellStyle name="Porcentual 6 5 2" xfId="3615" xr:uid="{A2973BE3-86F7-4EBC-8CBD-0A4B553D80AC}"/>
    <cellStyle name="Porcentual 6 5 2 2" xfId="3616" xr:uid="{EABDC902-F214-4143-AB23-277B8D3F93B1}"/>
    <cellStyle name="Porcentual 6 5 2 3" xfId="3617" xr:uid="{2D5388BF-1CB0-48E7-ACF3-95C2E5FE51EA}"/>
    <cellStyle name="Porcentual 6 5 2 3 2" xfId="3618" xr:uid="{4F62F5A4-B9A2-4F8A-B205-4C6A031776D4}"/>
    <cellStyle name="Porcentual 6 5 2 4" xfId="3619" xr:uid="{69148D3C-46D1-4AE9-9F85-51580FB65541}"/>
    <cellStyle name="Porcentual 6 5 2 4 2" xfId="3620" xr:uid="{3A307A6D-136B-48DA-A740-040B4EF807E3}"/>
    <cellStyle name="Porcentual 6 5 2 4 3" xfId="3621" xr:uid="{90EDDE9C-A4EA-4C99-9753-9041952886AE}"/>
    <cellStyle name="Porcentual 6 5 2 5" xfId="3622" xr:uid="{6A4D6356-5748-4E04-A55D-1FDB2E88DE5A}"/>
    <cellStyle name="Porcentual 6 5 2 5 2" xfId="3623" xr:uid="{95107425-46E4-491A-A7FB-3FDD0C47328C}"/>
    <cellStyle name="Porcentual 6 5 2 5 3" xfId="3624" xr:uid="{D4546624-1F38-4A23-951A-1898E47E795D}"/>
    <cellStyle name="Porcentual 6 5 2 6" xfId="3625" xr:uid="{018923D4-1F6E-4A31-9929-86C4CE3A277A}"/>
    <cellStyle name="Porcentual 6 5 2 7" xfId="3626" xr:uid="{A9F937C3-EA56-4752-A5D2-E1059D69A468}"/>
    <cellStyle name="Porcentual 6 5 2 8" xfId="3627" xr:uid="{A1883A01-7CCF-4DF0-89DA-B837F2EE52AB}"/>
    <cellStyle name="Porcentual 6 5 3" xfId="3628" xr:uid="{6C9740C4-F2F0-4376-B32A-05012C85E893}"/>
    <cellStyle name="Porcentual 6 5 4" xfId="3629" xr:uid="{1450C470-E612-4E6E-9546-9D699B698A37}"/>
    <cellStyle name="Porcentual 6 5 4 2" xfId="3630" xr:uid="{04179556-329B-431A-8F96-497FD22B8C99}"/>
    <cellStyle name="Porcentual 6 5 5" xfId="3631" xr:uid="{57B9F694-718D-430E-AC00-554B2D546E9A}"/>
    <cellStyle name="Porcentual 6 5 5 2" xfId="3632" xr:uid="{ECCB478F-2D24-4CA9-8915-7FE7EABC318E}"/>
    <cellStyle name="Porcentual 6 5 5 3" xfId="3633" xr:uid="{A71EA25F-E1B2-4A75-9E33-E4277EA87D0C}"/>
    <cellStyle name="Porcentual 6 5 6" xfId="3634" xr:uid="{6279D3BC-0FE9-4F0D-A016-0B72FCE0CD32}"/>
    <cellStyle name="Porcentual 6 5 6 2" xfId="3635" xr:uid="{E1A8FAF3-5975-4511-B095-E4076DCDA806}"/>
    <cellStyle name="Porcentual 6 5 6 3" xfId="3636" xr:uid="{C1D5C42E-34A6-47A1-AF29-39AAED70ED69}"/>
    <cellStyle name="Porcentual 6 5 7" xfId="3637" xr:uid="{84AA80E9-DDFD-45DB-B6A1-977EEFB5CC24}"/>
    <cellStyle name="Porcentual 6 5 8" xfId="3638" xr:uid="{0B6DCBB2-C065-4E23-836F-B2CB337EE261}"/>
    <cellStyle name="Porcentual 6 5 9" xfId="3639" xr:uid="{2E7BC2B3-8DAF-4E72-8795-D33801BED867}"/>
    <cellStyle name="Porcentual 6 6" xfId="3640" xr:uid="{9E2CE80B-D846-4CED-A493-4B5EFFDBCA8C}"/>
    <cellStyle name="Porcentual 6 6 2" xfId="3641" xr:uid="{9FB6A603-45BB-47E4-9A02-634479C62851}"/>
    <cellStyle name="Porcentual 6 6 3" xfId="3642" xr:uid="{18797BD7-5671-4C2C-A662-E2E3CA8325CF}"/>
    <cellStyle name="Porcentual 6 6 3 2" xfId="3643" xr:uid="{C804F3D6-F52C-4554-B55A-80E589A97ED4}"/>
    <cellStyle name="Porcentual 6 6 4" xfId="3644" xr:uid="{E64E554A-6850-4211-9659-4FBB205B6A41}"/>
    <cellStyle name="Porcentual 6 6 4 2" xfId="3645" xr:uid="{D17905D7-5CFB-4772-8FBA-9B62ECE90DAB}"/>
    <cellStyle name="Porcentual 6 6 4 3" xfId="3646" xr:uid="{C9A6C3F0-02D6-4F86-9068-DD58715786AD}"/>
    <cellStyle name="Porcentual 6 6 5" xfId="3647" xr:uid="{1D72F364-B07F-44D9-BF06-D3F46B4667FF}"/>
    <cellStyle name="Porcentual 6 6 5 2" xfId="3648" xr:uid="{8B286796-8DBB-43D0-8D68-C5D7FB456881}"/>
    <cellStyle name="Porcentual 6 6 5 3" xfId="3649" xr:uid="{2BC1FE0E-52FC-4922-97A6-CC75B49A0BFB}"/>
    <cellStyle name="Porcentual 6 6 6" xfId="3650" xr:uid="{C551AEC2-A769-460E-A468-5CA760A01F3F}"/>
    <cellStyle name="Porcentual 6 6 7" xfId="3651" xr:uid="{4223F603-6328-4204-A6DF-11258B329F9A}"/>
    <cellStyle name="Porcentual 6 6 8" xfId="3652" xr:uid="{5ACAE62C-DD33-4315-B86E-EB2211C062E9}"/>
    <cellStyle name="Porcentual 6 7" xfId="3653" xr:uid="{43737115-D4BF-44FD-9DF6-06C4F426D8B5}"/>
    <cellStyle name="Porcentual 6 7 2" xfId="3654" xr:uid="{1E2AAB4C-73D3-4E01-9233-4A04AA264814}"/>
    <cellStyle name="Porcentual 6 7 3" xfId="3655" xr:uid="{284BACE0-542D-4632-BF9C-AD9EFE926BAA}"/>
    <cellStyle name="Porcentual 6 7 3 2" xfId="3656" xr:uid="{A45C1C2B-9AAA-42CA-ABB5-11803C5FAF77}"/>
    <cellStyle name="Porcentual 6 7 4" xfId="3657" xr:uid="{ABEA8DF2-5B72-4960-B57F-A9378DE32956}"/>
    <cellStyle name="Porcentual 6 7 4 2" xfId="3658" xr:uid="{CD61A807-49CB-4D29-9A1D-82B971773521}"/>
    <cellStyle name="Porcentual 6 7 4 3" xfId="3659" xr:uid="{1594E969-529D-458A-8B4E-F6B90B617116}"/>
    <cellStyle name="Porcentual 6 7 5" xfId="3660" xr:uid="{DF1199BA-6824-47D0-A386-3BBEBEEFAC91}"/>
    <cellStyle name="Porcentual 6 7 5 2" xfId="3661" xr:uid="{B75F0B89-EC3E-4C95-90FB-C4A5BE3773DD}"/>
    <cellStyle name="Porcentual 6 7 5 3" xfId="3662" xr:uid="{C8AAB0EF-C412-4BBD-9171-2A443DBE1C83}"/>
    <cellStyle name="Porcentual 6 7 6" xfId="3663" xr:uid="{0E09EC88-6D74-4E79-AF1A-4C22931FA067}"/>
    <cellStyle name="Porcentual 6 7 7" xfId="3664" xr:uid="{94BA920B-FFB7-4D26-B179-BCB67260486D}"/>
    <cellStyle name="Porcentual 6 7 8" xfId="3665" xr:uid="{A82CB082-0EEB-47E4-803E-04064B9EE428}"/>
    <cellStyle name="Porcentual 6 8" xfId="3666" xr:uid="{189601C2-5D14-4C19-A999-FD3A93650A48}"/>
    <cellStyle name="Porcentual 6 9" xfId="3667" xr:uid="{78D4F266-519B-4FB3-8301-74EB991E564B}"/>
    <cellStyle name="Porcentual 6 9 2" xfId="3668" xr:uid="{6B1E219C-7F72-477D-BA2E-25E9F52E5736}"/>
    <cellStyle name="Porcentual 60" xfId="3669" xr:uid="{71419D82-904F-4173-8F3B-7631C2E525B7}"/>
    <cellStyle name="Porcentual 61" xfId="3670" xr:uid="{BC6324A6-1197-4C45-BFB7-AC0D9A80FD5A}"/>
    <cellStyle name="Porcentual 62" xfId="3671" xr:uid="{3E471165-BC2F-43F7-9C9E-69A0466B11C7}"/>
    <cellStyle name="Porcentual 63" xfId="3672" xr:uid="{0EFD35F7-F1A1-4E19-8BE2-C9286B4D47DF}"/>
    <cellStyle name="Porcentual 64" xfId="3673" xr:uid="{E28C236B-05DE-4C8A-98D1-99211C0AAB00}"/>
    <cellStyle name="Porcentual 65" xfId="3674" xr:uid="{8B1C6CE1-E95D-4F36-8928-8E7BCB30E01F}"/>
    <cellStyle name="Porcentual 66" xfId="3675" xr:uid="{FCE9D308-9BD9-4F4A-AB8F-BFDA4888B726}"/>
    <cellStyle name="Porcentual 67" xfId="3676" xr:uid="{F582FFE8-32FD-4B3D-A849-81CAFED305AF}"/>
    <cellStyle name="Porcentual 7" xfId="3677" xr:uid="{D9D986C7-4ADA-4657-89C6-83285A7936DD}"/>
    <cellStyle name="Porcentual 7 10" xfId="3678" xr:uid="{D9F9853A-21D1-4CA2-A7DA-041436CCED1D}"/>
    <cellStyle name="Porcentual 7 10 2" xfId="3679" xr:uid="{36300E30-2620-4A02-AAD7-239FE7F0518E}"/>
    <cellStyle name="Porcentual 7 10 3" xfId="3680" xr:uid="{40E0EE64-6688-4CFC-9B98-81AB17F0CAB8}"/>
    <cellStyle name="Porcentual 7 11" xfId="3681" xr:uid="{BBF91252-0FC6-4B46-995E-0A173516F5B5}"/>
    <cellStyle name="Porcentual 7 12" xfId="3682" xr:uid="{5A9901A0-3D4E-426A-A35F-5F2FD90690D7}"/>
    <cellStyle name="Porcentual 7 13" xfId="3683" xr:uid="{E1783536-BF99-44CA-825F-328B9F9F5D09}"/>
    <cellStyle name="Porcentual 7 2" xfId="3684" xr:uid="{7D9E1189-5EAD-4428-8FB6-F8B35FDF2AC8}"/>
    <cellStyle name="Porcentual 7 2 10" xfId="3685" xr:uid="{BC62372A-0C74-4B74-B4AA-8D5BDF32A6AA}"/>
    <cellStyle name="Porcentual 7 2 11" xfId="3686" xr:uid="{1B5CB74A-8941-4DB2-8F8E-D846382453A5}"/>
    <cellStyle name="Porcentual 7 2 12" xfId="3687" xr:uid="{0F7DC3C5-45B1-4C88-9022-5F774AECB6AD}"/>
    <cellStyle name="Porcentual 7 2 2" xfId="3688" xr:uid="{14631F4A-BE04-4FEF-A4D7-8CCAC140AC59}"/>
    <cellStyle name="Porcentual 7 2 2 2" xfId="3689" xr:uid="{8BC03ED9-B172-4EAD-B957-E61AF42E3DBB}"/>
    <cellStyle name="Porcentual 7 2 2 2 2" xfId="3690" xr:uid="{022F0BD3-6065-4E26-A080-D82944F079D2}"/>
    <cellStyle name="Porcentual 7 2 2 2 3" xfId="3691" xr:uid="{806E05D1-21BE-4764-B2A0-9082B49E1994}"/>
    <cellStyle name="Porcentual 7 2 2 2 3 2" xfId="3692" xr:uid="{763206A5-7346-4AE0-AD6C-51980720B7A3}"/>
    <cellStyle name="Porcentual 7 2 2 2 4" xfId="3693" xr:uid="{3D4BBF0B-A5A5-4771-A23C-47BD053BF99A}"/>
    <cellStyle name="Porcentual 7 2 2 2 4 2" xfId="3694" xr:uid="{B57AE6BE-4B3A-4B03-9323-AECDD9130183}"/>
    <cellStyle name="Porcentual 7 2 2 2 4 3" xfId="3695" xr:uid="{50A46B4C-8E38-40C6-8CB9-812883B7D8FC}"/>
    <cellStyle name="Porcentual 7 2 2 2 5" xfId="3696" xr:uid="{C6E73980-2524-4AE5-AAD8-D4F6F2B81478}"/>
    <cellStyle name="Porcentual 7 2 2 2 5 2" xfId="3697" xr:uid="{B573C75B-7520-40B4-8E6D-7470986FE976}"/>
    <cellStyle name="Porcentual 7 2 2 2 5 3" xfId="3698" xr:uid="{5DFB6150-9863-4230-95FB-B9812ECCC4D0}"/>
    <cellStyle name="Porcentual 7 2 2 2 6" xfId="3699" xr:uid="{806E4143-56C0-4439-87B1-3944B6B23F29}"/>
    <cellStyle name="Porcentual 7 2 2 2 7" xfId="3700" xr:uid="{FAC214C8-0971-45E5-AF38-817527688B37}"/>
    <cellStyle name="Porcentual 7 2 2 2 8" xfId="3701" xr:uid="{89BD9ED9-4E1A-4986-AE14-CB6037404E72}"/>
    <cellStyle name="Porcentual 7 2 2 3" xfId="3702" xr:uid="{08315D58-F636-4A3F-A8CD-31590EC92E3A}"/>
    <cellStyle name="Porcentual 7 2 2 4" xfId="3703" xr:uid="{AC87014A-8522-4957-836E-354019EBBA55}"/>
    <cellStyle name="Porcentual 7 2 2 4 2" xfId="3704" xr:uid="{C63FD298-5375-403E-B3FF-D64407BC10D8}"/>
    <cellStyle name="Porcentual 7 2 2 5" xfId="3705" xr:uid="{987CDBBF-F4F0-4F36-8080-4DEA5F8E5AA0}"/>
    <cellStyle name="Porcentual 7 2 2 5 2" xfId="3706" xr:uid="{F180240B-03F1-413C-B9F1-6680C495E60B}"/>
    <cellStyle name="Porcentual 7 2 2 5 3" xfId="3707" xr:uid="{E2A93938-37DF-4268-A898-BC12B72E6013}"/>
    <cellStyle name="Porcentual 7 2 2 6" xfId="3708" xr:uid="{7F45CA4D-F905-44B6-B31B-C01D64255473}"/>
    <cellStyle name="Porcentual 7 2 2 6 2" xfId="3709" xr:uid="{E2E5C765-402B-4B24-AAA4-15A2F272FFDD}"/>
    <cellStyle name="Porcentual 7 2 2 6 3" xfId="3710" xr:uid="{83CA6B00-D1CA-4590-B695-DBC376CE6EA0}"/>
    <cellStyle name="Porcentual 7 2 2 7" xfId="3711" xr:uid="{9FC58BE3-A295-4CAD-8D25-4EEE02C29132}"/>
    <cellStyle name="Porcentual 7 2 2 8" xfId="3712" xr:uid="{661F6564-C100-4B67-8975-CD3037F95281}"/>
    <cellStyle name="Porcentual 7 2 2 9" xfId="3713" xr:uid="{46F17286-948E-424C-8D2E-840D2AB58393}"/>
    <cellStyle name="Porcentual 7 2 3" xfId="3714" xr:uid="{523E1D31-D94C-40AD-AD67-9FE8D2C3D897}"/>
    <cellStyle name="Porcentual 7 2 3 2" xfId="3715" xr:uid="{D83AE013-0CEF-49C5-BEA1-EE556B4007CD}"/>
    <cellStyle name="Porcentual 7 2 3 2 2" xfId="3716" xr:uid="{646EBB45-F210-455B-972E-51CCBFC32552}"/>
    <cellStyle name="Porcentual 7 2 3 2 3" xfId="3717" xr:uid="{94015D0F-ED9B-4071-9694-C7CB18E51B15}"/>
    <cellStyle name="Porcentual 7 2 3 2 3 2" xfId="3718" xr:uid="{51774B40-7F8B-4420-996F-A85AD2DD66A6}"/>
    <cellStyle name="Porcentual 7 2 3 2 4" xfId="3719" xr:uid="{9370BAFE-FD80-4741-A3BE-3319C906A3C2}"/>
    <cellStyle name="Porcentual 7 2 3 2 4 2" xfId="3720" xr:uid="{3B109DDE-3BDD-4A28-A46E-85276BFC3569}"/>
    <cellStyle name="Porcentual 7 2 3 2 4 3" xfId="3721" xr:uid="{7C9F5B24-553F-4F82-9BD2-AC4E5D034C3A}"/>
    <cellStyle name="Porcentual 7 2 3 2 5" xfId="3722" xr:uid="{D6B06C27-5CB3-48FE-8C67-38A8B9E19E2C}"/>
    <cellStyle name="Porcentual 7 2 3 2 5 2" xfId="3723" xr:uid="{0397BE44-474F-4D5A-AF90-92EE78E2C4D0}"/>
    <cellStyle name="Porcentual 7 2 3 2 5 3" xfId="3724" xr:uid="{58878B91-406F-4F7A-822F-21A19A7DFD95}"/>
    <cellStyle name="Porcentual 7 2 3 2 6" xfId="3725" xr:uid="{2C803E9D-5CB7-4CC5-B7D5-BB65E8420134}"/>
    <cellStyle name="Porcentual 7 2 3 2 7" xfId="3726" xr:uid="{7F90D7FE-575F-4502-954C-1E913530FFAD}"/>
    <cellStyle name="Porcentual 7 2 3 2 8" xfId="3727" xr:uid="{261ADCB6-BC1F-4DFD-BCE0-83E814780925}"/>
    <cellStyle name="Porcentual 7 2 3 3" xfId="3728" xr:uid="{FA7BCBA4-F56B-4112-A7D0-230E87B2547C}"/>
    <cellStyle name="Porcentual 7 2 3 4" xfId="3729" xr:uid="{0B54EA53-71B9-4C7B-827D-DEA3E2988186}"/>
    <cellStyle name="Porcentual 7 2 3 4 2" xfId="3730" xr:uid="{390E7A0E-68E7-4C13-8192-512A84F01746}"/>
    <cellStyle name="Porcentual 7 2 3 5" xfId="3731" xr:uid="{ADF23BEF-7817-45B6-986F-0FD9E8DD64DB}"/>
    <cellStyle name="Porcentual 7 2 3 5 2" xfId="3732" xr:uid="{AD6E68E9-DE70-4932-8FD6-F03CEA792F41}"/>
    <cellStyle name="Porcentual 7 2 3 5 3" xfId="3733" xr:uid="{67FAA22A-906B-4AD9-B7B3-930C5565A880}"/>
    <cellStyle name="Porcentual 7 2 3 6" xfId="3734" xr:uid="{BCBF3A54-895D-424E-BDB7-4B7E744EC6A6}"/>
    <cellStyle name="Porcentual 7 2 3 6 2" xfId="3735" xr:uid="{647A2C7D-C0AD-48E9-A3FA-9E299F5C23CB}"/>
    <cellStyle name="Porcentual 7 2 3 6 3" xfId="3736" xr:uid="{75CF45CA-A70D-442E-B71D-211343902371}"/>
    <cellStyle name="Porcentual 7 2 3 7" xfId="3737" xr:uid="{7FD683D7-D3F0-49C5-8E67-293D40B9F061}"/>
    <cellStyle name="Porcentual 7 2 3 8" xfId="3738" xr:uid="{434BA840-CFD2-48A6-AC30-B5E93A547A58}"/>
    <cellStyle name="Porcentual 7 2 3 9" xfId="3739" xr:uid="{28E919F1-0E0B-47F7-A9BC-CB17EFAB4AFC}"/>
    <cellStyle name="Porcentual 7 2 4" xfId="3740" xr:uid="{22505B90-A95E-4562-AB41-E84C83D3C053}"/>
    <cellStyle name="Porcentual 7 2 4 2" xfId="3741" xr:uid="{1C6C7830-D5AC-4C74-8B06-C7A3E91B8A5C}"/>
    <cellStyle name="Porcentual 7 2 4 3" xfId="3742" xr:uid="{B86302E0-3B39-494F-97EB-3045791D4EE2}"/>
    <cellStyle name="Porcentual 7 2 4 3 2" xfId="3743" xr:uid="{9C7C607A-DB2A-4A8A-BC1E-9EC34901E8A3}"/>
    <cellStyle name="Porcentual 7 2 4 4" xfId="3744" xr:uid="{FBB296E2-2DA7-4BC8-8201-5CCAE3BC4B89}"/>
    <cellStyle name="Porcentual 7 2 4 4 2" xfId="3745" xr:uid="{315E25F9-B739-4DF1-8F80-45C925E9158D}"/>
    <cellStyle name="Porcentual 7 2 4 4 3" xfId="3746" xr:uid="{CDA5CAE0-7EAA-417C-8D20-771AC8CF68F2}"/>
    <cellStyle name="Porcentual 7 2 4 5" xfId="3747" xr:uid="{BA85488C-069D-45ED-A486-59380A7D0BFA}"/>
    <cellStyle name="Porcentual 7 2 4 5 2" xfId="3748" xr:uid="{E473A9B5-40E3-486B-AFE0-A6150273DABF}"/>
    <cellStyle name="Porcentual 7 2 4 5 3" xfId="3749" xr:uid="{078C05E0-64ED-438B-AAE4-866FBD58A498}"/>
    <cellStyle name="Porcentual 7 2 4 6" xfId="3750" xr:uid="{79C4D6B4-5D9B-441D-B3B6-6A5CF4E0DA3B}"/>
    <cellStyle name="Porcentual 7 2 4 7" xfId="3751" xr:uid="{65154C55-2F89-4217-B63E-EF75988D3924}"/>
    <cellStyle name="Porcentual 7 2 4 8" xfId="3752" xr:uid="{CC757815-1F39-48C7-80C3-5B88EDD0B914}"/>
    <cellStyle name="Porcentual 7 2 5" xfId="3753" xr:uid="{E5A7901B-8AD9-4558-BD22-640E676ED996}"/>
    <cellStyle name="Porcentual 7 2 6" xfId="3754" xr:uid="{2AC8A456-EDC9-4B26-9A3A-9B5882EE0E89}"/>
    <cellStyle name="Porcentual 7 2 7" xfId="3755" xr:uid="{D9B16224-9E45-4A82-8AF6-79825BAF8F34}"/>
    <cellStyle name="Porcentual 7 2 7 2" xfId="3756" xr:uid="{E34490FE-5AA8-444C-A952-892113BCC09D}"/>
    <cellStyle name="Porcentual 7 2 8" xfId="3757" xr:uid="{8EE611B8-9426-4A49-B2D1-BEFE71AA054B}"/>
    <cellStyle name="Porcentual 7 2 8 2" xfId="3758" xr:uid="{6BAD6FAB-7151-4FF7-8F9A-C625010EC062}"/>
    <cellStyle name="Porcentual 7 2 8 3" xfId="3759" xr:uid="{9F06F1A4-1E97-4DE8-9EB4-814255338F26}"/>
    <cellStyle name="Porcentual 7 2 9" xfId="3760" xr:uid="{C6164606-0043-4F79-A412-D636CB197217}"/>
    <cellStyle name="Porcentual 7 2 9 2" xfId="3761" xr:uid="{2D44ED44-EB24-4753-8021-8F051CECBB35}"/>
    <cellStyle name="Porcentual 7 2 9 3" xfId="3762" xr:uid="{8203701E-3227-48E4-9382-6DEA11102468}"/>
    <cellStyle name="Porcentual 7 3" xfId="3763" xr:uid="{A1E06CAD-8278-46AB-93FF-0B7C28374076}"/>
    <cellStyle name="Porcentual 7 3 2" xfId="3764" xr:uid="{8F4DA1C7-73AD-4B14-AF71-E4EA3FB14DEF}"/>
    <cellStyle name="Porcentual 7 3 2 2" xfId="3765" xr:uid="{35A6BEB5-AB38-4EAE-BB58-5A04B9109C5B}"/>
    <cellStyle name="Porcentual 7 3 2 3" xfId="3766" xr:uid="{1FCBFA25-555B-4CAB-BF7E-0965DF0CD932}"/>
    <cellStyle name="Porcentual 7 3 2 3 2" xfId="3767" xr:uid="{A7AC163C-86D6-4B59-A06C-0583C653BCFC}"/>
    <cellStyle name="Porcentual 7 3 2 4" xfId="3768" xr:uid="{8F10C152-D87C-4133-BAA4-BC0B7F5F317A}"/>
    <cellStyle name="Porcentual 7 3 2 4 2" xfId="3769" xr:uid="{4C92EA01-4566-4B89-BD91-C4838EF4652A}"/>
    <cellStyle name="Porcentual 7 3 2 4 3" xfId="3770" xr:uid="{097B07BD-D3D9-4ADA-925C-CC5EE4C48AE9}"/>
    <cellStyle name="Porcentual 7 3 2 5" xfId="3771" xr:uid="{7D88DCAE-2356-49FA-890C-9F038B02D839}"/>
    <cellStyle name="Porcentual 7 3 2 5 2" xfId="3772" xr:uid="{B61FA63B-EF35-420B-A007-D4FEDA77BE71}"/>
    <cellStyle name="Porcentual 7 3 2 5 3" xfId="3773" xr:uid="{F05B4EC1-6D3E-480A-8D7B-0DD6CD91BB03}"/>
    <cellStyle name="Porcentual 7 3 2 6" xfId="3774" xr:uid="{E27D9AF1-92AC-41EA-9BDC-31CBC5415AF1}"/>
    <cellStyle name="Porcentual 7 3 2 7" xfId="3775" xr:uid="{62026E84-DA90-4996-BC77-FB5D4017B22B}"/>
    <cellStyle name="Porcentual 7 3 2 8" xfId="3776" xr:uid="{46D16D86-37EB-4EDC-B8F8-539F3E58C9F0}"/>
    <cellStyle name="Porcentual 7 3 3" xfId="3777" xr:uid="{3DAEE3DC-782F-4314-B6BF-BBF56E7F51DC}"/>
    <cellStyle name="Porcentual 7 3 4" xfId="3778" xr:uid="{251F7B4B-ACBB-4242-9775-ABDCCF549FE5}"/>
    <cellStyle name="Porcentual 7 3 4 2" xfId="3779" xr:uid="{FAFB6819-203D-4B2A-890E-044992B3DE4A}"/>
    <cellStyle name="Porcentual 7 3 5" xfId="3780" xr:uid="{8887F555-7ADD-4C4D-BCD8-71124B7B7D63}"/>
    <cellStyle name="Porcentual 7 3 5 2" xfId="3781" xr:uid="{E4A35C6F-4E53-4B37-AFC4-671E304104D3}"/>
    <cellStyle name="Porcentual 7 3 5 3" xfId="3782" xr:uid="{9792E542-33F3-4137-BE1C-6E28F5017BB0}"/>
    <cellStyle name="Porcentual 7 3 6" xfId="3783" xr:uid="{53983804-A571-4D5F-A715-29FA6BBC5637}"/>
    <cellStyle name="Porcentual 7 3 6 2" xfId="3784" xr:uid="{8DE7280C-97A8-4CF2-8C5B-0B8B1653E665}"/>
    <cellStyle name="Porcentual 7 3 6 3" xfId="3785" xr:uid="{82A449E6-8FFC-4353-8A9D-2B16C4D63818}"/>
    <cellStyle name="Porcentual 7 3 7" xfId="3786" xr:uid="{5B6A2B57-63D5-4EA3-8224-CEE92B947CEB}"/>
    <cellStyle name="Porcentual 7 3 8" xfId="3787" xr:uid="{ABE65E1E-9DB1-47E6-8DCE-DFA851CF1516}"/>
    <cellStyle name="Porcentual 7 3 9" xfId="3788" xr:uid="{9113B30A-0DF5-458B-AFBE-67EEE9A0306F}"/>
    <cellStyle name="Porcentual 7 4" xfId="3789" xr:uid="{54839A92-122F-471E-A2EE-3D0642FC41F8}"/>
    <cellStyle name="Porcentual 7 4 2" xfId="3790" xr:uid="{86F07DD8-F5EF-402C-BF6B-25F2A0093D91}"/>
    <cellStyle name="Porcentual 7 4 2 2" xfId="3791" xr:uid="{E3AB7E44-6830-428C-9217-B4CB0EE0E114}"/>
    <cellStyle name="Porcentual 7 4 2 3" xfId="3792" xr:uid="{106C0555-47EB-495D-BC96-D604F5A2BC4F}"/>
    <cellStyle name="Porcentual 7 4 2 3 2" xfId="3793" xr:uid="{369EE511-B461-4661-B25A-40FF228275E9}"/>
    <cellStyle name="Porcentual 7 4 2 4" xfId="3794" xr:uid="{C0B504AD-4364-42DA-B49F-6F1C0BDF2E57}"/>
    <cellStyle name="Porcentual 7 4 2 4 2" xfId="3795" xr:uid="{54B7443C-9ED9-444D-8654-49AFD2B831DC}"/>
    <cellStyle name="Porcentual 7 4 2 4 3" xfId="3796" xr:uid="{ACF80EC5-42C5-416E-96DE-AEBCA10015E7}"/>
    <cellStyle name="Porcentual 7 4 2 5" xfId="3797" xr:uid="{8F00C248-0444-4D21-9661-84B9E0C5C7A9}"/>
    <cellStyle name="Porcentual 7 4 2 5 2" xfId="3798" xr:uid="{F835F03F-140E-4364-B1DB-4AF17CEDC80C}"/>
    <cellStyle name="Porcentual 7 4 2 5 3" xfId="3799" xr:uid="{6B0749BA-F01B-4330-A868-983829A79DC0}"/>
    <cellStyle name="Porcentual 7 4 2 6" xfId="3800" xr:uid="{5DE4E3D1-39C3-4C15-80B0-AB7E301E5DAF}"/>
    <cellStyle name="Porcentual 7 4 2 7" xfId="3801" xr:uid="{BEBF522F-A191-4609-810F-383202B6D8FA}"/>
    <cellStyle name="Porcentual 7 4 2 8" xfId="3802" xr:uid="{0BEAB571-C612-41DB-8D88-5A311329F31E}"/>
    <cellStyle name="Porcentual 7 4 3" xfId="3803" xr:uid="{9526D87D-6D6B-4C18-B517-8F5B5427057D}"/>
    <cellStyle name="Porcentual 7 4 4" xfId="3804" xr:uid="{C2D23084-2A52-42E0-B419-C7631AAAEE18}"/>
    <cellStyle name="Porcentual 7 4 4 2" xfId="3805" xr:uid="{44E38CD2-E3EB-4BB0-9F44-4133BE332ECD}"/>
    <cellStyle name="Porcentual 7 4 5" xfId="3806" xr:uid="{2DD30213-FD52-48B5-AB1D-D54824E3375D}"/>
    <cellStyle name="Porcentual 7 4 5 2" xfId="3807" xr:uid="{7D319FAB-DE2D-42F2-8F82-603B185EFBE8}"/>
    <cellStyle name="Porcentual 7 4 5 3" xfId="3808" xr:uid="{762154D4-AA5A-4439-B236-3140F84B9C75}"/>
    <cellStyle name="Porcentual 7 4 6" xfId="3809" xr:uid="{0745E1A2-DB0E-4840-AF8C-64736E4BBF42}"/>
    <cellStyle name="Porcentual 7 4 6 2" xfId="3810" xr:uid="{8895F4DE-D469-46D8-99B1-BB8D160C8F75}"/>
    <cellStyle name="Porcentual 7 4 6 3" xfId="3811" xr:uid="{782D8F56-1236-481B-AFB5-F0DA7371C772}"/>
    <cellStyle name="Porcentual 7 4 7" xfId="3812" xr:uid="{A17CC8AA-162B-4DAA-8F35-4A6C7CF4B8D8}"/>
    <cellStyle name="Porcentual 7 4 8" xfId="3813" xr:uid="{C37A8B1C-7183-4C38-A740-FB3DD2C7B0B9}"/>
    <cellStyle name="Porcentual 7 4 9" xfId="3814" xr:uid="{CCFC1182-10CE-47F2-A64F-3046A99356F6}"/>
    <cellStyle name="Porcentual 7 5" xfId="3815" xr:uid="{8EDA3F40-F52D-4659-8C75-F2F23B162F6A}"/>
    <cellStyle name="Porcentual 7 5 2" xfId="3816" xr:uid="{CEB9F072-192F-4FB4-BFF2-0B1F9680B4C9}"/>
    <cellStyle name="Porcentual 7 5 3" xfId="3817" xr:uid="{756749DE-BF5F-4E5C-BA86-25EC7DB51A1C}"/>
    <cellStyle name="Porcentual 7 5 3 2" xfId="3818" xr:uid="{BB8C120C-600D-411D-AC58-8AA38CC4D73B}"/>
    <cellStyle name="Porcentual 7 5 4" xfId="3819" xr:uid="{0C53AE26-BF1A-4F83-9ADC-CC0EF0AA1560}"/>
    <cellStyle name="Porcentual 7 5 4 2" xfId="3820" xr:uid="{AF950147-EF2F-4B0B-A330-42B61261BE59}"/>
    <cellStyle name="Porcentual 7 5 4 3" xfId="3821" xr:uid="{44494FD9-44D3-40B6-A467-BBFF1BCB8155}"/>
    <cellStyle name="Porcentual 7 5 5" xfId="3822" xr:uid="{1A9A163E-B1A8-4EB9-8659-823BDFE1D911}"/>
    <cellStyle name="Porcentual 7 5 5 2" xfId="3823" xr:uid="{E4CA1161-B975-43A2-8059-EDA5D833DF7A}"/>
    <cellStyle name="Porcentual 7 5 5 3" xfId="3824" xr:uid="{3E8CA5DC-1984-42AB-9D20-ECBA0298C3E7}"/>
    <cellStyle name="Porcentual 7 5 6" xfId="3825" xr:uid="{8A1360F3-374E-4847-808C-AD550D0EE9FB}"/>
    <cellStyle name="Porcentual 7 5 7" xfId="3826" xr:uid="{63906B14-F7A3-41CC-81F2-775B23B79BF1}"/>
    <cellStyle name="Porcentual 7 5 8" xfId="3827" xr:uid="{D9802E78-845B-42FE-B9D0-2EB69F588042}"/>
    <cellStyle name="Porcentual 7 6" xfId="3828" xr:uid="{BCC54F31-DDC4-4DD2-B997-63BE4777190D}"/>
    <cellStyle name="Porcentual 7 7" xfId="3829" xr:uid="{588078F0-B374-4D8C-9388-FDD3429152C8}"/>
    <cellStyle name="Porcentual 7 8" xfId="3830" xr:uid="{9392E523-423C-4F65-97E1-C8A847A0EE38}"/>
    <cellStyle name="Porcentual 7 8 2" xfId="3831" xr:uid="{10362703-A08C-4F2D-83AE-4A07CD6F2ABB}"/>
    <cellStyle name="Porcentual 7 9" xfId="3832" xr:uid="{E84D2305-29AC-4048-B509-3DD48914AC6C}"/>
    <cellStyle name="Porcentual 7 9 2" xfId="3833" xr:uid="{B2564760-FABF-4D4D-80F0-C351CDD2356B}"/>
    <cellStyle name="Porcentual 7 9 3" xfId="3834" xr:uid="{A14E3A44-4EB6-4F1B-A97B-DE8B3A185D66}"/>
    <cellStyle name="Porcentual 8" xfId="3835" xr:uid="{52162BBD-2E1C-4DB5-82DD-C08AE2B816E3}"/>
    <cellStyle name="Porcentual 8 10" xfId="3836" xr:uid="{30BB2428-EAEF-4451-8A5C-3746FDC665B6}"/>
    <cellStyle name="Porcentual 8 11" xfId="3837" xr:uid="{4F2F0C42-A29B-4856-AE7D-729CE044EF6C}"/>
    <cellStyle name="Porcentual 8 12" xfId="3838" xr:uid="{CF706FD8-1973-42E7-865A-D7239B060F35}"/>
    <cellStyle name="Porcentual 8 2" xfId="3839" xr:uid="{BFC33A3F-F181-41D2-AC39-A4AA280B7BE8}"/>
    <cellStyle name="Porcentual 8 2 10" xfId="3840" xr:uid="{1210E631-2A4C-430A-A18E-BAC0BA17B44F}"/>
    <cellStyle name="Porcentual 8 2 11" xfId="3841" xr:uid="{959D08DB-B0B0-4B7F-AFE6-F1A9194BEF3B}"/>
    <cellStyle name="Porcentual 8 2 2" xfId="3842" xr:uid="{2FDA323B-5DAE-4EF7-9586-B02011F2A663}"/>
    <cellStyle name="Porcentual 8 2 2 2" xfId="3843" xr:uid="{612FCAAF-5888-4C19-A06A-F18F010861EC}"/>
    <cellStyle name="Porcentual 8 2 2 2 2" xfId="3844" xr:uid="{9CFA4514-1799-4C5E-AF92-12451ACEEC79}"/>
    <cellStyle name="Porcentual 8 2 2 2 3" xfId="3845" xr:uid="{CDFAA978-23BA-46A7-A7C2-F3D3B780BEE5}"/>
    <cellStyle name="Porcentual 8 2 2 2 3 2" xfId="3846" xr:uid="{6245CD70-27CB-4AD3-8E2C-E67DE51B6E9B}"/>
    <cellStyle name="Porcentual 8 2 2 2 4" xfId="3847" xr:uid="{5F8DF4C8-6420-404B-84E9-19DF534E7EB8}"/>
    <cellStyle name="Porcentual 8 2 2 2 4 2" xfId="3848" xr:uid="{B49E0950-F09D-4320-842F-E80278CE40B2}"/>
    <cellStyle name="Porcentual 8 2 2 2 4 3" xfId="3849" xr:uid="{2C5B823D-6E8A-46DD-80D9-2A72B9715DC5}"/>
    <cellStyle name="Porcentual 8 2 2 2 5" xfId="3850" xr:uid="{41A1118C-5CC8-46D4-90EE-A74F5F9CC5C0}"/>
    <cellStyle name="Porcentual 8 2 2 2 5 2" xfId="3851" xr:uid="{4192973B-CBF0-465F-BC5B-E00503FBEB94}"/>
    <cellStyle name="Porcentual 8 2 2 2 5 3" xfId="3852" xr:uid="{E4878A01-2E11-40D5-9953-D8BDB54000C6}"/>
    <cellStyle name="Porcentual 8 2 2 2 6" xfId="3853" xr:uid="{B775C88E-130C-4A7A-9FF8-434D4B6DEA75}"/>
    <cellStyle name="Porcentual 8 2 2 2 7" xfId="3854" xr:uid="{0328546A-AFB4-4CA5-B18F-D2259AA3F729}"/>
    <cellStyle name="Porcentual 8 2 2 2 8" xfId="3855" xr:uid="{A75569E8-43AE-4398-8B2B-9B4ACF1E0896}"/>
    <cellStyle name="Porcentual 8 2 2 3" xfId="3856" xr:uid="{2944877F-8440-4EBA-8C15-300E9A171F65}"/>
    <cellStyle name="Porcentual 8 2 2 4" xfId="3857" xr:uid="{B4888862-81BB-4561-84D2-41E054917CA1}"/>
    <cellStyle name="Porcentual 8 2 2 4 2" xfId="3858" xr:uid="{36619CE3-7E3C-455E-B7CE-F256C63DF488}"/>
    <cellStyle name="Porcentual 8 2 2 5" xfId="3859" xr:uid="{932B37F1-E8A9-4A23-AA9C-68B66A1E6075}"/>
    <cellStyle name="Porcentual 8 2 2 5 2" xfId="3860" xr:uid="{973B9C95-91E3-408D-B403-A2FDFA3AF8E2}"/>
    <cellStyle name="Porcentual 8 2 2 5 3" xfId="3861" xr:uid="{9D70055C-B831-4394-B3B3-53244B3FC00F}"/>
    <cellStyle name="Porcentual 8 2 2 6" xfId="3862" xr:uid="{296646A1-206A-4AC0-909D-275FCD24548D}"/>
    <cellStyle name="Porcentual 8 2 2 6 2" xfId="3863" xr:uid="{53E759AF-1EE4-45F4-9D6B-552D08BC98B2}"/>
    <cellStyle name="Porcentual 8 2 2 6 3" xfId="3864" xr:uid="{5DCBAA08-42D6-42F7-BFB4-7F963D904BB7}"/>
    <cellStyle name="Porcentual 8 2 2 7" xfId="3865" xr:uid="{476FB002-199B-4281-A5B2-7EAA7ABEC666}"/>
    <cellStyle name="Porcentual 8 2 2 8" xfId="3866" xr:uid="{0008C090-BD28-4A7F-BD16-BFF71273AC08}"/>
    <cellStyle name="Porcentual 8 2 2 9" xfId="3867" xr:uid="{E6FF3CC2-E4B4-401E-A96F-7C3533850BA6}"/>
    <cellStyle name="Porcentual 8 2 3" xfId="3868" xr:uid="{C9EDCBC8-1A6E-4AD1-86E1-CED080BD79C5}"/>
    <cellStyle name="Porcentual 8 2 3 2" xfId="3869" xr:uid="{FEF7B2F1-7C19-463C-B19F-F717C5849213}"/>
    <cellStyle name="Porcentual 8 2 3 2 2" xfId="3870" xr:uid="{6B4FA544-353B-461A-A0F5-D417578C353E}"/>
    <cellStyle name="Porcentual 8 2 3 2 3" xfId="3871" xr:uid="{EE616F1A-9746-4E7A-ACC7-E7DE4EFAB385}"/>
    <cellStyle name="Porcentual 8 2 3 2 3 2" xfId="3872" xr:uid="{9C3664DF-0BA2-41AF-A3DB-91B44E5DE620}"/>
    <cellStyle name="Porcentual 8 2 3 2 4" xfId="3873" xr:uid="{6517931F-8856-4643-B315-2470C71B07DD}"/>
    <cellStyle name="Porcentual 8 2 3 2 4 2" xfId="3874" xr:uid="{CAE0B133-D8CF-41B4-A323-E9DFC4968235}"/>
    <cellStyle name="Porcentual 8 2 3 2 4 3" xfId="3875" xr:uid="{89FA2F66-F9B7-49DB-A74A-3432E6371C38}"/>
    <cellStyle name="Porcentual 8 2 3 2 5" xfId="3876" xr:uid="{F8D3D961-039F-48B4-977E-55D55F4D3F28}"/>
    <cellStyle name="Porcentual 8 2 3 2 5 2" xfId="3877" xr:uid="{46E27D2A-4DEA-4321-8A0B-CE4367A1B57D}"/>
    <cellStyle name="Porcentual 8 2 3 2 5 3" xfId="3878" xr:uid="{DED3A1A3-FB73-4496-9DD4-D51A04061D6F}"/>
    <cellStyle name="Porcentual 8 2 3 2 6" xfId="3879" xr:uid="{1CA4116E-A839-4B0D-9851-834A9178B38A}"/>
    <cellStyle name="Porcentual 8 2 3 2 7" xfId="3880" xr:uid="{7D74405D-99DB-4B85-AD19-20884C439535}"/>
    <cellStyle name="Porcentual 8 2 3 2 8" xfId="3881" xr:uid="{2379C3F8-4E19-43ED-9D04-BDC718990459}"/>
    <cellStyle name="Porcentual 8 2 3 3" xfId="3882" xr:uid="{147952DC-455E-44E7-9DDF-1042D339641F}"/>
    <cellStyle name="Porcentual 8 2 3 4" xfId="3883" xr:uid="{6819207A-A4A3-46D1-86FF-B1D198832CB9}"/>
    <cellStyle name="Porcentual 8 2 3 4 2" xfId="3884" xr:uid="{D6633879-ABBF-4FAA-BFDD-0358FE77BC40}"/>
    <cellStyle name="Porcentual 8 2 3 5" xfId="3885" xr:uid="{4D34C044-8059-431C-BA6D-91DB96DF401E}"/>
    <cellStyle name="Porcentual 8 2 3 5 2" xfId="3886" xr:uid="{25A92ACE-797B-4341-B6A9-D63E5F321727}"/>
    <cellStyle name="Porcentual 8 2 3 5 3" xfId="3887" xr:uid="{8A07FE9A-768A-44B6-83F4-E85E8F887694}"/>
    <cellStyle name="Porcentual 8 2 3 6" xfId="3888" xr:uid="{2CA9E7CB-1DFD-40FF-AA28-561933A7D113}"/>
    <cellStyle name="Porcentual 8 2 3 6 2" xfId="3889" xr:uid="{F72619BE-D008-435C-86BB-5D9993129DA1}"/>
    <cellStyle name="Porcentual 8 2 3 6 3" xfId="3890" xr:uid="{3E8F722F-F5F4-4C9E-8DBB-7097C502F005}"/>
    <cellStyle name="Porcentual 8 2 3 7" xfId="3891" xr:uid="{BA9DF724-BC53-400F-8465-4F8B1E38DDA2}"/>
    <cellStyle name="Porcentual 8 2 3 8" xfId="3892" xr:uid="{2335265E-99EB-4A25-BE33-7D92FCBF3D89}"/>
    <cellStyle name="Porcentual 8 2 3 9" xfId="3893" xr:uid="{026F27D0-CE21-42B9-B09E-05B7387ED611}"/>
    <cellStyle name="Porcentual 8 2 4" xfId="3894" xr:uid="{E7EAA5E2-9660-495B-9134-5D91F8F335E0}"/>
    <cellStyle name="Porcentual 8 2 4 2" xfId="3895" xr:uid="{B96A786F-6421-4F6A-A6AD-271BF4E8492C}"/>
    <cellStyle name="Porcentual 8 2 4 3" xfId="3896" xr:uid="{0EB2D086-24C7-419C-AF5A-02A87AAFA830}"/>
    <cellStyle name="Porcentual 8 2 4 3 2" xfId="3897" xr:uid="{396E4FC6-41A6-4D2F-93B5-366B6D0FE7F3}"/>
    <cellStyle name="Porcentual 8 2 4 4" xfId="3898" xr:uid="{2E80C1F2-FD97-425D-B051-DC6EA29BCA7F}"/>
    <cellStyle name="Porcentual 8 2 4 4 2" xfId="3899" xr:uid="{7CE7AFBC-517B-416F-BD1A-C95B04D0CFBB}"/>
    <cellStyle name="Porcentual 8 2 4 4 3" xfId="3900" xr:uid="{EB82154C-B715-4D81-84CA-B0005548199F}"/>
    <cellStyle name="Porcentual 8 2 4 5" xfId="3901" xr:uid="{0365D660-D26B-427E-8768-2BEFD3C37EC0}"/>
    <cellStyle name="Porcentual 8 2 4 5 2" xfId="3902" xr:uid="{2465B11B-44D7-4452-8032-FBD3599184B1}"/>
    <cellStyle name="Porcentual 8 2 4 5 3" xfId="3903" xr:uid="{5B456705-178D-45E5-B053-F21DC60EC625}"/>
    <cellStyle name="Porcentual 8 2 4 6" xfId="3904" xr:uid="{134EA60E-52BD-4AB7-8263-D1EF0BFCDD19}"/>
    <cellStyle name="Porcentual 8 2 4 7" xfId="3905" xr:uid="{F16FADA1-05FD-4A5E-9604-A823AEA6C0B7}"/>
    <cellStyle name="Porcentual 8 2 4 8" xfId="3906" xr:uid="{5D6B5107-922E-4073-AC97-96BCA46B4609}"/>
    <cellStyle name="Porcentual 8 2 5" xfId="3907" xr:uid="{AB534C7A-C241-433A-A2E2-2B5C584910D6}"/>
    <cellStyle name="Porcentual 8 2 6" xfId="3908" xr:uid="{726B3E55-BC7B-4A1D-8E7B-33BE0CC593F1}"/>
    <cellStyle name="Porcentual 8 2 6 2" xfId="3909" xr:uid="{76F3B2B2-7E64-4C82-9479-E49B75609011}"/>
    <cellStyle name="Porcentual 8 2 7" xfId="3910" xr:uid="{3970F7CB-2885-4F5A-8ED9-05ED85D0DE9A}"/>
    <cellStyle name="Porcentual 8 2 7 2" xfId="3911" xr:uid="{65179BE0-F535-4A66-B40F-21843305C433}"/>
    <cellStyle name="Porcentual 8 2 7 3" xfId="3912" xr:uid="{5AFEAB50-3E96-4A09-9A75-3075EBCD21A6}"/>
    <cellStyle name="Porcentual 8 2 8" xfId="3913" xr:uid="{57C77535-A5CD-4CA5-AC93-C9BE34C0B31C}"/>
    <cellStyle name="Porcentual 8 2 8 2" xfId="3914" xr:uid="{A975C8B5-BC3F-4DB6-B51E-A28C06570A60}"/>
    <cellStyle name="Porcentual 8 2 8 3" xfId="3915" xr:uid="{E1C25083-B0BE-47E4-ABEC-85EA56C77C63}"/>
    <cellStyle name="Porcentual 8 2 9" xfId="3916" xr:uid="{A5D7EA1F-0749-4680-BDCC-2B97F3F74DB4}"/>
    <cellStyle name="Porcentual 8 3" xfId="3917" xr:uid="{C4D15338-BEA7-43DD-AF66-C7F94888DAF3}"/>
    <cellStyle name="Porcentual 8 3 2" xfId="3918" xr:uid="{83331BC7-A9F2-4D27-9C33-B9B7B419C847}"/>
    <cellStyle name="Porcentual 8 3 2 2" xfId="3919" xr:uid="{62E40DBC-9FAD-4318-8D42-4B1F8B412A41}"/>
    <cellStyle name="Porcentual 8 3 2 3" xfId="3920" xr:uid="{196F0902-82B2-4205-8533-39DE38842D99}"/>
    <cellStyle name="Porcentual 8 3 2 3 2" xfId="3921" xr:uid="{A8007B14-61E1-44A7-BA57-43E522C169B3}"/>
    <cellStyle name="Porcentual 8 3 2 4" xfId="3922" xr:uid="{2BF3B177-B4C5-410B-85EA-E892C50AC240}"/>
    <cellStyle name="Porcentual 8 3 2 4 2" xfId="3923" xr:uid="{EC038C6B-62FE-47DD-8DD0-062FFE2D806E}"/>
    <cellStyle name="Porcentual 8 3 2 4 3" xfId="3924" xr:uid="{94E6E16F-D6B2-415F-8801-C0CBD7D05D44}"/>
    <cellStyle name="Porcentual 8 3 2 5" xfId="3925" xr:uid="{CFD95FDA-1045-472E-9F80-7A4356930E7A}"/>
    <cellStyle name="Porcentual 8 3 2 5 2" xfId="3926" xr:uid="{03A9B905-9921-474E-9BE8-019C6BA9E784}"/>
    <cellStyle name="Porcentual 8 3 2 5 3" xfId="3927" xr:uid="{562316D3-1B34-4F8B-8C2D-3112E4D90D2D}"/>
    <cellStyle name="Porcentual 8 3 2 6" xfId="3928" xr:uid="{2511EAB8-163A-479B-9A48-ADA912F4DB2F}"/>
    <cellStyle name="Porcentual 8 3 2 7" xfId="3929" xr:uid="{E492BC74-BF1A-40B1-9BFC-9A1EAB6557E3}"/>
    <cellStyle name="Porcentual 8 3 2 8" xfId="3930" xr:uid="{9BD5F87A-4DC2-4D87-8919-EB760E390D8C}"/>
    <cellStyle name="Porcentual 8 3 3" xfId="3931" xr:uid="{67797FEE-2E37-43B1-900A-6DFD502651F4}"/>
    <cellStyle name="Porcentual 8 3 4" xfId="3932" xr:uid="{5EA4A172-CF7A-4186-A208-87E339DC8D5C}"/>
    <cellStyle name="Porcentual 8 3 4 2" xfId="3933" xr:uid="{DA5B473A-C834-4CE1-8372-2C94856E12C4}"/>
    <cellStyle name="Porcentual 8 3 5" xfId="3934" xr:uid="{48C86017-C6E8-4C05-81F5-43105B572B33}"/>
    <cellStyle name="Porcentual 8 3 5 2" xfId="3935" xr:uid="{038B6C03-ED72-4DC4-BA51-49BEC2C86B6D}"/>
    <cellStyle name="Porcentual 8 3 5 3" xfId="3936" xr:uid="{9C6E6DA9-61CC-4674-815F-15524265EC48}"/>
    <cellStyle name="Porcentual 8 3 6" xfId="3937" xr:uid="{8AE8C3DD-D54C-4E20-9431-86E93A25D46D}"/>
    <cellStyle name="Porcentual 8 3 6 2" xfId="3938" xr:uid="{4749AF7F-D66C-4C94-9B75-370459D5D749}"/>
    <cellStyle name="Porcentual 8 3 6 3" xfId="3939" xr:uid="{0A8D2567-1D1C-4009-9E66-24BD24574C77}"/>
    <cellStyle name="Porcentual 8 3 7" xfId="3940" xr:uid="{84C39A42-4685-425B-A9F6-6359E1977E16}"/>
    <cellStyle name="Porcentual 8 3 8" xfId="3941" xr:uid="{74C39963-23D6-4B5F-9B39-49DC7D9A9062}"/>
    <cellStyle name="Porcentual 8 3 9" xfId="3942" xr:uid="{011D6FD3-E5D0-4C2E-BBBB-3C0A46486474}"/>
    <cellStyle name="Porcentual 8 4" xfId="3943" xr:uid="{2EE8EBB4-F026-489C-A0C2-7E80FD37C68D}"/>
    <cellStyle name="Porcentual 8 4 2" xfId="3944" xr:uid="{8A8CCD9E-BD00-47A3-A568-75CD2444E32C}"/>
    <cellStyle name="Porcentual 8 4 2 2" xfId="3945" xr:uid="{7B6BDA28-B7A5-486C-9B36-0945A8950B08}"/>
    <cellStyle name="Porcentual 8 4 2 3" xfId="3946" xr:uid="{EC6846F6-B2C3-43E9-9A70-7AA59F16BD5D}"/>
    <cellStyle name="Porcentual 8 4 2 3 2" xfId="3947" xr:uid="{28F6CEA5-A5FE-45EC-A1EA-485E38189E20}"/>
    <cellStyle name="Porcentual 8 4 2 4" xfId="3948" xr:uid="{BD1E47DA-C396-4957-81AC-025DB8EC39C6}"/>
    <cellStyle name="Porcentual 8 4 2 4 2" xfId="3949" xr:uid="{383F0322-C72A-435F-A0EB-D3AAEC907322}"/>
    <cellStyle name="Porcentual 8 4 2 4 3" xfId="3950" xr:uid="{5CBA1C9C-281B-4FBD-9069-DED9CB063293}"/>
    <cellStyle name="Porcentual 8 4 2 5" xfId="3951" xr:uid="{35907138-7A05-4AE4-9570-DA7AD67E0759}"/>
    <cellStyle name="Porcentual 8 4 2 5 2" xfId="3952" xr:uid="{9702ECF8-60BE-4456-84B8-43E867D15F16}"/>
    <cellStyle name="Porcentual 8 4 2 5 3" xfId="3953" xr:uid="{2F81F3B2-B6C3-4B42-8797-B24DC20FA68E}"/>
    <cellStyle name="Porcentual 8 4 2 6" xfId="3954" xr:uid="{A199AC02-1DEC-489E-A66B-44837EFCDFF5}"/>
    <cellStyle name="Porcentual 8 4 2 7" xfId="3955" xr:uid="{EC69EEAF-BA69-4B65-A3E6-C64E83B366DC}"/>
    <cellStyle name="Porcentual 8 4 2 8" xfId="3956" xr:uid="{3683D226-A666-4D69-AE6E-943A6BB98938}"/>
    <cellStyle name="Porcentual 8 4 3" xfId="3957" xr:uid="{25BFF8F7-D108-4631-9360-9F3371290DAA}"/>
    <cellStyle name="Porcentual 8 4 4" xfId="3958" xr:uid="{65DEF948-533E-4CDF-9D9F-475AB73F3E39}"/>
    <cellStyle name="Porcentual 8 4 4 2" xfId="3959" xr:uid="{61389BC2-B038-4FE6-AD95-B20307A989D7}"/>
    <cellStyle name="Porcentual 8 4 5" xfId="3960" xr:uid="{8D959938-CC93-4571-8E46-45E23A023943}"/>
    <cellStyle name="Porcentual 8 4 5 2" xfId="3961" xr:uid="{06580F9C-DC9C-4A82-B47E-4F9729536C87}"/>
    <cellStyle name="Porcentual 8 4 5 3" xfId="3962" xr:uid="{C258FAC1-B380-42D9-8ABF-65F23400ACDB}"/>
    <cellStyle name="Porcentual 8 4 6" xfId="3963" xr:uid="{9B20043D-6332-4749-A3C6-E17CF48E1B1E}"/>
    <cellStyle name="Porcentual 8 4 6 2" xfId="3964" xr:uid="{BA56F254-0EBA-41BC-9035-BA21740EC468}"/>
    <cellStyle name="Porcentual 8 4 6 3" xfId="3965" xr:uid="{7C62EDDF-B4D0-40A8-800B-8E342688BD59}"/>
    <cellStyle name="Porcentual 8 4 7" xfId="3966" xr:uid="{97EE3A3C-4D8E-41AD-A0A9-84D1660620E3}"/>
    <cellStyle name="Porcentual 8 4 8" xfId="3967" xr:uid="{334AFF27-233C-456D-A5CB-15F700872067}"/>
    <cellStyle name="Porcentual 8 4 9" xfId="3968" xr:uid="{517FB1B4-233D-439D-BA1A-F541EAA373D1}"/>
    <cellStyle name="Porcentual 8 5" xfId="3969" xr:uid="{3216DB9E-A493-4BB7-8FD3-5B2392143FD5}"/>
    <cellStyle name="Porcentual 8 5 2" xfId="3970" xr:uid="{54BF9C67-9FF7-4004-BCA0-40C19D8D1D26}"/>
    <cellStyle name="Porcentual 8 5 3" xfId="3971" xr:uid="{E438DD0B-5A8E-4D03-8F9D-91B2D47477E6}"/>
    <cellStyle name="Porcentual 8 5 3 2" xfId="3972" xr:uid="{3AE9B2A1-47E0-4383-93AE-4D5F5A8D5935}"/>
    <cellStyle name="Porcentual 8 5 4" xfId="3973" xr:uid="{DF3C7CB3-5377-440A-A553-0A88615570E7}"/>
    <cellStyle name="Porcentual 8 5 4 2" xfId="3974" xr:uid="{BDBF37F4-3B18-4462-972B-991CB503E408}"/>
    <cellStyle name="Porcentual 8 5 4 3" xfId="3975" xr:uid="{C1136D8A-5850-4D15-972F-44E3BD34583D}"/>
    <cellStyle name="Porcentual 8 5 5" xfId="3976" xr:uid="{2D14FB28-EF1B-45E8-B90E-CF7B62D912FB}"/>
    <cellStyle name="Porcentual 8 5 5 2" xfId="3977" xr:uid="{5CF31107-5A53-467F-95E3-225D9104C9F0}"/>
    <cellStyle name="Porcentual 8 5 5 3" xfId="3978" xr:uid="{36A829D5-E630-43F1-A970-5477C2383551}"/>
    <cellStyle name="Porcentual 8 5 6" xfId="3979" xr:uid="{455EFC85-D855-4268-97A1-6ACBD6E9549F}"/>
    <cellStyle name="Porcentual 8 5 7" xfId="3980" xr:uid="{CD630C5A-0B48-478B-8D20-98393CE7C611}"/>
    <cellStyle name="Porcentual 8 5 8" xfId="3981" xr:uid="{52574D52-5629-4271-8C63-C7A6112FA530}"/>
    <cellStyle name="Porcentual 8 6" xfId="3982" xr:uid="{EC9411C0-C7E8-4466-A082-B8C30D725460}"/>
    <cellStyle name="Porcentual 8 7" xfId="3983" xr:uid="{D0ACD9A7-95BC-4D0B-B54D-5699484A3E6C}"/>
    <cellStyle name="Porcentual 8 7 2" xfId="3984" xr:uid="{3920252E-235A-4967-9E76-6934A42231EE}"/>
    <cellStyle name="Porcentual 8 8" xfId="3985" xr:uid="{8C9D4106-A961-4A4D-A77F-33F04633FF49}"/>
    <cellStyle name="Porcentual 8 8 2" xfId="3986" xr:uid="{083F5EC9-21BE-44EF-B988-5F169BBBE8EF}"/>
    <cellStyle name="Porcentual 8 8 3" xfId="3987" xr:uid="{7EF45506-A915-4286-85E1-C3594AE7DB6D}"/>
    <cellStyle name="Porcentual 8 9" xfId="3988" xr:uid="{915ACD61-D589-44B9-BF13-95FB799E90CE}"/>
    <cellStyle name="Porcentual 8 9 2" xfId="3989" xr:uid="{F88EBCD9-516E-4EF3-BF14-3D07BF42D834}"/>
    <cellStyle name="Porcentual 8 9 3" xfId="3990" xr:uid="{30F704C4-B7D0-4519-9534-F38DE1B66F19}"/>
    <cellStyle name="Porcentual 9" xfId="3991" xr:uid="{33FE1A12-C21F-4DA6-9BA5-A4B4551B3598}"/>
    <cellStyle name="Punto0" xfId="3992" xr:uid="{286D562A-283E-42AF-8465-EC77A80A2DFE}"/>
    <cellStyle name="Salida 10" xfId="3993" xr:uid="{E18C301F-F386-4F6F-A203-1235C1A83F33}"/>
    <cellStyle name="Salida 10 2" xfId="3994" xr:uid="{DD3F0846-2EB6-4960-A861-DD8F38E38F2B}"/>
    <cellStyle name="Salida 10 2 2" xfId="3995" xr:uid="{687E3A44-9B16-416F-80CF-4396D091D251}"/>
    <cellStyle name="Salida 10 3" xfId="3996" xr:uid="{3924E003-F37A-49F3-8E3D-E3767E1EB448}"/>
    <cellStyle name="Salida 10 3 2" xfId="3997" xr:uid="{FBF21C07-CC8E-4C3B-8D91-CC7B6C391DC1}"/>
    <cellStyle name="Salida 10 3 3" xfId="3998" xr:uid="{E55A4CEB-1D1F-4605-83C6-8ACB07D5C5F3}"/>
    <cellStyle name="Salida 11" xfId="3999" xr:uid="{1E7F93F2-E941-4C3F-8C71-AF64FDEB90F1}"/>
    <cellStyle name="Salida 11 2" xfId="4000" xr:uid="{50EBF97F-CB34-4602-8001-63DBAADE6AFA}"/>
    <cellStyle name="Salida 11 2 2" xfId="4001" xr:uid="{6BD0E761-DFB2-4396-A6A2-2FB0FFBD07A0}"/>
    <cellStyle name="Salida 11 3" xfId="4002" xr:uid="{FFE0B37E-1602-4108-928F-80E9099F70E3}"/>
    <cellStyle name="Salida 11 3 2" xfId="4003" xr:uid="{8BB2C402-60F9-4F5A-B310-A80F6FE31BD0}"/>
    <cellStyle name="Salida 11 3 3" xfId="4004" xr:uid="{468303C0-D018-4F87-8861-3740A9779C04}"/>
    <cellStyle name="Salida 12" xfId="4005" xr:uid="{BD2F7774-5A3F-465E-923C-1582D2A96D12}"/>
    <cellStyle name="Salida 12 2" xfId="4006" xr:uid="{210B9F91-FF9D-4A5F-94C9-F0DBD76108DC}"/>
    <cellStyle name="Salida 12 2 2" xfId="4007" xr:uid="{08D2676F-E543-44FD-A18A-039A9BE026E9}"/>
    <cellStyle name="Salida 12 3" xfId="4008" xr:uid="{E0A0E559-764F-4FD8-A2FE-CB82753398AE}"/>
    <cellStyle name="Salida 12 3 2" xfId="4009" xr:uid="{6A705509-D183-4C3C-976B-884B04D69153}"/>
    <cellStyle name="Salida 12 3 3" xfId="4010" xr:uid="{8FFBC40C-7665-49B2-A04A-6337B3B14BE7}"/>
    <cellStyle name="Salida 13" xfId="4011" xr:uid="{0E824786-6A00-4F9F-BC00-094A700A15E0}"/>
    <cellStyle name="Salida 13 2" xfId="4012" xr:uid="{24D23A98-D03B-4F9B-AB16-CB523148EE18}"/>
    <cellStyle name="Salida 13 2 2" xfId="4013" xr:uid="{16B4CC3D-D736-4958-A283-971A788225B5}"/>
    <cellStyle name="Salida 13 3" xfId="4014" xr:uid="{22469034-96BB-4360-9037-04471E66E044}"/>
    <cellStyle name="Salida 13 3 2" xfId="4015" xr:uid="{902E4122-0A2C-4A68-B98D-C4AA7B119783}"/>
    <cellStyle name="Salida 13 3 3" xfId="4016" xr:uid="{B3740568-1F4F-4824-BA50-7CF3FB2E22A1}"/>
    <cellStyle name="Salida 14" xfId="4017" xr:uid="{36BAEEDC-DE14-41F1-8718-D8437534E024}"/>
    <cellStyle name="Salida 14 2" xfId="4018" xr:uid="{9C3C0033-25FA-47FA-9979-FC9099E7793B}"/>
    <cellStyle name="Salida 14 2 2" xfId="4019" xr:uid="{AEF5F5BB-1F3A-4421-8599-BFE895B99221}"/>
    <cellStyle name="Salida 14 3" xfId="4020" xr:uid="{1969D0B3-554B-433F-BB32-A743640CDC91}"/>
    <cellStyle name="Salida 14 3 2" xfId="4021" xr:uid="{5A4296FD-B0EF-4368-BFD3-09462BB1084F}"/>
    <cellStyle name="Salida 14 3 3" xfId="4022" xr:uid="{804B6926-2354-4AC1-897A-E9554CA2C5F5}"/>
    <cellStyle name="Salida 15" xfId="4023" xr:uid="{4B217920-B066-43FF-BB68-935B53C02A07}"/>
    <cellStyle name="Salida 15 2" xfId="4024" xr:uid="{5EFCBB95-34E7-448D-9B75-6B0BE10C2B22}"/>
    <cellStyle name="Salida 15 2 2" xfId="4025" xr:uid="{1C37D072-64C1-40F8-9CC8-C8AF909093D5}"/>
    <cellStyle name="Salida 15 3" xfId="4026" xr:uid="{380751AC-F992-49E3-B6A1-F8887A0ECF0A}"/>
    <cellStyle name="Salida 15 3 2" xfId="4027" xr:uid="{277A60C2-0B73-430D-B692-455D027EAE51}"/>
    <cellStyle name="Salida 15 3 3" xfId="4028" xr:uid="{0E73F032-D19D-4A94-A291-ECF018DF2199}"/>
    <cellStyle name="Salida 16" xfId="4029" xr:uid="{81E82B1D-BC1D-462D-9F1F-4F2BFE860DC9}"/>
    <cellStyle name="Salida 16 2" xfId="4030" xr:uid="{64778A30-E7EF-4190-8150-3F881C39DFA4}"/>
    <cellStyle name="Salida 16 2 2" xfId="4031" xr:uid="{9B9FA371-A04B-429E-A364-AEC7C0DDD67A}"/>
    <cellStyle name="Salida 16 3" xfId="4032" xr:uid="{123C0277-6AF0-49BE-8FB6-68DAE4144B85}"/>
    <cellStyle name="Salida 16 3 2" xfId="4033" xr:uid="{B1C8A50C-703D-48B1-9D94-933D1CE68AFA}"/>
    <cellStyle name="Salida 16 3 3" xfId="4034" xr:uid="{B53C58BA-E50B-4E8E-B90E-AF81DEACA291}"/>
    <cellStyle name="Salida 17" xfId="4035" xr:uid="{48BD2ECC-C6E7-4093-A09F-1E94B7A7F41E}"/>
    <cellStyle name="Salida 17 2" xfId="4036" xr:uid="{34603F94-D8F7-4519-A330-B66BECDC1D35}"/>
    <cellStyle name="Salida 17 2 2" xfId="4037" xr:uid="{84A75B96-A582-41E6-960D-B03B217C34FA}"/>
    <cellStyle name="Salida 17 3" xfId="4038" xr:uid="{9260F091-BAFE-436D-8C70-734D328FAB80}"/>
    <cellStyle name="Salida 17 3 2" xfId="4039" xr:uid="{AA428804-A249-4350-8256-604FACF4DC20}"/>
    <cellStyle name="Salida 17 3 3" xfId="4040" xr:uid="{A5E06D2B-0380-4346-A3C9-DD93791965C9}"/>
    <cellStyle name="Salida 18" xfId="4041" xr:uid="{B2BD3E46-F513-4275-B4B6-4582E050C843}"/>
    <cellStyle name="Salida 18 2" xfId="4042" xr:uid="{56021A51-4621-4FD3-A43D-87B80B06A3A2}"/>
    <cellStyle name="Salida 18 2 2" xfId="4043" xr:uid="{507B57BA-CA32-49D4-9203-134578C88C13}"/>
    <cellStyle name="Salida 18 3" xfId="4044" xr:uid="{2E585C5B-9D2D-444F-AB2E-EFA7ED3D35B6}"/>
    <cellStyle name="Salida 18 3 2" xfId="4045" xr:uid="{1EE8CB9F-83E4-413E-9B77-ECB09618815F}"/>
    <cellStyle name="Salida 18 3 3" xfId="4046" xr:uid="{D686C1B5-C715-428A-9F14-00AD677625EE}"/>
    <cellStyle name="Salida 19" xfId="4047" xr:uid="{BD77A765-2478-46D2-8CB7-C4BFF6CF4618}"/>
    <cellStyle name="Salida 19 2" xfId="4048" xr:uid="{509338C8-60D4-4D07-8ACC-B2C01BE58F1E}"/>
    <cellStyle name="Salida 19 2 2" xfId="4049" xr:uid="{0DEFAC11-F1AE-4586-8F31-D0E91B50C25A}"/>
    <cellStyle name="Salida 19 3" xfId="4050" xr:uid="{A9E7028E-2ED7-4948-971D-781043032794}"/>
    <cellStyle name="Salida 19 3 2" xfId="4051" xr:uid="{4807A735-0061-4618-B7F1-5B83C5AFB599}"/>
    <cellStyle name="Salida 19 3 3" xfId="4052" xr:uid="{EC841A8A-4D88-4357-AF51-3356158D79AB}"/>
    <cellStyle name="Salida 2" xfId="4053" xr:uid="{ECB2E63C-46AE-48BD-8139-60F67F3CE0A1}"/>
    <cellStyle name="Salida 2 2" xfId="4054" xr:uid="{0CDD8262-2282-48E1-884E-BD5C72C6AA6B}"/>
    <cellStyle name="Salida 2 2 2" xfId="4055" xr:uid="{24D8C394-0F58-4D4E-9673-6D6EF26829EB}"/>
    <cellStyle name="Salida 2 2 2 2" xfId="4056" xr:uid="{C64D694B-4146-44FB-B3E2-2C9CFAD3A6D4}"/>
    <cellStyle name="Salida 2 2 3" xfId="4057" xr:uid="{E8E48D90-C556-4247-91BB-C42083D55905}"/>
    <cellStyle name="Salida 2 2 3 2" xfId="4058" xr:uid="{3DB8F192-F8B6-4D99-A52C-A5EE39EDD0A4}"/>
    <cellStyle name="Salida 2 2 3 3" xfId="4059" xr:uid="{E13B7717-D155-4541-89B1-0211F7CEF7AF}"/>
    <cellStyle name="Salida 2 3" xfId="4060" xr:uid="{2A63C775-FFC5-4C1E-8DB5-C3F17469A5FC}"/>
    <cellStyle name="Salida 2 3 2" xfId="4061" xr:uid="{7EB00E1A-DD11-4A58-AD84-E4D423D17965}"/>
    <cellStyle name="Salida 2 4" xfId="4062" xr:uid="{DF8C0240-493B-41B1-8E33-25640EF908FC}"/>
    <cellStyle name="Salida 2 4 2" xfId="4063" xr:uid="{BDD1B072-BCFA-4173-8B82-3108CE04561C}"/>
    <cellStyle name="Salida 2 4 3" xfId="4064" xr:uid="{3A182F13-D6D9-408C-B2B8-AEB33D2BAED1}"/>
    <cellStyle name="Salida 2 5" xfId="4065" xr:uid="{8F149C3A-49F9-49B7-97FF-CCAB5E96B596}"/>
    <cellStyle name="Salida 20" xfId="4066" xr:uid="{B2EAC81F-B45D-4CB0-9479-2286E8814CD0}"/>
    <cellStyle name="Salida 20 2" xfId="4067" xr:uid="{7A66937B-25D2-40B7-82C0-C2A22003B56A}"/>
    <cellStyle name="Salida 20 2 2" xfId="4068" xr:uid="{9767BC1E-93E2-4CD3-BCCA-1D6497A71E49}"/>
    <cellStyle name="Salida 20 3" xfId="4069" xr:uid="{A5591DF3-D24A-4D4C-837D-B3AD883D522F}"/>
    <cellStyle name="Salida 20 3 2" xfId="4070" xr:uid="{533CE525-BFCC-4694-8766-D6687C7F893E}"/>
    <cellStyle name="Salida 20 3 3" xfId="4071" xr:uid="{DC1B35EA-DBCA-4A69-8E3F-05630E16397A}"/>
    <cellStyle name="Salida 21" xfId="4072" xr:uid="{061C8445-7049-49A7-81F4-59719EBA48EA}"/>
    <cellStyle name="Salida 22" xfId="4073" xr:uid="{5AD8E551-5EB9-429C-860C-C14D3E9A85F6}"/>
    <cellStyle name="Salida 22 2" xfId="4074" xr:uid="{3FFE48DD-6E5C-48D2-B369-C7E91A80D35F}"/>
    <cellStyle name="Salida 23" xfId="4075" xr:uid="{DF137C78-2C8F-49D9-8739-AE30C5234705}"/>
    <cellStyle name="Salida 3" xfId="4076" xr:uid="{CB8417F6-5AA2-4049-99D2-8E297C3F5E55}"/>
    <cellStyle name="Salida 3 2" xfId="4077" xr:uid="{BC07A98E-570C-4B4D-8940-A16E39037E13}"/>
    <cellStyle name="Salida 3 2 2" xfId="4078" xr:uid="{B35251CC-DAA4-4D59-A0FC-8DDA84D35044}"/>
    <cellStyle name="Salida 3 3" xfId="4079" xr:uid="{4F0BA0AB-4D94-4C14-824A-682201B648D0}"/>
    <cellStyle name="Salida 3 3 2" xfId="4080" xr:uid="{28E4238B-EE44-4A8E-8431-E2BF7CE2B70E}"/>
    <cellStyle name="Salida 3 3 3" xfId="4081" xr:uid="{3659456F-ECA3-4165-99AC-25D9FAA42278}"/>
    <cellStyle name="Salida 3 4" xfId="4082" xr:uid="{B8A2F420-E4A0-465A-BD2C-CDED5D30948A}"/>
    <cellStyle name="Salida 4" xfId="4083" xr:uid="{4409D104-4777-44CF-BC2C-DA94CA86AED7}"/>
    <cellStyle name="Salida 4 2" xfId="4084" xr:uid="{B5EA30CC-5F75-4C31-99F3-671ABF588F01}"/>
    <cellStyle name="Salida 4 2 2" xfId="4085" xr:uid="{6025C5B2-DD05-4513-9FAA-12843ECD8CDE}"/>
    <cellStyle name="Salida 4 3" xfId="4086" xr:uid="{285335CF-0D30-4BD5-84AF-4FC31EA7520B}"/>
    <cellStyle name="Salida 4 3 2" xfId="4087" xr:uid="{A1ABCF04-7030-4D34-891B-2D2C90C519B9}"/>
    <cellStyle name="Salida 4 3 3" xfId="4088" xr:uid="{0656027B-3D8E-4766-856B-9673219E0F85}"/>
    <cellStyle name="Salida 5" xfId="4089" xr:uid="{56FB47F3-16FA-436A-8B68-32B380B9C787}"/>
    <cellStyle name="Salida 5 2" xfId="4090" xr:uid="{7DCDBB16-BEF6-4586-892F-299FC2FDD968}"/>
    <cellStyle name="Salida 5 2 2" xfId="4091" xr:uid="{2B8917B3-DDFD-40AA-8DDE-20F09E2FCE65}"/>
    <cellStyle name="Salida 5 3" xfId="4092" xr:uid="{D30606A8-790A-4EF4-9BD7-A304136F1925}"/>
    <cellStyle name="Salida 5 3 2" xfId="4093" xr:uid="{ADE8FD47-6133-4FF7-BAFD-84733E64F16C}"/>
    <cellStyle name="Salida 5 3 3" xfId="4094" xr:uid="{D921FF04-579C-485D-BA4F-485F2A170E4A}"/>
    <cellStyle name="Salida 6" xfId="4095" xr:uid="{EB465724-81C6-41DE-B26D-48DA3674FFCE}"/>
    <cellStyle name="Salida 6 2" xfId="4096" xr:uid="{785825D6-D528-44F5-9824-49C2EE08F3AF}"/>
    <cellStyle name="Salida 6 2 2" xfId="4097" xr:uid="{60CB202D-1123-4735-88D2-EB8962DEA10A}"/>
    <cellStyle name="Salida 6 3" xfId="4098" xr:uid="{C858B117-8E45-49EE-92AE-CA23A8780345}"/>
    <cellStyle name="Salida 6 3 2" xfId="4099" xr:uid="{6BD8DF56-403A-4752-B4B3-EE58BE111DD6}"/>
    <cellStyle name="Salida 6 3 3" xfId="4100" xr:uid="{903C2E29-E3D2-4510-97C7-22A5431CCDD8}"/>
    <cellStyle name="Salida 7" xfId="4101" xr:uid="{7ECC84B7-CB8B-4145-8FB4-5729D4113A00}"/>
    <cellStyle name="Salida 7 2" xfId="4102" xr:uid="{6A5F8DC4-1189-4D8D-AA61-ED997A118B57}"/>
    <cellStyle name="Salida 7 2 2" xfId="4103" xr:uid="{06ED7DC5-75A2-4835-BB2D-96E847580DAB}"/>
    <cellStyle name="Salida 7 3" xfId="4104" xr:uid="{042B237F-A48A-44BE-A2E3-7D9C1C289991}"/>
    <cellStyle name="Salida 7 3 2" xfId="4105" xr:uid="{C88673C2-6FF3-48CD-99F0-B4B8B8076FC6}"/>
    <cellStyle name="Salida 7 3 3" xfId="4106" xr:uid="{577450D8-8E56-4754-82B1-AC0D843824B8}"/>
    <cellStyle name="Salida 8" xfId="4107" xr:uid="{342BC0FD-F1E5-4AE5-B954-47D0A248EBCE}"/>
    <cellStyle name="Salida 8 2" xfId="4108" xr:uid="{C0DC2C91-2C9B-441E-850C-CAEAFD45C9EB}"/>
    <cellStyle name="Salida 8 2 2" xfId="4109" xr:uid="{6AC3BF3B-FBFF-42EB-8E22-2D57862CF9A3}"/>
    <cellStyle name="Salida 8 3" xfId="4110" xr:uid="{583FE7E1-3B04-450F-860A-CD780369A7D4}"/>
    <cellStyle name="Salida 8 3 2" xfId="4111" xr:uid="{B816A958-911F-4CA9-9F56-D0D6F0236642}"/>
    <cellStyle name="Salida 8 3 3" xfId="4112" xr:uid="{BA7C00E4-266D-4E3C-82A2-314F3232DDAE}"/>
    <cellStyle name="Salida 9" xfId="4113" xr:uid="{507D6065-0B70-43CB-85CE-A258DDAD584B}"/>
    <cellStyle name="Salida 9 2" xfId="4114" xr:uid="{6568B92D-F242-4788-AABC-A41C1DFA4172}"/>
    <cellStyle name="Salida 9 2 2" xfId="4115" xr:uid="{11DA9BE5-1FE4-4960-8761-3BB271D0E246}"/>
    <cellStyle name="Salida 9 3" xfId="4116" xr:uid="{555AF4A9-8DB2-462C-A9DB-2FB14519189F}"/>
    <cellStyle name="Salida 9 3 2" xfId="4117" xr:uid="{B0E7BFE6-B404-4EDD-9259-79EE6487BEE2}"/>
    <cellStyle name="Salida 9 3 3" xfId="4118" xr:uid="{E98EDCD9-F6FB-4FB2-8F80-C9A0D3DFDD9B}"/>
    <cellStyle name="ssubtitulo" xfId="4119" xr:uid="{F4E3E08E-53E7-44C1-954B-AE671BCE2422}"/>
    <cellStyle name="Standard_EVAL-np" xfId="4120" xr:uid="{2F0BBB61-E859-47C0-B62E-A2FDFEB377E4}"/>
    <cellStyle name="subtitulo" xfId="4121" xr:uid="{98A51447-F6BA-49B4-A049-FD5CD32339B0}"/>
    <cellStyle name="Texto de advertencia 2" xfId="4122" xr:uid="{C56EBA59-190C-4A71-BBCB-B76969FC50C9}"/>
    <cellStyle name="Texto de advertencia 2 2" xfId="4123" xr:uid="{D9DB342F-111A-4FBF-BBE8-19AED479AF25}"/>
    <cellStyle name="Texto de advertencia 3" xfId="4124" xr:uid="{E92E44FE-A3A8-4EC0-A775-8DB17B83C0F3}"/>
    <cellStyle name="Texto de advertencia 3 2" xfId="4125" xr:uid="{C90B0FCB-ABCB-403C-9249-4A59B896AC14}"/>
    <cellStyle name="Texto explicativo 2" xfId="4126" xr:uid="{9F0EF618-46BC-4A0D-87A0-BF4636D21668}"/>
    <cellStyle name="Texto explicativo 2 2" xfId="4127" xr:uid="{A89553A7-4743-438F-B5CD-35BB62B608FE}"/>
    <cellStyle name="Texto explicativo 3" xfId="4128" xr:uid="{49C11228-F536-45AA-8096-82F69D67C5DD}"/>
    <cellStyle name="Texto explicativo 3 2" xfId="4129" xr:uid="{617027FC-BBE7-41C4-8E9B-C3DFBEB0DCD9}"/>
    <cellStyle name="Title 2" xfId="353" xr:uid="{D424ED92-AE0C-4D5C-97E3-2CCB28275248}"/>
    <cellStyle name="Title 2 2" xfId="4130" xr:uid="{0A09FD55-1AA2-4FC0-B29C-F52996CE2909}"/>
    <cellStyle name="Title 2 3" xfId="539" xr:uid="{1AA09E0B-8E34-4187-8F19-42977A92843E}"/>
    <cellStyle name="Title 3" xfId="442" xr:uid="{440B4432-157B-4531-92A2-EEA4294F4E62}"/>
    <cellStyle name="Title 3 2" xfId="555" xr:uid="{D79895E1-3B49-4160-B6EC-182C98E9A1F1}"/>
    <cellStyle name="titulo" xfId="4131" xr:uid="{F1C8F90A-C047-48B4-BF41-34DF75A92EA4}"/>
    <cellStyle name="Título 1 10" xfId="4132" xr:uid="{60064651-62E1-4EBD-BE7A-516E3F47E59F}"/>
    <cellStyle name="Título 1 11" xfId="4133" xr:uid="{E41BB653-70BB-41AE-A90B-82AD80F3273E}"/>
    <cellStyle name="Título 1 12" xfId="4134" xr:uid="{BD814D60-D946-41C4-9302-6EDA56AB8C10}"/>
    <cellStyle name="Título 1 13" xfId="4135" xr:uid="{8D299DF7-69EE-4543-9D3E-42F7FE518561}"/>
    <cellStyle name="Título 1 14" xfId="4136" xr:uid="{786B39EC-A217-4D9D-ABB7-122A78ADE415}"/>
    <cellStyle name="Título 1 15" xfId="4137" xr:uid="{40BFDB8A-3C7D-49D5-B583-07769B56E9AA}"/>
    <cellStyle name="Título 1 16" xfId="4138" xr:uid="{5AD7E20C-6178-4B9A-BE29-5FD53EC34A9B}"/>
    <cellStyle name="Título 1 17" xfId="4139" xr:uid="{B9FE55BC-0A54-4F76-960D-8361DAF97FC5}"/>
    <cellStyle name="Título 1 18" xfId="4140" xr:uid="{BB237E42-8BA4-4D8E-92E5-45C5CF56D862}"/>
    <cellStyle name="Título 1 19" xfId="4141" xr:uid="{5EBD6EFE-F13B-4C45-AF6C-F2FF61C5B08E}"/>
    <cellStyle name="Título 1 2" xfId="4142" xr:uid="{E7AB9A6F-DDE6-4B6E-B4A7-94476DC3A844}"/>
    <cellStyle name="Título 1 2 2" xfId="4143" xr:uid="{348A4481-8277-436A-AAD8-3C621A8D3F10}"/>
    <cellStyle name="Título 1 20" xfId="4144" xr:uid="{E0605762-66B5-4CD2-8B84-C554FC402019}"/>
    <cellStyle name="Título 1 21" xfId="4145" xr:uid="{D9248B12-AAD2-4B8C-8396-612222A2D179}"/>
    <cellStyle name="Título 1 22" xfId="4146" xr:uid="{D3FCC826-A4AA-412D-893D-87B579493DAB}"/>
    <cellStyle name="Título 1 23" xfId="4147" xr:uid="{680C5DF3-AB45-481A-96F1-3A95940C9642}"/>
    <cellStyle name="Título 1 3" xfId="4148" xr:uid="{CAB342A4-CD5C-4445-A9CA-D6290A679021}"/>
    <cellStyle name="Título 1 3 2" xfId="4149" xr:uid="{6B8D1FDF-5E53-4275-99D4-D7042FE62A78}"/>
    <cellStyle name="Título 1 4" xfId="4150" xr:uid="{BBC6285A-E7F0-4F73-AE90-125D3B61696D}"/>
    <cellStyle name="Título 1 5" xfId="4151" xr:uid="{2E616A5A-A6F6-4B0B-9B36-BF2C9721C061}"/>
    <cellStyle name="Título 1 6" xfId="4152" xr:uid="{BF340138-D0CF-4082-800D-AF42735FF15E}"/>
    <cellStyle name="Título 1 7" xfId="4153" xr:uid="{EEF368C6-8606-41AD-8BF4-6613A280F38F}"/>
    <cellStyle name="Título 1 8" xfId="4154" xr:uid="{0ABDF35F-F389-470A-972F-F0EDDCE45883}"/>
    <cellStyle name="Título 1 9" xfId="4155" xr:uid="{D16E51CD-F181-43A0-A8D6-2F3DBBE2EA53}"/>
    <cellStyle name="Título 10" xfId="4156" xr:uid="{6B9231CA-46BA-4180-8246-F38B6CFD9AC5}"/>
    <cellStyle name="Título 11" xfId="4157" xr:uid="{724E0534-852D-4AF4-A9C9-7A1676261A57}"/>
    <cellStyle name="Título 12" xfId="4158" xr:uid="{CA2E2496-1381-4531-8504-3C523596B503}"/>
    <cellStyle name="Título 13" xfId="4159" xr:uid="{926C31A3-27BB-4863-8EA6-9D09FC46B73C}"/>
    <cellStyle name="Título 14" xfId="4160" xr:uid="{06FDD5E6-B6FD-439B-AAFC-AD697736DFF8}"/>
    <cellStyle name="Título 15" xfId="4161" xr:uid="{75195557-16BD-41EA-AEB0-CCEE5290397B}"/>
    <cellStyle name="Título 16" xfId="4162" xr:uid="{A28E72B5-B697-4D1B-A6D9-28C9EFAEB13A}"/>
    <cellStyle name="Título 17" xfId="4163" xr:uid="{91167CE2-8B34-4715-A74E-5E6961F85360}"/>
    <cellStyle name="Título 18" xfId="4164" xr:uid="{71C69A6E-A0BD-4489-AA88-6D2F4F8FFBA9}"/>
    <cellStyle name="Título 19" xfId="4165" xr:uid="{AF9B3315-DBD7-4BDE-8E94-1989BE403660}"/>
    <cellStyle name="Título 2 10" xfId="4166" xr:uid="{BC2027A7-64DD-4DBB-9F91-665C48D105B1}"/>
    <cellStyle name="Título 2 11" xfId="4167" xr:uid="{23EB99C6-9EED-4E5E-8B73-75DF22DF3A87}"/>
    <cellStyle name="Título 2 12" xfId="4168" xr:uid="{5E9E4216-0B6F-4F1D-9F75-79AB068AF96F}"/>
    <cellStyle name="Título 2 13" xfId="4169" xr:uid="{B7940550-AE99-4BA4-803E-D65ADA5ADC90}"/>
    <cellStyle name="Título 2 14" xfId="4170" xr:uid="{021B5ECB-67FF-4B17-B2B4-8CFC286495EB}"/>
    <cellStyle name="Título 2 15" xfId="4171" xr:uid="{B175EC1A-4452-4D04-8B01-638D9C43C4D9}"/>
    <cellStyle name="Título 2 16" xfId="4172" xr:uid="{4642FCB0-A430-48F1-8109-91AC34FA72DC}"/>
    <cellStyle name="Título 2 17" xfId="4173" xr:uid="{FDDAE195-001A-4CC3-8737-561C20B025AD}"/>
    <cellStyle name="Título 2 18" xfId="4174" xr:uid="{A8F3F308-61BE-4541-8472-875583804F00}"/>
    <cellStyle name="Título 2 19" xfId="4175" xr:uid="{3505BBB8-1AB2-4343-81D3-E6CDDE81C262}"/>
    <cellStyle name="Título 2 2" xfId="4176" xr:uid="{931B9E05-A9E4-4DBE-8AAB-4908AA54DB66}"/>
    <cellStyle name="Título 2 2 2" xfId="4177" xr:uid="{448D6921-81E2-4A43-A717-7CD82DE38B48}"/>
    <cellStyle name="Título 2 20" xfId="4178" xr:uid="{9E5F260E-B202-47FB-BF71-03A12C6C66C7}"/>
    <cellStyle name="Título 2 21" xfId="4179" xr:uid="{413206A6-7F07-402C-AA79-341DC1706072}"/>
    <cellStyle name="Título 2 22" xfId="4180" xr:uid="{E0195723-6813-4496-969C-7A4409488C50}"/>
    <cellStyle name="Título 2 23" xfId="4181" xr:uid="{C471A4EB-C8AD-4C67-B906-752700EDB15C}"/>
    <cellStyle name="Título 2 3" xfId="4182" xr:uid="{F2A04649-65D8-4EE4-AAAC-3148F27C13DB}"/>
    <cellStyle name="Título 2 3 2" xfId="4183" xr:uid="{BFF2EC67-BD05-4509-817C-1E4F022CB7B6}"/>
    <cellStyle name="Título 2 4" xfId="4184" xr:uid="{75F85FAA-9440-4D48-B221-8CBB4F10A7CE}"/>
    <cellStyle name="Título 2 5" xfId="4185" xr:uid="{BDBD85BD-C796-4C48-B87F-1CC183A1FBCC}"/>
    <cellStyle name="Título 2 6" xfId="4186" xr:uid="{37044B47-E270-4BE6-B95C-CC1B2821840A}"/>
    <cellStyle name="Título 2 7" xfId="4187" xr:uid="{DFAFFF6F-4D1B-4AE9-A1CC-073A03A6B198}"/>
    <cellStyle name="Título 2 8" xfId="4188" xr:uid="{B88BD75F-C0B4-4103-A9DB-FBF3E57C2217}"/>
    <cellStyle name="Título 2 9" xfId="4189" xr:uid="{FED9FC93-A734-4C30-8060-6B775A9EFB59}"/>
    <cellStyle name="Título 20" xfId="4190" xr:uid="{D02A9985-6621-4A9C-A311-DC79930A83AB}"/>
    <cellStyle name="Título 21" xfId="4191" xr:uid="{36AEAB0D-8509-4D67-8ABB-89EF6BC7B412}"/>
    <cellStyle name="Título 22" xfId="4192" xr:uid="{559BACB8-C92A-4E77-810E-7D7AAB300B39}"/>
    <cellStyle name="Título 23" xfId="4193" xr:uid="{15BEFDA0-EB4C-48D1-9CDD-A67DE96403DC}"/>
    <cellStyle name="Título 24" xfId="4194" xr:uid="{10A55B39-8769-4AA8-AD46-26562D06C3CB}"/>
    <cellStyle name="Título 25" xfId="4195" xr:uid="{C0E6509B-33D0-4C07-8C2A-B30692F67C96}"/>
    <cellStyle name="Título 3 10" xfId="4196" xr:uid="{ACD2AF7E-8D09-4A8E-8E19-614948D2D779}"/>
    <cellStyle name="Título 3 10 2" xfId="4197" xr:uid="{5827CA98-7C76-4FE1-A483-1D9A30717D53}"/>
    <cellStyle name="Título 3 10 2 2" xfId="4198" xr:uid="{0FD93F37-4E67-414D-8671-D081A693468A}"/>
    <cellStyle name="Título 3 10 2 3" xfId="4199" xr:uid="{9783EEB5-2CE2-424C-8208-BE34209AB31E}"/>
    <cellStyle name="Título 3 10 3" xfId="4200" xr:uid="{CDAC9E99-F75D-437B-8333-D5DBBC57717D}"/>
    <cellStyle name="Título 3 10 4" xfId="4201" xr:uid="{FBE6CE50-4FEF-4E57-AA07-7DA24F4D6E91}"/>
    <cellStyle name="Título 3 11" xfId="4202" xr:uid="{F25B77C0-5988-48AC-BB7D-4801F3DEEA1F}"/>
    <cellStyle name="Título 3 11 2" xfId="4203" xr:uid="{3A5680B7-3583-49D8-BCD9-B25BC2A3D412}"/>
    <cellStyle name="Título 3 11 2 2" xfId="4204" xr:uid="{F0356E3D-D06A-430E-8EFF-956380682AF7}"/>
    <cellStyle name="Título 3 11 2 3" xfId="4205" xr:uid="{6598D795-5AF5-4A9F-8BAA-CA0EF283F19A}"/>
    <cellStyle name="Título 3 11 3" xfId="4206" xr:uid="{219E0D12-CAB8-47D8-955D-4277536683E8}"/>
    <cellStyle name="Título 3 11 4" xfId="4207" xr:uid="{3695C48A-96D7-4088-99E6-C4D4A799C9AF}"/>
    <cellStyle name="Título 3 12" xfId="4208" xr:uid="{2C3D629C-04B1-4222-B65A-23FF30B38C95}"/>
    <cellStyle name="Título 3 12 2" xfId="4209" xr:uid="{1CCDF821-9B8F-4922-8383-7C734592CB9F}"/>
    <cellStyle name="Título 3 12 2 2" xfId="4210" xr:uid="{175B2BFA-CEB9-4B93-8C51-6FBB90DD83F6}"/>
    <cellStyle name="Título 3 12 2 3" xfId="4211" xr:uid="{7A7A2EF2-AA87-4920-B8D8-3C64AB7305C0}"/>
    <cellStyle name="Título 3 12 3" xfId="4212" xr:uid="{8FC54022-1A69-4A61-9C93-1A327F2B68DF}"/>
    <cellStyle name="Título 3 12 4" xfId="4213" xr:uid="{A57B2F0D-B31F-4A1E-BC3A-CE6773AAF1EB}"/>
    <cellStyle name="Título 3 13" xfId="4214" xr:uid="{4FD50E36-063A-4A7C-9A68-259EBCF69983}"/>
    <cellStyle name="Título 3 13 2" xfId="4215" xr:uid="{FD9AB86D-7923-44E6-AFD1-01040042819E}"/>
    <cellStyle name="Título 3 13 2 2" xfId="4216" xr:uid="{D5DFAEFB-F8E6-4B43-ADEF-A0BB9D500C6A}"/>
    <cellStyle name="Título 3 13 2 3" xfId="4217" xr:uid="{8F482B57-34E5-4E2F-AE2D-82B6BC629F58}"/>
    <cellStyle name="Título 3 13 3" xfId="4218" xr:uid="{E92A96B4-489A-4078-A0BE-5235D1D603BD}"/>
    <cellStyle name="Título 3 13 4" xfId="4219" xr:uid="{8F0946C1-84D8-4476-B7AE-A76A6F2537FD}"/>
    <cellStyle name="Título 3 14" xfId="4220" xr:uid="{4C8121E5-C6E8-407F-AF39-EAC7397B03CE}"/>
    <cellStyle name="Título 3 14 2" xfId="4221" xr:uid="{B99A7BFA-7BF1-460C-813B-CBBBD99A4991}"/>
    <cellStyle name="Título 3 14 2 2" xfId="4222" xr:uid="{F54379A5-5CFB-4536-A0DB-2A868C962391}"/>
    <cellStyle name="Título 3 14 2 3" xfId="4223" xr:uid="{67A82F52-E24C-44DD-A7C2-0240271BB3CE}"/>
    <cellStyle name="Título 3 14 3" xfId="4224" xr:uid="{48920271-A9B7-4DB5-9663-6610EF334438}"/>
    <cellStyle name="Título 3 14 4" xfId="4225" xr:uid="{5F61371B-FB24-49EC-B5E0-8BE6DE277E8E}"/>
    <cellStyle name="Título 3 15" xfId="4226" xr:uid="{A63D331F-D6FA-40C2-9377-61E5CB9CA60D}"/>
    <cellStyle name="Título 3 15 2" xfId="4227" xr:uid="{110AA865-BA4B-4CB4-96FC-32331684EABA}"/>
    <cellStyle name="Título 3 15 2 2" xfId="4228" xr:uid="{9A97BAA8-FB88-4247-8D78-5B948CA8DFCB}"/>
    <cellStyle name="Título 3 15 2 3" xfId="4229" xr:uid="{6D448AF9-204A-49C3-B39B-DF1F59B260BF}"/>
    <cellStyle name="Título 3 15 3" xfId="4230" xr:uid="{11492715-D8BE-40B4-8222-1607FF107F69}"/>
    <cellStyle name="Título 3 15 4" xfId="4231" xr:uid="{D2960BEB-25A3-4B70-8DE5-AAAF93E401AA}"/>
    <cellStyle name="Título 3 16" xfId="4232" xr:uid="{BBC8E3C2-E387-4508-82F0-3924BF0010AC}"/>
    <cellStyle name="Título 3 16 2" xfId="4233" xr:uid="{7AA90499-30A3-489C-87BD-63ECD26436B7}"/>
    <cellStyle name="Título 3 16 2 2" xfId="4234" xr:uid="{E6A09E66-B332-4373-8D5F-F1AE6A84DC1D}"/>
    <cellStyle name="Título 3 16 2 3" xfId="4235" xr:uid="{79F16AF2-EE90-40F2-8F53-F9B6395EA670}"/>
    <cellStyle name="Título 3 16 3" xfId="4236" xr:uid="{43302586-FB04-4257-AD7D-439CACCD0892}"/>
    <cellStyle name="Título 3 16 4" xfId="4237" xr:uid="{1BB0A64E-4D6D-49EB-82E6-6F97B2A9B533}"/>
    <cellStyle name="Título 3 17" xfId="4238" xr:uid="{04B98A3E-B75A-46DB-86E4-8C747C6FEDA2}"/>
    <cellStyle name="Título 3 17 2" xfId="4239" xr:uid="{9B4CBE26-8937-400C-9C26-E32909FA8AD8}"/>
    <cellStyle name="Título 3 17 2 2" xfId="4240" xr:uid="{A2752696-FD1E-4FA3-88F2-E732879DB818}"/>
    <cellStyle name="Título 3 17 2 3" xfId="4241" xr:uid="{9D4BA1D2-A671-4B40-ABD6-9834EE236752}"/>
    <cellStyle name="Título 3 17 3" xfId="4242" xr:uid="{73CF33A4-7D09-4E0F-9407-17F637D91FE6}"/>
    <cellStyle name="Título 3 17 4" xfId="4243" xr:uid="{B6968392-B09D-4DCA-89FC-38BF7A1A3D56}"/>
    <cellStyle name="Título 3 18" xfId="4244" xr:uid="{E8990717-BDB2-481D-A043-88DF621299BE}"/>
    <cellStyle name="Título 3 18 2" xfId="4245" xr:uid="{E959431F-D670-4360-ADA1-9B0E4B2B10A0}"/>
    <cellStyle name="Título 3 18 2 2" xfId="4246" xr:uid="{A2BC0175-C12C-44B8-A5B4-0ED1A4FD3DEC}"/>
    <cellStyle name="Título 3 18 2 3" xfId="4247" xr:uid="{266E97FB-0F21-4EB6-9591-B04C5DC33D14}"/>
    <cellStyle name="Título 3 18 3" xfId="4248" xr:uid="{21B197AD-533B-4FFD-89FE-5DBD4DECE780}"/>
    <cellStyle name="Título 3 18 4" xfId="4249" xr:uid="{62841E69-1D4E-41D8-ABDB-573A748FBF45}"/>
    <cellStyle name="Título 3 19" xfId="4250" xr:uid="{F6BCB0B2-4288-4ABF-8DD7-7B56F2DACB0E}"/>
    <cellStyle name="Título 3 19 2" xfId="4251" xr:uid="{05BFAD24-163D-4A7C-9950-F62B0C125DF3}"/>
    <cellStyle name="Título 3 19 2 2" xfId="4252" xr:uid="{127DEC29-7CB2-4EA3-8E63-0FB920B8A269}"/>
    <cellStyle name="Título 3 19 2 3" xfId="4253" xr:uid="{9BA6C108-BCDA-4924-AAFC-29B9AFEE8DFF}"/>
    <cellStyle name="Título 3 19 3" xfId="4254" xr:uid="{ABE2867F-5DC7-417C-8709-47926F19D5D0}"/>
    <cellStyle name="Título 3 19 4" xfId="4255" xr:uid="{FBBB64D8-3DB8-4BC1-B49C-862CD4BD4040}"/>
    <cellStyle name="Título 3 2" xfId="4256" xr:uid="{E6565513-A87C-4581-A5BD-D3962306ED3A}"/>
    <cellStyle name="Título 3 2 2" xfId="4257" xr:uid="{51D6392A-1AC9-4AF6-AE2E-C3D12E31A020}"/>
    <cellStyle name="Título 3 2 2 2" xfId="4258" xr:uid="{F9EDBDC2-65E8-4078-AF05-E7421BCD73DE}"/>
    <cellStyle name="Título 3 2 2 2 2" xfId="4259" xr:uid="{FF049936-E080-4E68-8FB8-4A4632515D21}"/>
    <cellStyle name="Título 3 2 2 2 3" xfId="4260" xr:uid="{85838BB6-E679-4766-8153-F0096F94F154}"/>
    <cellStyle name="Título 3 2 2 3" xfId="4261" xr:uid="{DE92D7AC-1BB1-487F-A636-18AB21BCF98A}"/>
    <cellStyle name="Título 3 2 2 4" xfId="4262" xr:uid="{8C20DC5D-2BB8-4D7D-9CDC-8C80F168CE02}"/>
    <cellStyle name="Título 3 2 3" xfId="4263" xr:uid="{D41E8662-3E35-4175-84A7-2361EFE31FF1}"/>
    <cellStyle name="Título 3 2 3 2" xfId="4264" xr:uid="{2754D3E1-B876-427A-A5B6-8B098BEDAB63}"/>
    <cellStyle name="Título 3 2 3 2 2" xfId="4265" xr:uid="{48932144-7979-4DCF-B086-73C19DEA3C71}"/>
    <cellStyle name="Título 3 2 3 2 3" xfId="4266" xr:uid="{B4E74901-224F-4E80-B4E9-DFA7C7EDE403}"/>
    <cellStyle name="Título 3 2 3 3" xfId="4267" xr:uid="{0504D261-10CB-4C08-8635-A2DAF97D7EA6}"/>
    <cellStyle name="Título 3 2 3 4" xfId="4268" xr:uid="{C82E38FD-85F3-4620-B8D4-7792E53B3F0B}"/>
    <cellStyle name="Título 3 2 4" xfId="4269" xr:uid="{D8F7D008-5292-4972-919B-BAF6E5B0F701}"/>
    <cellStyle name="Título 3 2 5" xfId="4270" xr:uid="{76018513-6034-41A4-B4BD-4DB54B387259}"/>
    <cellStyle name="Título 3 2 6" xfId="4271" xr:uid="{37D0E3F6-868D-47EA-95DC-D92515632E73}"/>
    <cellStyle name="Título 3 20" xfId="4272" xr:uid="{295CF026-72B1-444F-AD97-F1E4B2BFA55C}"/>
    <cellStyle name="Título 3 20 2" xfId="4273" xr:uid="{D3D63CBF-BF49-44E8-931A-A047694738EE}"/>
    <cellStyle name="Título 3 20 2 2" xfId="4274" xr:uid="{1DC39D59-E8B2-4B36-AE5C-F994BC7426F7}"/>
    <cellStyle name="Título 3 20 2 3" xfId="4275" xr:uid="{52E1D69F-D086-491C-B5B5-12EFD94FBED2}"/>
    <cellStyle name="Título 3 20 3" xfId="4276" xr:uid="{A904E598-C740-448E-97F5-C49836DE0651}"/>
    <cellStyle name="Título 3 20 4" xfId="4277" xr:uid="{355003AC-4973-4709-AD5E-58DE050E3505}"/>
    <cellStyle name="Título 3 21" xfId="4278" xr:uid="{A34CC69A-CA5F-4097-BD47-0457F2E297B6}"/>
    <cellStyle name="Título 3 22" xfId="4279" xr:uid="{4AC35219-D254-46E7-8047-6F9BD26CB3E7}"/>
    <cellStyle name="Título 3 22 2" xfId="4280" xr:uid="{A099E14C-1EA5-439A-BE2E-832B3D9F85FE}"/>
    <cellStyle name="Título 3 22 3" xfId="4281" xr:uid="{ED7FAECB-A6F5-4946-A23B-A2A740EF2C25}"/>
    <cellStyle name="Título 3 23" xfId="4282" xr:uid="{A92474A2-A028-45AF-9705-5FB590AAC7D6}"/>
    <cellStyle name="Título 3 3" xfId="4283" xr:uid="{1F2F479B-20E7-411B-9E7B-1BE32FB81D8B}"/>
    <cellStyle name="Título 3 3 2" xfId="4284" xr:uid="{4ECAD271-20C2-4DA0-8C1B-3E023F8A7237}"/>
    <cellStyle name="Título 3 3 2 2" xfId="4285" xr:uid="{B6C081EA-5D34-4586-AC8F-884A24AF2EE5}"/>
    <cellStyle name="Título 3 3 2 3" xfId="4286" xr:uid="{70B38368-58F4-4F61-AB7A-3EC1D7EEF55A}"/>
    <cellStyle name="Título 3 3 3" xfId="4287" xr:uid="{869781CF-2D44-4C4E-8495-C32E59540A72}"/>
    <cellStyle name="Título 3 3 4" xfId="4288" xr:uid="{BAA7A5A4-524E-42E5-AB08-04CDEBD59AF4}"/>
    <cellStyle name="Título 3 3 5" xfId="4289" xr:uid="{9AA321A3-CB2D-4795-BB3A-6143085662C7}"/>
    <cellStyle name="Título 3 4" xfId="4290" xr:uid="{9CDB4699-9F3F-4CFB-8A76-6A902865C0C7}"/>
    <cellStyle name="Título 3 4 2" xfId="4291" xr:uid="{ADDBD69E-11F2-4026-8984-DAC27FBC0FEC}"/>
    <cellStyle name="Título 3 4 2 2" xfId="4292" xr:uid="{0996DBCC-F14B-4E91-A241-1BCAC2D239A9}"/>
    <cellStyle name="Título 3 4 2 3" xfId="4293" xr:uid="{CA27B078-CBF3-40A8-B3AE-55FF6B0B77AB}"/>
    <cellStyle name="Título 3 4 3" xfId="4294" xr:uid="{2BEF8E7F-595C-47D8-A560-CD66B61C3661}"/>
    <cellStyle name="Título 3 4 4" xfId="4295" xr:uid="{C259F72F-2F27-43C2-B605-2E3A7F26C47B}"/>
    <cellStyle name="Título 3 5" xfId="4296" xr:uid="{27022870-9CBE-44EE-B3EC-52D322E5B897}"/>
    <cellStyle name="Título 3 5 2" xfId="4297" xr:uid="{49E07467-CD27-4376-9A46-226E44F4EFD9}"/>
    <cellStyle name="Título 3 5 2 2" xfId="4298" xr:uid="{6A8A30BA-0068-4478-9BC4-01050A587A40}"/>
    <cellStyle name="Título 3 5 2 3" xfId="4299" xr:uid="{150E4F2D-B049-495D-A39D-C23FE5AFCD8E}"/>
    <cellStyle name="Título 3 5 3" xfId="4300" xr:uid="{8CE79A17-253F-4E2B-AE53-2E094A670393}"/>
    <cellStyle name="Título 3 5 4" xfId="4301" xr:uid="{13BA1B7A-CA65-445C-97BC-E4F8843713AD}"/>
    <cellStyle name="Título 3 6" xfId="4302" xr:uid="{96ED7108-EFDD-463A-9E82-C8EB17AC3CDF}"/>
    <cellStyle name="Título 3 6 2" xfId="4303" xr:uid="{19627C8F-3A1A-4096-A3E7-AA96900C286D}"/>
    <cellStyle name="Título 3 6 2 2" xfId="4304" xr:uid="{37313955-32C3-4340-8049-634AFDEA1DD1}"/>
    <cellStyle name="Título 3 6 2 3" xfId="4305" xr:uid="{08FBB190-A0BE-4CDA-8971-863D2F9CAB06}"/>
    <cellStyle name="Título 3 6 3" xfId="4306" xr:uid="{41D77B20-3DE4-4686-A9C9-12E52107D284}"/>
    <cellStyle name="Título 3 6 4" xfId="4307" xr:uid="{60B0F2EF-324F-44F7-BE2F-14C290AAD2C9}"/>
    <cellStyle name="Título 3 7" xfId="4308" xr:uid="{D98EB95C-DEC9-4B8D-9453-16F72B1FB500}"/>
    <cellStyle name="Título 3 7 2" xfId="4309" xr:uid="{6E9AFF64-EF86-420E-8F49-FF39F57ED48F}"/>
    <cellStyle name="Título 3 7 2 2" xfId="4310" xr:uid="{BFE277C3-840E-494D-AB69-28F7D9C1F5EA}"/>
    <cellStyle name="Título 3 7 2 3" xfId="4311" xr:uid="{CDB3C81E-B950-4F17-A965-AC125F382CA3}"/>
    <cellStyle name="Título 3 7 3" xfId="4312" xr:uid="{CF83149A-256F-4E8C-9201-D285DDBFCAB2}"/>
    <cellStyle name="Título 3 7 4" xfId="4313" xr:uid="{58045000-CA79-4266-AC06-7263A74B095A}"/>
    <cellStyle name="Título 3 8" xfId="4314" xr:uid="{B37AB21B-6BEA-4912-91CA-8326A2156EAB}"/>
    <cellStyle name="Título 3 8 2" xfId="4315" xr:uid="{2BC83DD2-E4EC-46FC-BA81-9F181CE91B16}"/>
    <cellStyle name="Título 3 8 2 2" xfId="4316" xr:uid="{F5C11266-D6F8-4036-B27F-1AE53E9A3FD3}"/>
    <cellStyle name="Título 3 8 2 3" xfId="4317" xr:uid="{41D80E4E-7907-4E28-80F7-2A3BCA13B917}"/>
    <cellStyle name="Título 3 8 3" xfId="4318" xr:uid="{4A6CCD88-AB6C-4049-A034-9180D533B70C}"/>
    <cellStyle name="Título 3 8 4" xfId="4319" xr:uid="{42F55BFF-3E3D-40A3-BB30-CCF6F50C83B7}"/>
    <cellStyle name="Título 3 9" xfId="4320" xr:uid="{23721AC1-A8FD-4D18-9C4F-1C52ABDDD49D}"/>
    <cellStyle name="Título 3 9 2" xfId="4321" xr:uid="{712FC933-5F0E-4FFE-B95E-C46998CD2465}"/>
    <cellStyle name="Título 3 9 2 2" xfId="4322" xr:uid="{0B8B4042-02BC-4915-84D6-26FACA9F2C9A}"/>
    <cellStyle name="Título 3 9 2 3" xfId="4323" xr:uid="{5AE50A12-2957-48C8-B70B-3B7DB28909EF}"/>
    <cellStyle name="Título 3 9 3" xfId="4324" xr:uid="{7A36052A-2986-489B-BB93-2B1ABD45EE43}"/>
    <cellStyle name="Título 3 9 4" xfId="4325" xr:uid="{073F21AA-0134-44C9-A75C-D736196DF9B4}"/>
    <cellStyle name="Título 4" xfId="4326" xr:uid="{A4886B0E-77D7-419E-9CD5-45F28574754C}"/>
    <cellStyle name="Título 5" xfId="4327" xr:uid="{D0FB17A6-9A24-447E-A738-C0DAF9D045C1}"/>
    <cellStyle name="Título 6" xfId="4328" xr:uid="{F4629145-0CCE-41FC-87D8-554E2CB889CE}"/>
    <cellStyle name="Título 7" xfId="4329" xr:uid="{C3EDCFDF-0CC2-4EF2-BE89-0F7E4A63DC65}"/>
    <cellStyle name="Título 8" xfId="4330" xr:uid="{F226F288-70FD-421C-87C3-17422159F960}"/>
    <cellStyle name="Título 9" xfId="4331" xr:uid="{E388B62A-9E6D-43CF-B2B8-74CB79530933}"/>
    <cellStyle name="titulomov" xfId="4332" xr:uid="{5C809FA3-43BC-46D2-ACF6-5762F5637D4C}"/>
    <cellStyle name="Todos" xfId="4333" xr:uid="{6F11DA3B-8FFB-4626-B05A-E7F1FCD9E93B}"/>
    <cellStyle name="Total" xfId="458" builtinId="25" customBuiltin="1"/>
    <cellStyle name="Total 10" xfId="4334" xr:uid="{817189AE-1205-42F3-A0F6-EC5A89176F67}"/>
    <cellStyle name="Total 10 2" xfId="4335" xr:uid="{FE3E1DFF-3E33-44D2-BAAF-3005B8A22B07}"/>
    <cellStyle name="Total 10 2 2" xfId="4336" xr:uid="{CA1D6064-3828-49E4-835C-0C7ED56B2987}"/>
    <cellStyle name="Total 10 3" xfId="4337" xr:uid="{09EF74A6-488B-4151-8285-C7B97FD236B2}"/>
    <cellStyle name="Total 10 3 2" xfId="4338" xr:uid="{29368B06-74DB-43B5-A879-14045B51537E}"/>
    <cellStyle name="Total 10 3 3" xfId="4339" xr:uid="{7E857360-1DEB-4FD4-A536-2D37C27709E3}"/>
    <cellStyle name="Total 11" xfId="4340" xr:uid="{377910CC-CF73-46BD-B276-F3DD81548EE2}"/>
    <cellStyle name="Total 11 2" xfId="4341" xr:uid="{ED28319A-FD2E-4D44-B8C0-AB5CDAEDB13A}"/>
    <cellStyle name="Total 11 2 2" xfId="4342" xr:uid="{B5EBEF2C-FD4F-437E-A70B-C6F6FAC16C14}"/>
    <cellStyle name="Total 11 3" xfId="4343" xr:uid="{331074FD-1D49-4828-B267-F3ED9FF193DF}"/>
    <cellStyle name="Total 11 3 2" xfId="4344" xr:uid="{E203E42E-89A8-44FB-B3F5-3627F475E8D3}"/>
    <cellStyle name="Total 11 3 3" xfId="4345" xr:uid="{21C03888-FAAE-4E2E-A068-019FFE7DC5B2}"/>
    <cellStyle name="Total 12" xfId="4346" xr:uid="{A6AEA676-0D01-4953-8E17-1F21C30B29F7}"/>
    <cellStyle name="Total 12 2" xfId="4347" xr:uid="{32A1860E-32B6-429A-8FEC-60ACA929730B}"/>
    <cellStyle name="Total 12 2 2" xfId="4348" xr:uid="{342A5037-CF0E-415F-A13B-11C62C56AF0A}"/>
    <cellStyle name="Total 12 3" xfId="4349" xr:uid="{5EF73E80-54C4-46F4-A81A-473955CCA3B0}"/>
    <cellStyle name="Total 12 3 2" xfId="4350" xr:uid="{A7F6D7B3-EE98-4521-9C1B-3B668C742020}"/>
    <cellStyle name="Total 12 3 3" xfId="4351" xr:uid="{61283139-1A06-4A56-87D9-0A73B09614D2}"/>
    <cellStyle name="Total 13" xfId="4352" xr:uid="{053CB6F2-D9F5-4EA9-BFD0-ADF9C2647C8F}"/>
    <cellStyle name="Total 13 2" xfId="4353" xr:uid="{B89855FF-FBDB-4B69-BD97-D912E242E619}"/>
    <cellStyle name="Total 13 2 2" xfId="4354" xr:uid="{D45C62D9-A474-449A-B82B-B280605DC6D6}"/>
    <cellStyle name="Total 13 3" xfId="4355" xr:uid="{607EC398-A934-4415-AC64-6985308C04FE}"/>
    <cellStyle name="Total 13 3 2" xfId="4356" xr:uid="{DBC76AE6-7D3A-4BA6-BED0-155CB9A7EA4C}"/>
    <cellStyle name="Total 13 3 3" xfId="4357" xr:uid="{2C2EEBAC-A521-4DA9-868D-73972912B293}"/>
    <cellStyle name="Total 14" xfId="4358" xr:uid="{11881E47-9A0F-4142-B58D-61F91795A0F7}"/>
    <cellStyle name="Total 14 2" xfId="4359" xr:uid="{11AD067A-BAF4-44FF-B22E-40DB1585093C}"/>
    <cellStyle name="Total 14 2 2" xfId="4360" xr:uid="{3550ADD8-AE15-4E31-9F86-8C828AA20E15}"/>
    <cellStyle name="Total 14 3" xfId="4361" xr:uid="{DBCCA99D-6D2D-4561-AF00-130CD89FFCD6}"/>
    <cellStyle name="Total 14 3 2" xfId="4362" xr:uid="{39358F69-24C4-4916-9175-05BB9EC96052}"/>
    <cellStyle name="Total 14 3 3" xfId="4363" xr:uid="{3E463B10-CBBF-4E3A-864F-DFEB51693F1D}"/>
    <cellStyle name="Total 15" xfId="4364" xr:uid="{8D8838C3-416F-473F-B305-1DB381D9018B}"/>
    <cellStyle name="Total 15 2" xfId="4365" xr:uid="{EE3A01A3-F496-4068-B1C0-96B5004E6919}"/>
    <cellStyle name="Total 15 2 2" xfId="4366" xr:uid="{7B5C5249-2810-40E9-8372-ADCCD0FA3417}"/>
    <cellStyle name="Total 15 3" xfId="4367" xr:uid="{FFA390B3-2223-437F-B571-7B49309D6641}"/>
    <cellStyle name="Total 15 3 2" xfId="4368" xr:uid="{0B99AC82-0FC0-4892-B336-A9C654717830}"/>
    <cellStyle name="Total 15 3 3" xfId="4369" xr:uid="{164E6840-3E03-469B-80D0-159C8BFEAE9A}"/>
    <cellStyle name="Total 16" xfId="4370" xr:uid="{42984372-0C14-4876-A9BC-6DAA74D3EC14}"/>
    <cellStyle name="Total 16 2" xfId="4371" xr:uid="{3E088C0A-B762-4F8F-B816-04A7FD5DBA28}"/>
    <cellStyle name="Total 16 2 2" xfId="4372" xr:uid="{8BE25234-B6D9-4BF5-85AA-487357653C3C}"/>
    <cellStyle name="Total 16 3" xfId="4373" xr:uid="{28FC60A7-C9E9-4EDF-80FB-13F6BFBEC49B}"/>
    <cellStyle name="Total 16 3 2" xfId="4374" xr:uid="{2CD1F75B-6E6C-46E1-9BEA-262E42A89164}"/>
    <cellStyle name="Total 16 3 3" xfId="4375" xr:uid="{8C82C6CD-4E78-4145-AF97-50B5A21663B5}"/>
    <cellStyle name="Total 17" xfId="4376" xr:uid="{13448038-12F6-4376-A402-6596DC7F9ACA}"/>
    <cellStyle name="Total 17 2" xfId="4377" xr:uid="{B7753275-E606-47D0-AD17-0E0A54C7F98C}"/>
    <cellStyle name="Total 17 2 2" xfId="4378" xr:uid="{DCBC2E50-B925-479A-9EF2-1A3DF497B860}"/>
    <cellStyle name="Total 17 3" xfId="4379" xr:uid="{D9519F84-7924-436A-AD04-465C0AECF437}"/>
    <cellStyle name="Total 17 3 2" xfId="4380" xr:uid="{3EFD7BC0-8C10-4D60-A13A-8397479D93FB}"/>
    <cellStyle name="Total 17 3 3" xfId="4381" xr:uid="{BE9052B4-4040-4D7D-BD47-22B690FC16EE}"/>
    <cellStyle name="Total 18" xfId="4382" xr:uid="{1CC4AC44-D9F3-4B53-BF84-ABAB0DB76316}"/>
    <cellStyle name="Total 18 2" xfId="4383" xr:uid="{99ED2B6E-E7A8-458D-8841-DEC46A4152BF}"/>
    <cellStyle name="Total 18 2 2" xfId="4384" xr:uid="{20D6DA5F-46F5-410F-8078-986C09BD6406}"/>
    <cellStyle name="Total 18 3" xfId="4385" xr:uid="{8FA3C18F-40CB-4428-8797-63E4D981F2E1}"/>
    <cellStyle name="Total 18 3 2" xfId="4386" xr:uid="{AFF1594B-072B-4073-9B3C-097151655DB0}"/>
    <cellStyle name="Total 18 3 3" xfId="4387" xr:uid="{2DC0E03E-1E30-4F65-A6AC-A7E1F5FD9023}"/>
    <cellStyle name="Total 19" xfId="4388" xr:uid="{A1CD4138-AB7F-4A67-A10B-73E50053465D}"/>
    <cellStyle name="Total 19 2" xfId="4389" xr:uid="{4AA8B24E-2D22-4C69-BCF6-E885E7776BA2}"/>
    <cellStyle name="Total 19 2 2" xfId="4390" xr:uid="{6B6D27E7-A5F9-4180-9BAF-02DBBCD10B20}"/>
    <cellStyle name="Total 19 3" xfId="4391" xr:uid="{5AF51E1C-69FC-4678-89BF-AEE62043FB00}"/>
    <cellStyle name="Total 19 3 2" xfId="4392" xr:uid="{A5833B0C-9CF0-431C-B5DB-5A17C55F7C2F}"/>
    <cellStyle name="Total 19 3 3" xfId="4393" xr:uid="{1242D30D-025D-4A07-B637-A275C5B1DDB6}"/>
    <cellStyle name="Total 2" xfId="396" xr:uid="{BA2B84D7-F8AC-4274-BBBB-F3E4AF36A89C}"/>
    <cellStyle name="Total 2 2" xfId="4395" xr:uid="{6C9625C5-468D-401D-9293-22CF5EDFEFD8}"/>
    <cellStyle name="Total 2 2 2" xfId="4396" xr:uid="{4119B404-F573-47BE-9D11-F3E2BFEEF3FB}"/>
    <cellStyle name="Total 2 2 2 2" xfId="4397" xr:uid="{FC0B1451-BC4E-4826-9DE7-D32EF7A8DB2A}"/>
    <cellStyle name="Total 2 2 3" xfId="4398" xr:uid="{851CF8A1-DDB1-4025-8916-1338E69157DD}"/>
    <cellStyle name="Total 2 2 3 2" xfId="4399" xr:uid="{3753A06D-279A-4C92-9210-16BF64437086}"/>
    <cellStyle name="Total 2 2 3 3" xfId="4400" xr:uid="{DC401923-7550-4EBB-8C40-8F944F0F3C1A}"/>
    <cellStyle name="Total 2 2 4" xfId="4401" xr:uid="{F8CA9253-0A0E-4DC5-96CA-A873AF11EDE2}"/>
    <cellStyle name="Total 2 3" xfId="4402" xr:uid="{70A87B6A-3D44-4458-BD62-A454F468DBE1}"/>
    <cellStyle name="Total 2 3 2" xfId="4403" xr:uid="{9B8A3156-6314-4D36-94B7-35D1F8B6211B}"/>
    <cellStyle name="Total 2 4" xfId="4404" xr:uid="{0E5C1FAD-BF5A-4E65-838D-EC110CEB514A}"/>
    <cellStyle name="Total 2 4 2" xfId="4405" xr:uid="{8AC57325-C45A-49B0-8143-25DCEA4C8104}"/>
    <cellStyle name="Total 2 4 3" xfId="4406" xr:uid="{E117F690-7AAE-44E3-A2B7-126EFAAF0970}"/>
    <cellStyle name="Total 2 5" xfId="4407" xr:uid="{C7DB1622-B4B0-4487-8B08-638EE5B03504}"/>
    <cellStyle name="Total 2 6" xfId="4394" xr:uid="{B5F0613A-48AF-4311-972A-22AC3835EF1A}"/>
    <cellStyle name="Total 20" xfId="4408" xr:uid="{29DF6BBC-F2A1-452F-862B-0CFBF9E32518}"/>
    <cellStyle name="Total 20 2" xfId="4409" xr:uid="{3DE8DE7E-B25B-4AC1-9378-97782C74C7DE}"/>
    <cellStyle name="Total 20 2 2" xfId="4410" xr:uid="{21BA8D81-D199-47CE-A474-FC10581BE26A}"/>
    <cellStyle name="Total 20 3" xfId="4411" xr:uid="{904CC888-3484-4084-98DD-A569672E608B}"/>
    <cellStyle name="Total 20 3 2" xfId="4412" xr:uid="{FBC83227-38D9-4039-BDAA-361DA79F7E2E}"/>
    <cellStyle name="Total 20 3 3" xfId="4413" xr:uid="{526E9F70-C415-4BD3-913B-2D4268F24B45}"/>
    <cellStyle name="Total 21" xfId="4414" xr:uid="{E9C09B67-4AB2-49EB-896F-F46C5D9580E0}"/>
    <cellStyle name="Total 22" xfId="4415" xr:uid="{91E3A504-B75F-4C7A-A276-3FAC6D916EA8}"/>
    <cellStyle name="Total 22 2" xfId="4416" xr:uid="{E5183806-D1A6-4F4F-AA9F-EC877D4E4893}"/>
    <cellStyle name="Total 23" xfId="4417" xr:uid="{7CDC3A03-B9C5-4E3D-8E8B-D3B22D3ED886}"/>
    <cellStyle name="Total 3" xfId="4418" xr:uid="{A0F42477-FA99-4018-AE1A-AFF32B40FDE6}"/>
    <cellStyle name="Total 3 2" xfId="4419" xr:uid="{45D4DE21-2876-4B8A-8041-B5F331100AFB}"/>
    <cellStyle name="Total 3 2 2" xfId="4420" xr:uid="{05CCF331-BAF2-40F6-8D67-84D9E3769472}"/>
    <cellStyle name="Total 3 3" xfId="4421" xr:uid="{206A5C97-0971-4D30-890E-9EFF208A342C}"/>
    <cellStyle name="Total 3 3 2" xfId="4422" xr:uid="{4C648BD9-FD4D-4244-A7DD-75C1AD79785A}"/>
    <cellStyle name="Total 3 3 3" xfId="4423" xr:uid="{FA77474D-883F-4C6F-BD95-656DDBC82711}"/>
    <cellStyle name="Total 3 4" xfId="4424" xr:uid="{1BED363F-2A8D-4962-99E4-1838A7BFA2B1}"/>
    <cellStyle name="Total 4" xfId="4425" xr:uid="{32E7E7D8-0A49-4F72-98DE-CE4F8D139231}"/>
    <cellStyle name="Total 4 2" xfId="4426" xr:uid="{84207BD8-EA81-486A-80F1-D1625CB8D2D9}"/>
    <cellStyle name="Total 4 2 2" xfId="4427" xr:uid="{1DA86F29-3AE3-4268-A3CC-21B29171800E}"/>
    <cellStyle name="Total 4 3" xfId="4428" xr:uid="{5A3EE9DB-0CBB-458C-8058-F0BE51D8208F}"/>
    <cellStyle name="Total 4 3 2" xfId="4429" xr:uid="{809EECF4-30C4-452E-B776-BEFE89587861}"/>
    <cellStyle name="Total 4 3 3" xfId="4430" xr:uid="{A6FA3A75-BD5B-4548-B45B-24BF96E9C0C5}"/>
    <cellStyle name="Total 5" xfId="4431" xr:uid="{A6CA7029-48B1-4756-8CD7-F23DCA6E936C}"/>
    <cellStyle name="Total 5 2" xfId="4432" xr:uid="{F3FACDCB-55B9-401D-8330-3A23A049B4FD}"/>
    <cellStyle name="Total 5 2 2" xfId="4433" xr:uid="{D8A24D65-B05E-45EA-8B01-7586E67F7B17}"/>
    <cellStyle name="Total 5 3" xfId="4434" xr:uid="{53803305-895A-4BFA-AB7B-F39129FC2176}"/>
    <cellStyle name="Total 5 3 2" xfId="4435" xr:uid="{C6871612-203C-415F-B678-D987B3D4F169}"/>
    <cellStyle name="Total 5 3 3" xfId="4436" xr:uid="{CDFDA77E-23E8-41B4-BA98-3C52944A9EFE}"/>
    <cellStyle name="Total 6" xfId="4437" xr:uid="{7507EF63-148A-4DB9-A57F-6AA9F2CD0702}"/>
    <cellStyle name="Total 6 2" xfId="4438" xr:uid="{B44EE847-FF5A-4D6D-8C98-0C21A1AFEFBE}"/>
    <cellStyle name="Total 6 2 2" xfId="4439" xr:uid="{DBB5FD16-E281-4F48-9AEC-D1061265ED51}"/>
    <cellStyle name="Total 6 3" xfId="4440" xr:uid="{539119C3-4649-4E0A-A44C-3948C0859BFE}"/>
    <cellStyle name="Total 6 3 2" xfId="4441" xr:uid="{8C2AA1A4-2A79-44AA-999B-5FE303A78897}"/>
    <cellStyle name="Total 6 3 3" xfId="4442" xr:uid="{E8D8CF76-499C-45C9-9BA7-46F3041A5A2C}"/>
    <cellStyle name="Total 7" xfId="4443" xr:uid="{829C080E-2FF5-4CF5-AB64-A1FCA69C533C}"/>
    <cellStyle name="Total 7 2" xfId="4444" xr:uid="{4F592C6B-D51C-4283-9969-5D4ACEA2410D}"/>
    <cellStyle name="Total 7 2 2" xfId="4445" xr:uid="{2FC74A27-42FC-4F79-9E42-2D602C850954}"/>
    <cellStyle name="Total 7 3" xfId="4446" xr:uid="{57C11571-F2EC-41DF-899A-CCE88756F429}"/>
    <cellStyle name="Total 7 3 2" xfId="4447" xr:uid="{C8E390C1-62A3-4515-8FAA-EBB7800BCA62}"/>
    <cellStyle name="Total 7 3 3" xfId="4448" xr:uid="{8318FC9B-058B-4015-ABA8-2C0B1C91C1B3}"/>
    <cellStyle name="Total 8" xfId="4449" xr:uid="{0A76C94E-D32C-483C-89A6-6F4AD84149E8}"/>
    <cellStyle name="Total 8 2" xfId="4450" xr:uid="{D92973B5-C023-4EBD-8ECE-DCD4E31C05BE}"/>
    <cellStyle name="Total 8 2 2" xfId="4451" xr:uid="{FB1BDFB2-82CE-4FDF-9113-FD81B0747D1C}"/>
    <cellStyle name="Total 8 3" xfId="4452" xr:uid="{213D4FF6-8E43-438B-B801-7DAD825C6EFD}"/>
    <cellStyle name="Total 8 3 2" xfId="4453" xr:uid="{42FBC583-4DA9-4CA2-864A-FC0132B5E19B}"/>
    <cellStyle name="Total 8 3 2 2" xfId="4454" xr:uid="{C19FD6F9-AA5B-4BC9-A85B-15E21A9B6648}"/>
    <cellStyle name="Total 8 3 3" xfId="4455" xr:uid="{19A4D42F-8D47-464C-8E6E-FF14DA273F2E}"/>
    <cellStyle name="Total 8 3 3 2" xfId="4456" xr:uid="{E5FF81BA-955B-437A-B0EB-C30B2CD59984}"/>
    <cellStyle name="Total 9" xfId="4457" xr:uid="{EB9500EE-FD0C-4BD4-AACC-38F6B75D0192}"/>
    <cellStyle name="Total 9 2" xfId="4458" xr:uid="{E74EA822-E6EA-417B-9B1F-C7B9DCDC45E5}"/>
    <cellStyle name="Total 9 2 2" xfId="4459" xr:uid="{D346853A-244E-4997-A86C-F8FF1A4D2EB1}"/>
    <cellStyle name="Total 9 2 2 2" xfId="4460" xr:uid="{51C745E9-6EED-4505-9B5D-FCB623366137}"/>
    <cellStyle name="Total 9 2 3" xfId="4461" xr:uid="{9FD80BFB-34CA-4492-BD77-541AC801DF3D}"/>
    <cellStyle name="Total 9 3" xfId="4462" xr:uid="{2C3A3716-7168-4147-B909-8662B90C65BE}"/>
    <cellStyle name="Total 9 3 2" xfId="4463" xr:uid="{529D2732-0066-4BF3-972D-861260F08E19}"/>
    <cellStyle name="Total 9 3 2 2" xfId="4464" xr:uid="{419ECAB9-F7BC-48E4-B8CE-F173667344E7}"/>
    <cellStyle name="Total 9 3 3" xfId="4465" xr:uid="{0EC2ABDD-E75F-4A10-83FE-E93672956F64}"/>
    <cellStyle name="Total 9 3 3 2" xfId="4466" xr:uid="{E46657BE-1D60-4E76-A883-059D05AC8D57}"/>
    <cellStyle name="Total 9 3 4" xfId="4467" xr:uid="{C30AD067-027F-4B76-AD92-04AC330F0863}"/>
    <cellStyle name="Total 9 4" xfId="4468" xr:uid="{3A508FF6-1112-47A8-9ACE-71090FB4D40B}"/>
    <cellStyle name="totalbalan" xfId="4469" xr:uid="{E63BD9B6-874C-4653-AFA0-CED68379AFEE}"/>
    <cellStyle name="totalbalan 2" xfId="4470" xr:uid="{6E89F819-F4D3-4BE9-AEE0-BC098F6FD98F}"/>
    <cellStyle name="Vírgula 2" xfId="4471" xr:uid="{34699615-A535-41D7-BDCB-3625B35A5AAE}"/>
    <cellStyle name="Vírgula 2 2" xfId="4472" xr:uid="{295C16AC-1E07-410D-9A8A-3DEA5A7942EC}"/>
    <cellStyle name="Vírgula 3" xfId="4473" xr:uid="{D0759CB1-802D-461C-B035-B00DA8D739B8}"/>
    <cellStyle name="Vírgula 3 2" xfId="4474" xr:uid="{E1BD2A4E-C076-4453-ACF9-E3FDD00E102E}"/>
    <cellStyle name="Vírgula 4" xfId="4475" xr:uid="{35FCED76-3F31-4913-8CE2-3729A21524F4}"/>
    <cellStyle name="Vírgula 4 2" xfId="4476" xr:uid="{DA07B65F-C5B7-493E-AC07-8722A562F4FB}"/>
    <cellStyle name="Vírgula 4 2 2" xfId="4477" xr:uid="{904EE7F0-5EEC-4E73-93AE-C83CD5B922FE}"/>
    <cellStyle name="Vírgula 4 3" xfId="4478" xr:uid="{8292A5AD-6629-4111-B34C-4546E36E776A}"/>
    <cellStyle name="Vírgula 4 3 2" xfId="4479" xr:uid="{6EEA0FB2-2E0D-42A2-9C95-1C4599EC8242}"/>
    <cellStyle name="Vírgula 4 3 3" xfId="4480" xr:uid="{F4A91D2A-ABC5-4659-9CAA-CF17935F48F5}"/>
    <cellStyle name="Vírgula 4 4" xfId="4481" xr:uid="{8AA30FCF-4A8C-4F2F-A741-B834B8027F55}"/>
    <cellStyle name="Vírgula 4 4 2" xfId="4482" xr:uid="{419E78DB-6C6E-4A4C-82E5-03E558F4FDB0}"/>
    <cellStyle name="Vírgula 4 4 2 2" xfId="4483" xr:uid="{74CD60A6-56A9-48FD-9D29-2DF735745411}"/>
    <cellStyle name="Vírgula 4 4 3" xfId="4484" xr:uid="{4FB615E6-8053-47B4-BEDE-5F0B8D1993AB}"/>
    <cellStyle name="Vírgula 4 4 4" xfId="4485" xr:uid="{15A82A34-179E-43D9-BCAE-35EF910B9055}"/>
    <cellStyle name="Vírgula 4 5" xfId="4486" xr:uid="{50606E08-322C-48BF-A25F-4FA43813A56E}"/>
    <cellStyle name="Vírgula 4 5 2" xfId="4487" xr:uid="{244E37E0-1858-451F-86B3-D460799B284C}"/>
    <cellStyle name="Vírgula 4 5 2 2" xfId="4488" xr:uid="{DDAA4DDB-6805-44DA-AD61-E403876FD28E}"/>
    <cellStyle name="Vírgula 4 5 2 3" xfId="4489" xr:uid="{BCD0EFA1-2BCC-4C11-9620-1819A9D46984}"/>
    <cellStyle name="Vírgula 4 5 3" xfId="4490" xr:uid="{813AE311-251B-4088-8319-5096C6B9E29B}"/>
    <cellStyle name="Vírgula 4 5 4" xfId="4491" xr:uid="{19706758-A91C-4E3E-89DF-A8D33BC6ECE0}"/>
    <cellStyle name="Vírgula 4 6" xfId="4492" xr:uid="{04ACA0E0-3AF4-4620-BBDC-F0B17916A2C6}"/>
    <cellStyle name="Vírgula 4 7" xfId="4493" xr:uid="{CC8FB342-078E-4256-B9FC-E75F0ED34CBF}"/>
    <cellStyle name="Warning Text" xfId="456" builtinId="11" customBuiltin="1"/>
    <cellStyle name="Warning Text 2" xfId="398" xr:uid="{C63B7A2E-57A6-4144-92BC-53553C1A38A9}"/>
    <cellStyle name="Warning Text 2 2" xfId="4494" xr:uid="{AC647131-DBC1-4300-8E98-5814C1B04F29}"/>
  </cellStyles>
  <dxfs count="0"/>
  <tableStyles count="0" defaultTableStyle="TableStyleMedium2" defaultPivotStyle="PivotStyleLight16"/>
  <colors>
    <mruColors>
      <color rgb="FFB889DB"/>
      <color rgb="FFFF3300"/>
      <color rgb="FFEFF6EA"/>
      <color rgb="FF3333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trlProps/ctrlProp1.xml><?xml version="1.0" encoding="utf-8"?>
<formControlPr xmlns="http://schemas.microsoft.com/office/spreadsheetml/2009/9/main" objectType="Drop" dropStyle="combo" dx="39" fmlaLink="$A$4" fmlaRange="$A$5:$A$7" noThreeD="1" sel="1" val="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png"/><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1</xdr:rowOff>
    </xdr:from>
    <xdr:to>
      <xdr:col>4</xdr:col>
      <xdr:colOff>14325</xdr:colOff>
      <xdr:row>12</xdr:row>
      <xdr:rowOff>38212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525" y="1"/>
          <a:ext cx="5796000" cy="2324211"/>
        </a:xfrm>
        <a:prstGeom prst="rect">
          <a:avLst/>
        </a:prstGeom>
      </xdr:spPr>
    </xdr:pic>
    <xdr:clientData/>
  </xdr:twoCellAnchor>
  <xdr:twoCellAnchor editAs="oneCell">
    <xdr:from>
      <xdr:col>0</xdr:col>
      <xdr:colOff>19050</xdr:colOff>
      <xdr:row>38</xdr:row>
      <xdr:rowOff>0</xdr:rowOff>
    </xdr:from>
    <xdr:to>
      <xdr:col>1</xdr:col>
      <xdr:colOff>2683</xdr:colOff>
      <xdr:row>41</xdr:row>
      <xdr:rowOff>4500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620" t="8935" r="7748" b="12927"/>
        <a:stretch/>
      </xdr:blipFill>
      <xdr:spPr>
        <a:xfrm>
          <a:off x="19050" y="8810625"/>
          <a:ext cx="1431433" cy="576000"/>
        </a:xfrm>
        <a:prstGeom prst="rect">
          <a:avLst/>
        </a:prstGeom>
      </xdr:spPr>
    </xdr:pic>
    <xdr:clientData/>
  </xdr:twoCellAnchor>
  <xdr:twoCellAnchor editAs="oneCell">
    <xdr:from>
      <xdr:col>1</xdr:col>
      <xdr:colOff>509323</xdr:colOff>
      <xdr:row>38</xdr:row>
      <xdr:rowOff>0</xdr:rowOff>
    </xdr:from>
    <xdr:to>
      <xdr:col>2</xdr:col>
      <xdr:colOff>312511</xdr:colOff>
      <xdr:row>41</xdr:row>
      <xdr:rowOff>4500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57123" y="8810625"/>
          <a:ext cx="1250988" cy="576000"/>
        </a:xfrm>
        <a:prstGeom prst="rect">
          <a:avLst/>
        </a:prstGeom>
      </xdr:spPr>
    </xdr:pic>
    <xdr:clientData/>
  </xdr:twoCellAnchor>
  <xdr:twoCellAnchor editAs="oneCell">
    <xdr:from>
      <xdr:col>2</xdr:col>
      <xdr:colOff>838201</xdr:colOff>
      <xdr:row>38</xdr:row>
      <xdr:rowOff>0</xdr:rowOff>
    </xdr:from>
    <xdr:to>
      <xdr:col>3</xdr:col>
      <xdr:colOff>1408474</xdr:colOff>
      <xdr:row>41</xdr:row>
      <xdr:rowOff>4500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33801" y="8810625"/>
          <a:ext cx="2018073" cy="576000"/>
        </a:xfrm>
        <a:prstGeom prst="rect">
          <a:avLst/>
        </a:prstGeom>
      </xdr:spPr>
    </xdr:pic>
    <xdr:clientData/>
  </xdr:twoCellAnchor>
  <xdr:twoCellAnchor editAs="oneCell">
    <xdr:from>
      <xdr:col>2</xdr:col>
      <xdr:colOff>732675</xdr:colOff>
      <xdr:row>33</xdr:row>
      <xdr:rowOff>104775</xdr:rowOff>
    </xdr:from>
    <xdr:to>
      <xdr:col>3</xdr:col>
      <xdr:colOff>685800</xdr:colOff>
      <xdr:row>36</xdr:row>
      <xdr:rowOff>109275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69" t="6565" r="4012" b="6338"/>
        <a:stretch/>
      </xdr:blipFill>
      <xdr:spPr>
        <a:xfrm>
          <a:off x="3628275" y="7962900"/>
          <a:ext cx="1400925" cy="576000"/>
        </a:xfrm>
        <a:prstGeom prst="rect">
          <a:avLst/>
        </a:prstGeom>
      </xdr:spPr>
    </xdr:pic>
    <xdr:clientData/>
  </xdr:twoCellAnchor>
  <xdr:twoCellAnchor editAs="oneCell">
    <xdr:from>
      <xdr:col>0</xdr:col>
      <xdr:colOff>666750</xdr:colOff>
      <xdr:row>34</xdr:row>
      <xdr:rowOff>28575</xdr:rowOff>
    </xdr:from>
    <xdr:to>
      <xdr:col>1</xdr:col>
      <xdr:colOff>895350</xdr:colOff>
      <xdr:row>36</xdr:row>
      <xdr:rowOff>76200</xdr:rowOff>
    </xdr:to>
    <xdr:pic>
      <xdr:nvPicPr>
        <xdr:cNvPr id="7" name="Picture 6">
          <a:extLst>
            <a:ext uri="{FF2B5EF4-FFF2-40B4-BE49-F238E27FC236}">
              <a16:creationId xmlns:a16="http://schemas.microsoft.com/office/drawing/2014/main" id="{00000000-0008-0000-0000-000007000000}"/>
            </a:ext>
            <a:ext uri="{147F2762-F138-4A5C-976F-8EAC2B608ADB}">
              <a16:predDERef xmlns:a16="http://schemas.microsoft.com/office/drawing/2014/main" pred="{B1489C0F-1609-4587-A5BA-D0B99739EA08}"/>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000" t="26200" r="4000" b="26199"/>
        <a:stretch/>
      </xdr:blipFill>
      <xdr:spPr bwMode="auto">
        <a:xfrm>
          <a:off x="666750" y="8077200"/>
          <a:ext cx="16764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12</xdr:row>
      <xdr:rowOff>0</xdr:rowOff>
    </xdr:from>
    <xdr:to>
      <xdr:col>21</xdr:col>
      <xdr:colOff>215249</xdr:colOff>
      <xdr:row>23</xdr:row>
      <xdr:rowOff>29984</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7477125" y="2246313"/>
          <a:ext cx="8573437" cy="2093734"/>
          <a:chOff x="8912547" y="56728659"/>
          <a:chExt cx="8335547" cy="1242571"/>
        </a:xfrm>
      </xdr:grpSpPr>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0651701" y="56999230"/>
            <a:ext cx="1728558" cy="9720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E" sz="1600" b="1"/>
              <a:t>Light-duty</a:t>
            </a:r>
            <a:r>
              <a:rPr lang="en-IE" sz="1600" b="1" baseline="0"/>
              <a:t> vehicle (numbers, km/yr)</a:t>
            </a:r>
          </a:p>
          <a:p>
            <a:pPr algn="ctr"/>
            <a:r>
              <a:rPr lang="en-IE" sz="1600" b="1" baseline="0"/>
              <a:t>Eff = BV.km/PJ</a:t>
            </a:r>
            <a:endParaRPr lang="en-IE" sz="1600" b="1"/>
          </a:p>
        </xdr:txBody>
      </xdr:sp>
      <xdr:cxnSp macro="">
        <xdr:nvCxnSpPr>
          <xdr:cNvPr id="4" name="Straight Arrow Connector 3">
            <a:extLst>
              <a:ext uri="{FF2B5EF4-FFF2-40B4-BE49-F238E27FC236}">
                <a16:creationId xmlns:a16="http://schemas.microsoft.com/office/drawing/2014/main" id="{00000000-0008-0000-0100-000004000000}"/>
              </a:ext>
            </a:extLst>
          </xdr:cNvPr>
          <xdr:cNvCxnSpPr/>
        </xdr:nvCxnSpPr>
        <xdr:spPr>
          <a:xfrm>
            <a:off x="10165976" y="57471507"/>
            <a:ext cx="485725"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xnSp macro="">
        <xdr:nvCxnSpPr>
          <xdr:cNvPr id="5" name="Straight Arrow Connector 4">
            <a:extLst>
              <a:ext uri="{FF2B5EF4-FFF2-40B4-BE49-F238E27FC236}">
                <a16:creationId xmlns:a16="http://schemas.microsoft.com/office/drawing/2014/main" id="{00000000-0008-0000-0100-000005000000}"/>
              </a:ext>
            </a:extLst>
          </xdr:cNvPr>
          <xdr:cNvCxnSpPr>
            <a:stCxn id="3" idx="3"/>
            <a:endCxn id="7" idx="1"/>
          </xdr:cNvCxnSpPr>
        </xdr:nvCxnSpPr>
        <xdr:spPr>
          <a:xfrm flipV="1">
            <a:off x="12380259" y="57480471"/>
            <a:ext cx="521582" cy="4759"/>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8912547" y="57304030"/>
            <a:ext cx="1253429" cy="317024"/>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wrap="square" rtlCol="0" anchor="ctr"/>
          <a:lstStyle/>
          <a:p>
            <a:pPr algn="ctr"/>
            <a:r>
              <a:rPr lang="en-IE" sz="1600" b="1"/>
              <a:t>Energy (PJ)</a:t>
            </a:r>
          </a:p>
        </xdr:txBody>
      </xdr:sp>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2901841" y="57321959"/>
            <a:ext cx="1352041" cy="317024"/>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wrap="square" rtlCol="0" anchor="ctr"/>
          <a:lstStyle/>
          <a:p>
            <a:pPr algn="ctr"/>
            <a:r>
              <a:rPr lang="en-IE" sz="1600" b="1"/>
              <a:t>Million B.km</a:t>
            </a:r>
          </a:p>
        </xdr:txBody>
      </xdr:sp>
      <xdr:cxnSp macro="">
        <xdr:nvCxnSpPr>
          <xdr:cNvPr id="8" name="Straight Arrow Connector 7">
            <a:extLst>
              <a:ext uri="{FF2B5EF4-FFF2-40B4-BE49-F238E27FC236}">
                <a16:creationId xmlns:a16="http://schemas.microsoft.com/office/drawing/2014/main" id="{00000000-0008-0000-0100-000008000000}"/>
              </a:ext>
            </a:extLst>
          </xdr:cNvPr>
          <xdr:cNvCxnSpPr>
            <a:stCxn id="7" idx="3"/>
          </xdr:cNvCxnSpPr>
        </xdr:nvCxnSpPr>
        <xdr:spPr>
          <a:xfrm flipV="1">
            <a:off x="14253882" y="57478027"/>
            <a:ext cx="1296422" cy="2444"/>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4137341" y="56728659"/>
            <a:ext cx="1335741" cy="484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E" sz="1100" b="1"/>
              <a:t>Occupancy rate (Passenger/Vehicle)</a:t>
            </a:r>
          </a:p>
        </xdr:txBody>
      </xdr:sp>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5546429" y="57132069"/>
            <a:ext cx="1701665" cy="717177"/>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IE" sz="1600" b="1"/>
              <a:t>Demand:</a:t>
            </a:r>
          </a:p>
          <a:p>
            <a:pPr algn="ctr"/>
            <a:r>
              <a:rPr lang="en-IE" sz="1600" b="1"/>
              <a:t>Billion</a:t>
            </a:r>
            <a:r>
              <a:rPr lang="en-IE" sz="1600" b="1" baseline="0"/>
              <a:t> </a:t>
            </a:r>
            <a:r>
              <a:rPr lang="en-IE" sz="1600" b="1"/>
              <a:t>P.km</a:t>
            </a:r>
          </a:p>
        </xdr:txBody>
      </xdr:sp>
      <xdr:cxnSp macro="">
        <xdr:nvCxnSpPr>
          <xdr:cNvPr id="11" name="Straight Arrow Connector 10">
            <a:extLst>
              <a:ext uri="{FF2B5EF4-FFF2-40B4-BE49-F238E27FC236}">
                <a16:creationId xmlns:a16="http://schemas.microsoft.com/office/drawing/2014/main" id="{00000000-0008-0000-0100-00000B000000}"/>
              </a:ext>
            </a:extLst>
          </xdr:cNvPr>
          <xdr:cNvCxnSpPr>
            <a:stCxn id="9" idx="2"/>
          </xdr:cNvCxnSpPr>
        </xdr:nvCxnSpPr>
        <xdr:spPr>
          <a:xfrm>
            <a:off x="14805212" y="57212753"/>
            <a:ext cx="4482" cy="28687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1</xdr:col>
          <xdr:colOff>19050</xdr:colOff>
          <xdr:row>3</xdr:row>
          <xdr:rowOff>0</xdr:rowOff>
        </xdr:to>
        <xdr:sp macro="" textlink="">
          <xdr:nvSpPr>
            <xdr:cNvPr id="465921" name="Drop Down 1" hidden="1">
              <a:extLst>
                <a:ext uri="{63B3BB69-23CF-44E3-9099-C40C66FF867C}">
                  <a14:compatExt spid="_x0000_s465921"/>
                </a:ext>
                <a:ext uri="{FF2B5EF4-FFF2-40B4-BE49-F238E27FC236}">
                  <a16:creationId xmlns:a16="http://schemas.microsoft.com/office/drawing/2014/main" id="{00000000-0008-0000-0300-0000011C0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9</xdr:col>
      <xdr:colOff>450045</xdr:colOff>
      <xdr:row>55</xdr:row>
      <xdr:rowOff>114627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609600" y="5669280"/>
          <a:ext cx="5364945" cy="3772227"/>
        </a:xfrm>
        <a:prstGeom prst="rect">
          <a:avLst/>
        </a:prstGeom>
      </xdr:spPr>
    </xdr:pic>
    <xdr:clientData/>
  </xdr:twoCellAnchor>
  <xdr:twoCellAnchor editAs="oneCell">
    <xdr:from>
      <xdr:col>1</xdr:col>
      <xdr:colOff>0</xdr:colOff>
      <xdr:row>60</xdr:row>
      <xdr:rowOff>0</xdr:rowOff>
    </xdr:from>
    <xdr:to>
      <xdr:col>9</xdr:col>
      <xdr:colOff>267149</xdr:colOff>
      <xdr:row>78</xdr:row>
      <xdr:rowOff>30768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609600" y="10607040"/>
          <a:ext cx="5182049" cy="3322608"/>
        </a:xfrm>
        <a:prstGeom prst="rect">
          <a:avLst/>
        </a:prstGeom>
      </xdr:spPr>
    </xdr:pic>
    <xdr:clientData/>
  </xdr:twoCellAnchor>
  <xdr:twoCellAnchor editAs="oneCell">
    <xdr:from>
      <xdr:col>1</xdr:col>
      <xdr:colOff>15240</xdr:colOff>
      <xdr:row>7</xdr:row>
      <xdr:rowOff>53340</xdr:rowOff>
    </xdr:from>
    <xdr:to>
      <xdr:col>11</xdr:col>
      <xdr:colOff>12630</xdr:colOff>
      <xdr:row>28</xdr:row>
      <xdr:rowOff>175260</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81200" y="1333500"/>
          <a:ext cx="6131490" cy="396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alyk, Olexandr" id="{CC937E4D-917E-49B3-B06C-889792EAEDEF}" userId="Balyk, Olexandr"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1-02-12T11:30:44.74" personId="{CC937E4D-917E-49B3-B06C-889792EAEDEF}" id="{7827D96D-C29B-4990-B756-8B39EED63308}">
    <text>Barrel of Oil Equivalent</text>
  </threadedComment>
  <threadedComment ref="C10" dT="2021-02-12T11:38:47.97" personId="{CC937E4D-917E-49B3-B06C-889792EAEDEF}" id="{CC46405B-4E85-4F70-965E-A8B6B36B711A}">
    <text>Average exchange rate in 2019, ECB</text>
  </threadedComment>
  <threadedComment ref="C11" dT="2021-02-12T11:45:06.79" personId="{CC937E4D-917E-49B3-B06C-889792EAEDEF}" id="{4C899014-7CAC-4E75-9F05-3DFC4A069707}">
    <text>Average exchange rate in 2018, ECB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reativecommons.org/licenses/by-nc-sa/4.0/" TargetMode="External"/><Relationship Id="rId1" Type="http://schemas.openxmlformats.org/officeDocument/2006/relationships/hyperlink" Target="https://github.com/MaREI-EPMG/TIMES-Ireland-mode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hyperlink" Target="https://expressway.ie/Route13" TargetMode="External"/><Relationship Id="rId13" Type="http://schemas.openxmlformats.org/officeDocument/2006/relationships/hyperlink" Target="https://expressway.ie/Route23" TargetMode="External"/><Relationship Id="rId18" Type="http://schemas.openxmlformats.org/officeDocument/2006/relationships/hyperlink" Target="https://expressway.ie/RouteX51" TargetMode="External"/><Relationship Id="rId3" Type="http://schemas.openxmlformats.org/officeDocument/2006/relationships/hyperlink" Target="https://expressway.ie/RouteX2" TargetMode="External"/><Relationship Id="rId21" Type="http://schemas.openxmlformats.org/officeDocument/2006/relationships/hyperlink" Target="https://expressway.ie/Route64" TargetMode="External"/><Relationship Id="rId7" Type="http://schemas.openxmlformats.org/officeDocument/2006/relationships/hyperlink" Target="https://expressway.ie/RouteX12" TargetMode="External"/><Relationship Id="rId12" Type="http://schemas.openxmlformats.org/officeDocument/2006/relationships/hyperlink" Target="https://expressway.ie/Route22" TargetMode="External"/><Relationship Id="rId17" Type="http://schemas.openxmlformats.org/officeDocument/2006/relationships/hyperlink" Target="https://expressway.ie/Route51" TargetMode="External"/><Relationship Id="rId25" Type="http://schemas.openxmlformats.org/officeDocument/2006/relationships/comments" Target="../comments1.xml"/><Relationship Id="rId2" Type="http://schemas.openxmlformats.org/officeDocument/2006/relationships/hyperlink" Target="https://expressway.ie/Route2" TargetMode="External"/><Relationship Id="rId16" Type="http://schemas.openxmlformats.org/officeDocument/2006/relationships/hyperlink" Target="https://expressway.ie/Route40" TargetMode="External"/><Relationship Id="rId20" Type="http://schemas.openxmlformats.org/officeDocument/2006/relationships/hyperlink" Target="https://expressway.ie/Route55" TargetMode="External"/><Relationship Id="rId1" Type="http://schemas.openxmlformats.org/officeDocument/2006/relationships/hyperlink" Target="https://expressway.ie/RouteX1" TargetMode="External"/><Relationship Id="rId6" Type="http://schemas.openxmlformats.org/officeDocument/2006/relationships/hyperlink" Target="https://expressway.ie/RouteX8" TargetMode="External"/><Relationship Id="rId11" Type="http://schemas.openxmlformats.org/officeDocument/2006/relationships/hyperlink" Target="https://expressway.ie/RouteX20" TargetMode="External"/><Relationship Id="rId24" Type="http://schemas.openxmlformats.org/officeDocument/2006/relationships/vmlDrawing" Target="../drawings/vmlDrawing3.vml"/><Relationship Id="rId5" Type="http://schemas.openxmlformats.org/officeDocument/2006/relationships/hyperlink" Target="https://expressway.ie/RouteX4" TargetMode="External"/><Relationship Id="rId15" Type="http://schemas.openxmlformats.org/officeDocument/2006/relationships/hyperlink" Target="https://expressway.ie/Route32" TargetMode="External"/><Relationship Id="rId23" Type="http://schemas.openxmlformats.org/officeDocument/2006/relationships/printerSettings" Target="../printerSettings/printerSettings7.bin"/><Relationship Id="rId10" Type="http://schemas.openxmlformats.org/officeDocument/2006/relationships/hyperlink" Target="https://expressway.ie/Route20" TargetMode="External"/><Relationship Id="rId19" Type="http://schemas.openxmlformats.org/officeDocument/2006/relationships/hyperlink" Target="https://expressway.ie/Route52" TargetMode="External"/><Relationship Id="rId4" Type="http://schemas.openxmlformats.org/officeDocument/2006/relationships/hyperlink" Target="https://expressway.ie/Route4" TargetMode="External"/><Relationship Id="rId9" Type="http://schemas.openxmlformats.org/officeDocument/2006/relationships/hyperlink" Target="https://expressway.ie/Route14" TargetMode="External"/><Relationship Id="rId14" Type="http://schemas.openxmlformats.org/officeDocument/2006/relationships/hyperlink" Target="https://expressway.ie/Route30" TargetMode="External"/><Relationship Id="rId22" Type="http://schemas.openxmlformats.org/officeDocument/2006/relationships/hyperlink" Target="https://expressway.ie/Route100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irishrail.ie/IrishRail/media/Imported/18_ie_annual_report_final.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theicct.org/sites/default/files/publications/Lab-to-road-2017_ICCT-white%20paper_06112017_vF.pdf" TargetMode="External"/><Relationship Id="rId1" Type="http://schemas.openxmlformats.org/officeDocument/2006/relationships/hyperlink" Target="https://theicct.org/sites/default/files/publications/Lab-to-road-2017_ICCT-white%20paper_06112017_vF.pdf" TargetMode="Externa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3A98F-BA7B-4BDD-B7A2-F789771010D9}">
  <sheetPr codeName="Sheet15"/>
  <dimension ref="A1:Z99"/>
  <sheetViews>
    <sheetView showGridLines="0" topLeftCell="A13" zoomScaleNormal="100" workbookViewId="0">
      <selection activeCell="B24" sqref="B24:D24"/>
    </sheetView>
  </sheetViews>
  <sheetFormatPr defaultColWidth="8.81640625" defaultRowHeight="14.5"/>
  <cols>
    <col min="1" max="4" width="21.7265625" customWidth="1"/>
    <col min="5" max="6" width="14.1796875" customWidth="1"/>
    <col min="7" max="7" width="12.1796875" customWidth="1"/>
    <col min="8" max="10" width="8.1796875" customWidth="1"/>
    <col min="11" max="11" width="9.7265625" customWidth="1"/>
    <col min="12" max="12" width="8.1796875" customWidth="1"/>
    <col min="13" max="13" width="10" customWidth="1"/>
    <col min="14" max="14" width="11.453125" customWidth="1"/>
    <col min="15" max="15" width="13.453125" customWidth="1"/>
  </cols>
  <sheetData>
    <row r="1" spans="1:26">
      <c r="A1" s="412"/>
      <c r="B1" s="412"/>
      <c r="C1" s="412"/>
      <c r="D1" s="412"/>
      <c r="E1" s="413"/>
      <c r="F1" s="413"/>
      <c r="G1" s="413"/>
      <c r="H1" s="413"/>
      <c r="I1" s="413"/>
      <c r="J1" s="413"/>
      <c r="K1" s="413"/>
      <c r="L1" s="413"/>
      <c r="M1" s="413"/>
      <c r="N1" s="413"/>
      <c r="O1" s="413"/>
      <c r="P1" s="413"/>
      <c r="Q1" s="413"/>
      <c r="R1" s="413"/>
      <c r="S1" s="413"/>
      <c r="T1" s="413"/>
      <c r="U1" s="413"/>
      <c r="V1" s="413"/>
      <c r="W1" s="413"/>
      <c r="X1" s="413"/>
      <c r="Y1" s="413"/>
      <c r="Z1" s="413"/>
    </row>
    <row r="2" spans="1:26">
      <c r="A2" s="412"/>
      <c r="B2" s="412"/>
      <c r="C2" s="412"/>
      <c r="D2" s="412"/>
      <c r="E2" s="413"/>
      <c r="F2" s="413"/>
      <c r="G2" s="413"/>
      <c r="H2" s="413"/>
      <c r="I2" s="413"/>
      <c r="J2" s="413"/>
      <c r="K2" s="413"/>
      <c r="L2" s="413"/>
      <c r="M2" s="413"/>
      <c r="N2" s="413"/>
      <c r="O2" s="413"/>
      <c r="P2" s="413"/>
      <c r="Q2" s="413"/>
      <c r="R2" s="413"/>
      <c r="S2" s="413"/>
      <c r="T2" s="413"/>
      <c r="U2" s="413"/>
      <c r="V2" s="413"/>
      <c r="W2" s="413"/>
      <c r="X2" s="413"/>
      <c r="Y2" s="413"/>
      <c r="Z2" s="413"/>
    </row>
    <row r="3" spans="1:26">
      <c r="A3" s="412"/>
      <c r="B3" s="412"/>
      <c r="C3" s="412"/>
      <c r="D3" s="412"/>
      <c r="E3" s="413"/>
      <c r="F3" s="413"/>
      <c r="G3" s="413"/>
      <c r="H3" s="413"/>
      <c r="I3" s="413"/>
      <c r="J3" s="413"/>
      <c r="K3" s="413"/>
      <c r="L3" s="413"/>
      <c r="M3" s="413"/>
      <c r="N3" s="413"/>
      <c r="O3" s="413"/>
      <c r="P3" s="413"/>
      <c r="Q3" s="413"/>
      <c r="R3" s="413"/>
      <c r="S3" s="413"/>
      <c r="T3" s="413"/>
      <c r="U3" s="413"/>
      <c r="V3" s="413"/>
      <c r="W3" s="413"/>
      <c r="X3" s="413"/>
      <c r="Y3" s="413"/>
      <c r="Z3" s="413"/>
    </row>
    <row r="4" spans="1:26">
      <c r="A4" s="412"/>
      <c r="B4" s="412"/>
      <c r="C4" s="412"/>
      <c r="D4" s="412"/>
      <c r="E4" s="413"/>
      <c r="F4" s="413"/>
      <c r="G4" s="413"/>
      <c r="H4" s="413"/>
      <c r="I4" s="413"/>
      <c r="J4" s="413"/>
      <c r="K4" s="413"/>
      <c r="L4" s="413"/>
      <c r="M4" s="413"/>
      <c r="N4" s="413"/>
      <c r="O4" s="413"/>
      <c r="P4" s="413"/>
      <c r="Q4" s="413"/>
      <c r="R4" s="413"/>
      <c r="S4" s="413"/>
      <c r="T4" s="413"/>
      <c r="U4" s="413"/>
      <c r="V4" s="413"/>
      <c r="W4" s="413"/>
      <c r="X4" s="413"/>
      <c r="Y4" s="413"/>
      <c r="Z4" s="413"/>
    </row>
    <row r="5" spans="1:26">
      <c r="A5" s="412"/>
      <c r="B5" s="412"/>
      <c r="C5" s="412"/>
      <c r="D5" s="412"/>
      <c r="E5" s="413"/>
      <c r="F5" s="413"/>
      <c r="G5" s="413"/>
      <c r="H5" s="413"/>
      <c r="I5" s="413"/>
      <c r="J5" s="413"/>
      <c r="K5" s="413"/>
      <c r="L5" s="413"/>
      <c r="M5" s="413"/>
      <c r="N5" s="413"/>
      <c r="O5" s="413"/>
      <c r="P5" s="413"/>
      <c r="Q5" s="413"/>
      <c r="R5" s="413"/>
      <c r="S5" s="413"/>
      <c r="T5" s="413"/>
      <c r="U5" s="413"/>
      <c r="V5" s="413"/>
      <c r="W5" s="413"/>
      <c r="X5" s="413"/>
      <c r="Y5" s="413"/>
      <c r="Z5" s="413"/>
    </row>
    <row r="6" spans="1:26">
      <c r="A6" s="412"/>
      <c r="B6" s="412"/>
      <c r="C6" s="412"/>
      <c r="D6" s="412"/>
      <c r="E6" s="413"/>
      <c r="F6" s="413"/>
      <c r="G6" s="413"/>
      <c r="H6" s="413"/>
      <c r="I6" s="413"/>
      <c r="J6" s="413"/>
      <c r="K6" s="413"/>
      <c r="L6" s="413"/>
      <c r="M6" s="413"/>
      <c r="N6" s="413"/>
      <c r="O6" s="413"/>
      <c r="P6" s="413"/>
      <c r="Q6" s="413"/>
      <c r="R6" s="413"/>
      <c r="S6" s="413"/>
      <c r="T6" s="413"/>
      <c r="U6" s="413"/>
      <c r="V6" s="413"/>
      <c r="W6" s="413"/>
      <c r="X6" s="413"/>
      <c r="Y6" s="413"/>
      <c r="Z6" s="413"/>
    </row>
    <row r="7" spans="1:26">
      <c r="A7" s="412"/>
      <c r="B7" s="412"/>
      <c r="C7" s="412"/>
      <c r="D7" s="412"/>
      <c r="E7" s="413"/>
      <c r="F7" s="413"/>
      <c r="G7" s="413"/>
      <c r="H7" s="413"/>
      <c r="I7" s="413"/>
      <c r="J7" s="413"/>
      <c r="K7" s="413"/>
      <c r="L7" s="413"/>
      <c r="M7" s="413"/>
      <c r="N7" s="413"/>
      <c r="O7" s="413"/>
      <c r="P7" s="413"/>
      <c r="Q7" s="413"/>
      <c r="R7" s="413"/>
      <c r="S7" s="413"/>
      <c r="T7" s="413"/>
      <c r="U7" s="413"/>
      <c r="V7" s="413"/>
      <c r="W7" s="413"/>
      <c r="X7" s="413"/>
      <c r="Y7" s="413"/>
      <c r="Z7" s="413"/>
    </row>
    <row r="8" spans="1:26">
      <c r="A8" s="412"/>
      <c r="B8" s="412"/>
      <c r="C8" s="412"/>
      <c r="D8" s="412"/>
      <c r="E8" s="413"/>
      <c r="F8" s="413"/>
      <c r="G8" s="413"/>
      <c r="H8" s="413"/>
      <c r="I8" s="413"/>
      <c r="J8" s="413"/>
      <c r="K8" s="413"/>
      <c r="L8" s="413"/>
      <c r="M8" s="413"/>
      <c r="N8" s="413"/>
      <c r="O8" s="413"/>
      <c r="P8" s="413"/>
      <c r="Q8" s="413"/>
      <c r="R8" s="413"/>
      <c r="S8" s="413"/>
      <c r="T8" s="413"/>
      <c r="U8" s="413"/>
      <c r="V8" s="413"/>
      <c r="W8" s="413"/>
      <c r="X8" s="413"/>
      <c r="Y8" s="413"/>
      <c r="Z8" s="413"/>
    </row>
    <row r="9" spans="1:26">
      <c r="A9" s="412"/>
      <c r="B9" s="412"/>
      <c r="C9" s="412"/>
      <c r="D9" s="412"/>
      <c r="E9" s="413"/>
      <c r="F9" s="413"/>
      <c r="G9" s="413"/>
      <c r="H9" s="413"/>
      <c r="I9" s="413"/>
      <c r="J9" s="413"/>
      <c r="K9" s="413"/>
      <c r="L9" s="413"/>
      <c r="M9" s="413"/>
      <c r="N9" s="413"/>
      <c r="O9" s="413"/>
      <c r="P9" s="413"/>
      <c r="Q9" s="413"/>
      <c r="R9" s="413"/>
      <c r="S9" s="413"/>
      <c r="T9" s="413"/>
      <c r="U9" s="413"/>
      <c r="V9" s="413"/>
      <c r="W9" s="413"/>
      <c r="X9" s="413"/>
      <c r="Y9" s="413"/>
      <c r="Z9" s="413"/>
    </row>
    <row r="10" spans="1:26">
      <c r="A10" s="412"/>
      <c r="B10" s="412"/>
      <c r="C10" s="412"/>
      <c r="D10" s="412"/>
      <c r="E10" s="413"/>
      <c r="F10" s="413"/>
      <c r="G10" s="413"/>
      <c r="H10" s="413"/>
      <c r="I10" s="413"/>
      <c r="J10" s="413"/>
      <c r="K10" s="413"/>
      <c r="L10" s="413"/>
      <c r="M10" s="413"/>
      <c r="N10" s="413"/>
      <c r="O10" s="413"/>
      <c r="P10" s="413"/>
      <c r="Q10" s="413"/>
      <c r="R10" s="413"/>
      <c r="S10" s="413"/>
      <c r="T10" s="413"/>
      <c r="U10" s="413"/>
      <c r="V10" s="413"/>
      <c r="W10" s="413"/>
      <c r="X10" s="413"/>
      <c r="Y10" s="413"/>
      <c r="Z10" s="413"/>
    </row>
    <row r="11" spans="1:26">
      <c r="A11" s="412"/>
      <c r="B11" s="412"/>
      <c r="C11" s="412"/>
      <c r="D11" s="412"/>
      <c r="E11" s="413"/>
      <c r="F11" s="413"/>
      <c r="G11" s="413"/>
      <c r="H11" s="413"/>
      <c r="I11" s="413"/>
      <c r="J11" s="413"/>
      <c r="K11" s="413"/>
      <c r="L11" s="413"/>
      <c r="M11" s="413"/>
      <c r="N11" s="413"/>
      <c r="O11" s="413"/>
      <c r="P11" s="413"/>
      <c r="Q11" s="413"/>
      <c r="R11" s="413"/>
      <c r="S11" s="413"/>
      <c r="T11" s="413"/>
      <c r="U11" s="413"/>
      <c r="V11" s="413"/>
      <c r="W11" s="413"/>
      <c r="X11" s="413"/>
      <c r="Y11" s="413"/>
      <c r="Z11" s="413"/>
    </row>
    <row r="12" spans="1:26">
      <c r="A12" s="412"/>
      <c r="B12" s="412"/>
      <c r="C12" s="412"/>
      <c r="D12" s="412"/>
      <c r="E12" s="413"/>
      <c r="F12" s="413"/>
      <c r="G12" s="413"/>
      <c r="H12" s="413"/>
      <c r="I12" s="413"/>
      <c r="J12" s="413"/>
      <c r="K12" s="413"/>
      <c r="L12" s="413"/>
      <c r="M12" s="413"/>
      <c r="N12" s="413"/>
      <c r="O12" s="413"/>
      <c r="P12" s="413"/>
      <c r="Q12" s="413"/>
      <c r="R12" s="413"/>
      <c r="S12" s="413"/>
      <c r="T12" s="413"/>
      <c r="U12" s="413"/>
      <c r="V12" s="413"/>
      <c r="W12" s="413"/>
      <c r="X12" s="413"/>
      <c r="Y12" s="413"/>
      <c r="Z12" s="413"/>
    </row>
    <row r="13" spans="1:26">
      <c r="A13" s="412"/>
      <c r="B13" s="412"/>
      <c r="C13" s="412"/>
      <c r="D13" s="412"/>
      <c r="E13" s="413"/>
      <c r="F13" s="413"/>
      <c r="G13" s="413"/>
      <c r="H13" s="413"/>
      <c r="I13" s="413"/>
      <c r="J13" s="413"/>
      <c r="K13" s="413"/>
      <c r="L13" s="413"/>
      <c r="M13" s="413"/>
      <c r="N13" s="413"/>
      <c r="O13" s="413"/>
      <c r="P13" s="413"/>
      <c r="Q13" s="413"/>
      <c r="R13" s="413"/>
      <c r="S13" s="413"/>
      <c r="T13" s="413"/>
      <c r="U13" s="413"/>
      <c r="V13" s="413"/>
      <c r="W13" s="413"/>
      <c r="X13" s="413"/>
      <c r="Y13" s="413"/>
      <c r="Z13" s="413"/>
    </row>
    <row r="14" spans="1:26">
      <c r="A14" s="412"/>
      <c r="B14" s="412"/>
      <c r="C14" s="412"/>
      <c r="D14" s="412"/>
      <c r="E14" s="413"/>
      <c r="F14" s="413"/>
      <c r="G14" s="413"/>
      <c r="H14" s="413"/>
      <c r="I14" s="413"/>
      <c r="J14" s="413"/>
      <c r="K14" s="413"/>
      <c r="L14" s="413"/>
      <c r="M14" s="413"/>
      <c r="N14" s="413"/>
      <c r="O14" s="413"/>
      <c r="P14" s="413"/>
      <c r="Q14" s="413"/>
      <c r="R14" s="413"/>
      <c r="S14" s="413"/>
      <c r="T14" s="413"/>
      <c r="U14" s="413"/>
      <c r="V14" s="413"/>
      <c r="W14" s="413"/>
      <c r="X14" s="413"/>
      <c r="Y14" s="413"/>
      <c r="Z14" s="413"/>
    </row>
    <row r="15" spans="1:26">
      <c r="A15" s="412"/>
      <c r="B15" s="412"/>
      <c r="C15" s="412"/>
      <c r="D15" s="412"/>
      <c r="E15" s="413"/>
      <c r="F15" s="413"/>
      <c r="G15" s="413"/>
      <c r="H15" s="413"/>
      <c r="I15" s="413"/>
      <c r="J15" s="413"/>
      <c r="K15" s="413"/>
      <c r="L15" s="413"/>
      <c r="M15" s="413"/>
      <c r="N15" s="413"/>
      <c r="O15" s="413"/>
      <c r="P15" s="413"/>
      <c r="Q15" s="413"/>
      <c r="R15" s="413"/>
      <c r="S15" s="413"/>
      <c r="T15" s="413"/>
      <c r="U15" s="413"/>
      <c r="V15" s="413"/>
      <c r="W15" s="413"/>
      <c r="X15" s="413"/>
      <c r="Y15" s="413"/>
      <c r="Z15" s="413"/>
    </row>
    <row r="16" spans="1:26" ht="102.75" customHeight="1">
      <c r="A16" s="761" t="s">
        <v>1115</v>
      </c>
      <c r="B16" s="761"/>
      <c r="C16" s="761"/>
      <c r="D16" s="761"/>
      <c r="E16" s="414"/>
      <c r="F16" s="414"/>
      <c r="G16" s="415"/>
      <c r="H16" s="415"/>
      <c r="I16" s="415"/>
      <c r="J16" s="415"/>
      <c r="K16" s="415"/>
      <c r="L16" s="415"/>
      <c r="M16" s="413"/>
      <c r="N16" s="413"/>
      <c r="O16" s="413"/>
      <c r="P16" s="413"/>
      <c r="Q16" s="413"/>
      <c r="R16" s="413"/>
      <c r="S16" s="413"/>
      <c r="T16" s="413"/>
      <c r="U16" s="413"/>
      <c r="V16" s="413"/>
      <c r="W16" s="413"/>
      <c r="X16" s="413"/>
      <c r="Y16" s="413"/>
      <c r="Z16" s="413"/>
    </row>
    <row r="17" spans="1:26" ht="17.25" customHeight="1">
      <c r="A17" s="416"/>
      <c r="B17" s="416"/>
      <c r="C17" s="416"/>
      <c r="D17" s="416"/>
      <c r="E17" s="413"/>
      <c r="F17" s="413"/>
      <c r="G17" s="413"/>
      <c r="H17" s="413"/>
      <c r="I17" s="413"/>
      <c r="J17" s="413"/>
      <c r="K17" s="413"/>
      <c r="L17" s="413"/>
      <c r="M17" s="413"/>
      <c r="N17" s="413"/>
      <c r="O17" s="413"/>
      <c r="P17" s="413"/>
      <c r="Q17" s="413"/>
      <c r="R17" s="413"/>
      <c r="S17" s="413"/>
      <c r="T17" s="413"/>
      <c r="U17" s="413"/>
      <c r="V17" s="413"/>
      <c r="W17" s="413"/>
      <c r="X17" s="413"/>
      <c r="Y17" s="413"/>
      <c r="Z17" s="413"/>
    </row>
    <row r="18" spans="1:26" ht="17.25" customHeight="1">
      <c r="A18" s="416"/>
      <c r="B18" s="416"/>
      <c r="C18" s="416"/>
      <c r="D18" s="416"/>
      <c r="E18" s="417"/>
      <c r="F18" s="417"/>
      <c r="G18" s="418"/>
      <c r="H18" s="418"/>
      <c r="I18" s="418"/>
      <c r="J18" s="418"/>
      <c r="K18" s="418"/>
      <c r="L18" s="418"/>
      <c r="M18" s="413"/>
      <c r="N18" s="413"/>
      <c r="O18" s="413"/>
      <c r="P18" s="413"/>
      <c r="Q18" s="413"/>
      <c r="R18" s="413"/>
      <c r="S18" s="413"/>
      <c r="T18" s="413"/>
      <c r="U18" s="413"/>
      <c r="V18" s="413"/>
      <c r="W18" s="413"/>
      <c r="X18" s="413"/>
      <c r="Y18" s="413"/>
      <c r="Z18" s="413"/>
    </row>
    <row r="19" spans="1:26" ht="17.25" customHeight="1">
      <c r="A19" s="419" t="s">
        <v>215</v>
      </c>
      <c r="B19" s="760" t="s">
        <v>1129</v>
      </c>
      <c r="C19" s="760"/>
      <c r="D19" s="760"/>
      <c r="E19" s="420"/>
      <c r="F19" s="420"/>
      <c r="G19" s="421"/>
      <c r="H19" s="421"/>
      <c r="I19" s="421"/>
      <c r="J19" s="421"/>
      <c r="K19" s="421"/>
      <c r="L19" s="421"/>
      <c r="M19" s="413"/>
      <c r="N19" s="413"/>
      <c r="O19" s="413"/>
      <c r="P19" s="413"/>
      <c r="Q19" s="413"/>
      <c r="R19" s="413"/>
      <c r="S19" s="413"/>
      <c r="T19" s="413"/>
      <c r="U19" s="413"/>
      <c r="V19" s="413"/>
      <c r="W19" s="413"/>
      <c r="X19" s="413"/>
      <c r="Y19" s="413"/>
      <c r="Z19" s="413"/>
    </row>
    <row r="20" spans="1:26" ht="17.25" customHeight="1">
      <c r="A20" s="419" t="s">
        <v>1116</v>
      </c>
      <c r="B20" s="760" t="s">
        <v>1128</v>
      </c>
      <c r="C20" s="760"/>
      <c r="D20" s="760"/>
      <c r="E20" s="420"/>
      <c r="F20" s="420"/>
      <c r="G20" s="421"/>
      <c r="H20" s="421"/>
      <c r="I20" s="421"/>
      <c r="J20" s="421"/>
      <c r="K20" s="421"/>
      <c r="L20" s="421"/>
      <c r="M20" s="413"/>
      <c r="N20" s="413"/>
      <c r="O20" s="413"/>
      <c r="P20" s="413"/>
      <c r="Q20" s="413"/>
      <c r="R20" s="413"/>
      <c r="S20" s="413"/>
      <c r="T20" s="413"/>
      <c r="U20" s="413"/>
      <c r="V20" s="413"/>
      <c r="W20" s="413"/>
      <c r="X20" s="413"/>
      <c r="Y20" s="413"/>
      <c r="Z20" s="413"/>
    </row>
    <row r="21" spans="1:26" ht="17.25" customHeight="1">
      <c r="A21" s="419" t="s">
        <v>1117</v>
      </c>
      <c r="B21" s="760" t="s">
        <v>1127</v>
      </c>
      <c r="C21" s="760"/>
      <c r="D21" s="760"/>
      <c r="E21" s="420"/>
      <c r="F21" s="420"/>
      <c r="G21" s="421"/>
      <c r="H21" s="421"/>
      <c r="I21" s="421"/>
      <c r="J21" s="421"/>
      <c r="K21" s="421"/>
      <c r="L21" s="421"/>
      <c r="M21" s="413"/>
      <c r="N21" s="413"/>
      <c r="O21" s="413"/>
      <c r="P21" s="413"/>
      <c r="Q21" s="413"/>
      <c r="R21" s="413"/>
      <c r="S21" s="413"/>
      <c r="T21" s="413"/>
      <c r="U21" s="413"/>
      <c r="V21" s="413"/>
      <c r="W21" s="413"/>
      <c r="X21" s="413"/>
      <c r="Y21" s="413"/>
      <c r="Z21" s="413"/>
    </row>
    <row r="22" spans="1:26" ht="17.25" customHeight="1">
      <c r="A22" s="419"/>
      <c r="B22" s="422"/>
      <c r="C22" s="422"/>
      <c r="D22" s="422"/>
      <c r="E22" s="420"/>
      <c r="F22" s="420"/>
      <c r="G22" s="421"/>
      <c r="H22" s="421"/>
      <c r="I22" s="421"/>
      <c r="J22" s="421"/>
      <c r="K22" s="421"/>
      <c r="L22" s="421"/>
      <c r="M22" s="413"/>
      <c r="N22" s="413"/>
      <c r="O22" s="413"/>
      <c r="P22" s="413"/>
      <c r="Q22" s="413"/>
      <c r="R22" s="413"/>
      <c r="S22" s="413"/>
      <c r="T22" s="413"/>
      <c r="U22" s="413"/>
      <c r="V22" s="413"/>
      <c r="W22" s="413"/>
      <c r="X22" s="413"/>
      <c r="Y22" s="413"/>
      <c r="Z22" s="413"/>
    </row>
    <row r="23" spans="1:26" ht="17.25" customHeight="1">
      <c r="A23" s="419" t="s">
        <v>1118</v>
      </c>
      <c r="B23" s="760" t="s">
        <v>1126</v>
      </c>
      <c r="C23" s="760"/>
      <c r="D23" s="760"/>
      <c r="E23" s="413"/>
      <c r="F23" s="413"/>
      <c r="G23" s="413"/>
      <c r="H23" s="413"/>
      <c r="I23" s="413"/>
      <c r="J23" s="413"/>
      <c r="K23" s="413"/>
      <c r="L23" s="413"/>
      <c r="M23" s="413"/>
      <c r="N23" s="413"/>
      <c r="O23" s="413"/>
      <c r="P23" s="413"/>
      <c r="Q23" s="413"/>
      <c r="R23" s="413"/>
      <c r="S23" s="413"/>
      <c r="T23" s="413"/>
      <c r="U23" s="413"/>
      <c r="V23" s="413"/>
      <c r="W23" s="413"/>
      <c r="X23" s="413"/>
      <c r="Y23" s="413"/>
      <c r="Z23" s="413"/>
    </row>
    <row r="24" spans="1:26" ht="17.25" customHeight="1">
      <c r="A24" s="419"/>
      <c r="B24" s="760" t="s">
        <v>1130</v>
      </c>
      <c r="C24" s="760"/>
      <c r="D24" s="760"/>
      <c r="E24" s="413"/>
      <c r="F24" s="413"/>
      <c r="G24" s="413"/>
      <c r="H24" s="413"/>
      <c r="I24" s="413"/>
      <c r="J24" s="413"/>
      <c r="K24" s="413"/>
      <c r="L24" s="413"/>
      <c r="M24" s="413"/>
      <c r="N24" s="413"/>
      <c r="O24" s="413"/>
      <c r="P24" s="413"/>
      <c r="Q24" s="413"/>
      <c r="R24" s="413"/>
      <c r="S24" s="413"/>
      <c r="T24" s="413"/>
      <c r="U24" s="413"/>
      <c r="V24" s="413"/>
      <c r="W24" s="413"/>
      <c r="X24" s="413"/>
      <c r="Y24" s="413"/>
      <c r="Z24" s="413"/>
    </row>
    <row r="25" spans="1:26" ht="17.25" customHeight="1">
      <c r="A25" s="419"/>
      <c r="B25" s="422"/>
      <c r="C25" s="422"/>
      <c r="D25" s="422"/>
      <c r="E25" s="413"/>
      <c r="F25" s="413"/>
      <c r="G25" s="413"/>
      <c r="H25" s="413"/>
      <c r="I25" s="413"/>
      <c r="J25" s="413"/>
      <c r="K25" s="413"/>
      <c r="L25" s="413"/>
      <c r="M25" s="413"/>
      <c r="N25" s="413"/>
      <c r="O25" s="413"/>
      <c r="P25" s="413"/>
      <c r="Q25" s="413"/>
      <c r="R25" s="413"/>
      <c r="S25" s="413"/>
      <c r="T25" s="413"/>
      <c r="U25" s="413"/>
      <c r="V25" s="413"/>
      <c r="W25" s="413"/>
      <c r="X25" s="413"/>
      <c r="Y25" s="413"/>
      <c r="Z25" s="413"/>
    </row>
    <row r="26" spans="1:26" ht="17.25" customHeight="1">
      <c r="A26" s="419" t="s">
        <v>1119</v>
      </c>
      <c r="B26" s="760" t="s">
        <v>1126</v>
      </c>
      <c r="C26" s="760"/>
      <c r="D26" s="760"/>
      <c r="E26" s="413"/>
      <c r="F26" s="413"/>
      <c r="G26" s="413"/>
      <c r="H26" s="413"/>
      <c r="I26" s="413"/>
      <c r="J26" s="413"/>
      <c r="K26" s="413"/>
      <c r="L26" s="413"/>
      <c r="M26" s="413"/>
      <c r="N26" s="413"/>
      <c r="O26" s="413"/>
      <c r="P26" s="413"/>
      <c r="Q26" s="413"/>
      <c r="R26" s="413"/>
      <c r="S26" s="413"/>
      <c r="T26" s="413"/>
      <c r="U26" s="413"/>
      <c r="V26" s="413"/>
      <c r="W26" s="413"/>
      <c r="X26" s="413"/>
      <c r="Y26" s="413"/>
      <c r="Z26" s="413"/>
    </row>
    <row r="27" spans="1:26" ht="17.25" customHeight="1">
      <c r="A27" s="419"/>
      <c r="B27" s="422"/>
      <c r="C27" s="422"/>
      <c r="D27" s="422"/>
      <c r="E27" s="413"/>
      <c r="F27" s="413"/>
      <c r="G27" s="413"/>
      <c r="H27" s="413"/>
      <c r="I27" s="413"/>
      <c r="J27" s="413"/>
      <c r="K27" s="413"/>
      <c r="L27" s="413"/>
      <c r="M27" s="413"/>
      <c r="N27" s="413"/>
      <c r="O27" s="413"/>
      <c r="P27" s="413"/>
      <c r="Q27" s="413"/>
      <c r="R27" s="413"/>
      <c r="S27" s="413"/>
      <c r="T27" s="413"/>
      <c r="U27" s="413"/>
      <c r="V27" s="413"/>
      <c r="W27" s="413"/>
      <c r="X27" s="413"/>
      <c r="Y27" s="413"/>
      <c r="Z27" s="413"/>
    </row>
    <row r="28" spans="1:26" ht="17.25" customHeight="1">
      <c r="A28" s="419"/>
      <c r="B28" s="422"/>
      <c r="C28" s="422"/>
      <c r="D28" s="422"/>
      <c r="E28" s="413"/>
      <c r="F28" s="413"/>
      <c r="G28" s="413"/>
      <c r="H28" s="413"/>
      <c r="I28" s="413"/>
      <c r="J28" s="413"/>
      <c r="K28" s="413"/>
      <c r="L28" s="413"/>
      <c r="M28" s="413"/>
      <c r="N28" s="413"/>
      <c r="O28" s="413"/>
      <c r="P28" s="413"/>
      <c r="Q28" s="413"/>
      <c r="R28" s="413"/>
      <c r="S28" s="413"/>
      <c r="T28" s="413"/>
      <c r="U28" s="413"/>
      <c r="V28" s="413"/>
      <c r="W28" s="413"/>
      <c r="X28" s="413"/>
      <c r="Y28" s="413"/>
      <c r="Z28" s="413"/>
    </row>
    <row r="29" spans="1:26" ht="17.25" customHeight="1">
      <c r="A29" s="419" t="s">
        <v>1120</v>
      </c>
      <c r="B29" s="423">
        <v>1</v>
      </c>
      <c r="C29" s="422"/>
      <c r="D29" s="422"/>
      <c r="E29" s="413"/>
      <c r="F29" s="413"/>
      <c r="G29" s="413"/>
      <c r="H29" s="413"/>
      <c r="I29" s="413"/>
      <c r="J29" s="413"/>
      <c r="K29" s="413"/>
      <c r="L29" s="413"/>
      <c r="M29" s="413"/>
      <c r="N29" s="413"/>
      <c r="O29" s="413"/>
      <c r="P29" s="413"/>
      <c r="Q29" s="413"/>
      <c r="R29" s="413"/>
      <c r="S29" s="413"/>
      <c r="T29" s="413"/>
      <c r="U29" s="413"/>
      <c r="V29" s="413"/>
      <c r="W29" s="413"/>
      <c r="X29" s="413"/>
      <c r="Y29" s="413"/>
      <c r="Z29" s="413"/>
    </row>
    <row r="30" spans="1:26" ht="17.25" customHeight="1">
      <c r="A30" s="419" t="s">
        <v>1121</v>
      </c>
      <c r="B30" s="762" t="s">
        <v>1122</v>
      </c>
      <c r="C30" s="760"/>
      <c r="D30" s="760"/>
      <c r="E30" s="424"/>
      <c r="F30" s="424"/>
      <c r="G30" s="413"/>
      <c r="H30" s="413"/>
      <c r="I30" s="413"/>
      <c r="J30" s="413"/>
      <c r="K30" s="413"/>
      <c r="L30" s="413"/>
      <c r="M30" s="413"/>
      <c r="N30" s="413"/>
      <c r="O30" s="413"/>
      <c r="P30" s="413"/>
      <c r="Q30" s="413"/>
      <c r="R30" s="413"/>
      <c r="S30" s="413"/>
      <c r="T30" s="413"/>
      <c r="U30" s="413"/>
      <c r="V30" s="413"/>
      <c r="W30" s="413"/>
      <c r="X30" s="413"/>
      <c r="Y30" s="413"/>
      <c r="Z30" s="413"/>
    </row>
    <row r="31" spans="1:26" ht="17.25" customHeight="1">
      <c r="A31" s="419" t="s">
        <v>1123</v>
      </c>
      <c r="B31" s="760" t="s">
        <v>1124</v>
      </c>
      <c r="C31" s="760"/>
      <c r="D31" s="760"/>
      <c r="E31" s="424"/>
      <c r="F31" s="424"/>
      <c r="G31" s="413"/>
      <c r="H31" s="413"/>
      <c r="I31" s="413"/>
      <c r="J31" s="413"/>
      <c r="K31" s="413"/>
      <c r="L31" s="413"/>
      <c r="M31" s="413"/>
      <c r="N31" s="413"/>
      <c r="O31" s="413"/>
      <c r="P31" s="413"/>
      <c r="Q31" s="413"/>
      <c r="R31" s="413"/>
      <c r="S31" s="413"/>
      <c r="T31" s="413"/>
      <c r="U31" s="413"/>
      <c r="V31" s="413"/>
      <c r="W31" s="413"/>
      <c r="X31" s="413"/>
      <c r="Y31" s="413"/>
      <c r="Z31" s="413"/>
    </row>
    <row r="32" spans="1:26" ht="17.25" customHeight="1">
      <c r="A32" s="425"/>
      <c r="B32" s="426" t="s">
        <v>1125</v>
      </c>
      <c r="C32" s="425"/>
      <c r="D32" s="425"/>
      <c r="E32" s="413"/>
      <c r="F32" s="413"/>
      <c r="G32" s="413"/>
      <c r="H32" s="413"/>
      <c r="I32" s="413"/>
      <c r="J32" s="413"/>
      <c r="K32" s="413"/>
      <c r="L32" s="413"/>
      <c r="M32" s="413"/>
      <c r="N32" s="413"/>
      <c r="O32" s="413"/>
      <c r="P32" s="413"/>
      <c r="Q32" s="413"/>
      <c r="R32" s="413"/>
      <c r="S32" s="413"/>
      <c r="T32" s="413"/>
      <c r="U32" s="413"/>
      <c r="V32" s="413"/>
      <c r="W32" s="413"/>
      <c r="X32" s="413"/>
      <c r="Y32" s="413"/>
      <c r="Z32" s="413"/>
    </row>
    <row r="33" spans="1:26">
      <c r="A33" s="412"/>
      <c r="B33" s="412"/>
      <c r="C33" s="412"/>
      <c r="D33" s="412"/>
      <c r="E33" s="413"/>
      <c r="F33" s="413"/>
      <c r="G33" s="413"/>
      <c r="H33" s="413"/>
      <c r="I33" s="413"/>
      <c r="J33" s="413"/>
      <c r="K33" s="413"/>
      <c r="L33" s="413"/>
      <c r="M33" s="413"/>
      <c r="N33" s="413"/>
      <c r="O33" s="413"/>
      <c r="P33" s="413"/>
      <c r="Q33" s="413"/>
      <c r="R33" s="413"/>
      <c r="S33" s="413"/>
      <c r="T33" s="413"/>
      <c r="U33" s="413"/>
      <c r="V33" s="413"/>
      <c r="W33" s="413"/>
      <c r="X33" s="413"/>
      <c r="Y33" s="413"/>
      <c r="Z33" s="413"/>
    </row>
    <row r="34" spans="1:26">
      <c r="A34" s="412"/>
      <c r="B34" s="412"/>
      <c r="C34" s="412"/>
      <c r="D34" s="412"/>
      <c r="E34" s="413"/>
      <c r="F34" s="413"/>
      <c r="G34" s="413"/>
      <c r="H34" s="413"/>
      <c r="I34" s="413"/>
      <c r="J34" s="413"/>
      <c r="K34" s="413"/>
      <c r="L34" s="413"/>
      <c r="M34" s="413"/>
      <c r="N34" s="413"/>
      <c r="O34" s="413"/>
      <c r="P34" s="413"/>
      <c r="Q34" s="413"/>
      <c r="R34" s="413"/>
      <c r="S34" s="413"/>
      <c r="T34" s="413"/>
      <c r="U34" s="413"/>
      <c r="V34" s="413"/>
      <c r="W34" s="413"/>
      <c r="X34" s="413"/>
      <c r="Y34" s="413"/>
      <c r="Z34" s="413"/>
    </row>
    <row r="35" spans="1:26">
      <c r="A35" s="412"/>
      <c r="B35" s="412"/>
      <c r="C35" s="412"/>
      <c r="D35" s="412"/>
      <c r="E35" s="413"/>
      <c r="F35" s="413"/>
      <c r="G35" s="413"/>
      <c r="H35" s="413"/>
      <c r="I35" s="413"/>
      <c r="J35" s="413"/>
      <c r="K35" s="413"/>
      <c r="L35" s="413"/>
      <c r="M35" s="413"/>
      <c r="N35" s="413"/>
      <c r="O35" s="413"/>
      <c r="P35" s="413"/>
      <c r="Q35" s="413"/>
      <c r="R35" s="413"/>
      <c r="S35" s="413"/>
      <c r="T35" s="413"/>
      <c r="U35" s="413"/>
      <c r="V35" s="413"/>
      <c r="W35" s="413"/>
      <c r="X35" s="413"/>
      <c r="Y35" s="413"/>
      <c r="Z35" s="413"/>
    </row>
    <row r="36" spans="1:26">
      <c r="A36" s="412"/>
      <c r="B36" s="412"/>
      <c r="C36" s="412"/>
      <c r="D36" s="412"/>
      <c r="E36" s="413"/>
      <c r="F36" s="413"/>
      <c r="G36" s="413"/>
      <c r="H36" s="413"/>
      <c r="I36" s="413"/>
      <c r="J36" s="413"/>
      <c r="K36" s="413"/>
      <c r="L36" s="413"/>
      <c r="M36" s="413"/>
      <c r="N36" s="413"/>
      <c r="O36" s="413"/>
      <c r="P36" s="413"/>
      <c r="Q36" s="413"/>
      <c r="R36" s="413"/>
      <c r="S36" s="413"/>
      <c r="T36" s="413"/>
      <c r="U36" s="413"/>
      <c r="V36" s="413"/>
      <c r="W36" s="413"/>
      <c r="X36" s="413"/>
      <c r="Y36" s="413"/>
      <c r="Z36" s="413"/>
    </row>
    <row r="37" spans="1:26">
      <c r="A37" s="412"/>
      <c r="B37" s="412"/>
      <c r="C37" s="412"/>
      <c r="D37" s="412"/>
      <c r="E37" s="413"/>
      <c r="F37" s="413"/>
      <c r="G37" s="413"/>
      <c r="H37" s="413"/>
      <c r="I37" s="413"/>
      <c r="J37" s="413"/>
      <c r="K37" s="413"/>
      <c r="L37" s="413"/>
      <c r="M37" s="413"/>
      <c r="N37" s="413"/>
      <c r="O37" s="413"/>
      <c r="P37" s="413"/>
      <c r="Q37" s="413"/>
      <c r="R37" s="413"/>
      <c r="S37" s="413"/>
      <c r="T37" s="413"/>
      <c r="U37" s="413"/>
      <c r="V37" s="413"/>
      <c r="W37" s="413"/>
      <c r="X37" s="413"/>
      <c r="Y37" s="413"/>
      <c r="Z37" s="413"/>
    </row>
    <row r="38" spans="1:26">
      <c r="A38" s="412"/>
      <c r="B38" s="412"/>
      <c r="C38" s="412"/>
      <c r="D38" s="412"/>
      <c r="E38" s="413"/>
      <c r="F38" s="413"/>
      <c r="G38" s="413"/>
      <c r="H38" s="413"/>
      <c r="I38" s="413"/>
      <c r="J38" s="413"/>
      <c r="K38" s="413"/>
      <c r="L38" s="413"/>
      <c r="M38" s="413"/>
      <c r="N38" s="413"/>
      <c r="O38" s="413"/>
      <c r="P38" s="413"/>
      <c r="Q38" s="413"/>
      <c r="R38" s="413"/>
      <c r="S38" s="413"/>
      <c r="T38" s="413"/>
      <c r="U38" s="413"/>
      <c r="V38" s="413"/>
      <c r="W38" s="413"/>
      <c r="X38" s="413"/>
      <c r="Y38" s="413"/>
      <c r="Z38" s="413"/>
    </row>
    <row r="39" spans="1:26">
      <c r="A39" s="412"/>
      <c r="B39" s="412"/>
      <c r="C39" s="412"/>
      <c r="D39" s="412"/>
      <c r="E39" s="413"/>
      <c r="F39" s="413"/>
      <c r="G39" s="413"/>
      <c r="H39" s="413"/>
      <c r="I39" s="413"/>
      <c r="J39" s="413"/>
      <c r="K39" s="413"/>
      <c r="L39" s="413"/>
      <c r="M39" s="413"/>
      <c r="N39" s="413"/>
      <c r="O39" s="413"/>
      <c r="P39" s="413"/>
      <c r="Q39" s="413"/>
      <c r="R39" s="413"/>
      <c r="S39" s="413"/>
      <c r="T39" s="413"/>
      <c r="U39" s="413"/>
      <c r="V39" s="413"/>
      <c r="W39" s="413"/>
      <c r="X39" s="413"/>
      <c r="Y39" s="413"/>
      <c r="Z39" s="413"/>
    </row>
    <row r="40" spans="1:26">
      <c r="A40" s="412"/>
      <c r="B40" s="412"/>
      <c r="C40" s="412"/>
      <c r="D40" s="412"/>
      <c r="E40" s="413"/>
      <c r="F40" s="413"/>
      <c r="G40" s="413"/>
      <c r="H40" s="413"/>
      <c r="I40" s="413"/>
      <c r="J40" s="413"/>
      <c r="K40" s="413"/>
      <c r="L40" s="413"/>
      <c r="M40" s="413"/>
      <c r="N40" s="413"/>
      <c r="O40" s="413"/>
      <c r="P40" s="413"/>
      <c r="Q40" s="413"/>
      <c r="R40" s="413"/>
      <c r="S40" s="413"/>
      <c r="T40" s="413"/>
      <c r="U40" s="413"/>
      <c r="V40" s="413"/>
      <c r="W40" s="413"/>
      <c r="X40" s="413"/>
      <c r="Y40" s="413"/>
      <c r="Z40" s="413"/>
    </row>
    <row r="41" spans="1:26">
      <c r="A41" s="412"/>
      <c r="B41" s="412"/>
      <c r="C41" s="412"/>
      <c r="D41" s="412"/>
      <c r="E41" s="413"/>
      <c r="F41" s="413"/>
      <c r="G41" s="413"/>
      <c r="H41" s="413"/>
      <c r="I41" s="413"/>
      <c r="J41" s="413"/>
      <c r="K41" s="413"/>
      <c r="L41" s="413"/>
      <c r="M41" s="413"/>
      <c r="N41" s="413"/>
      <c r="O41" s="413"/>
      <c r="P41" s="413"/>
      <c r="Q41" s="413"/>
      <c r="R41" s="413"/>
      <c r="S41" s="413"/>
      <c r="T41" s="413"/>
      <c r="U41" s="413"/>
      <c r="V41" s="413"/>
      <c r="W41" s="413"/>
      <c r="X41" s="413"/>
      <c r="Y41" s="413"/>
      <c r="Z41" s="413"/>
    </row>
    <row r="42" spans="1:26">
      <c r="A42" s="412"/>
      <c r="B42" s="412"/>
      <c r="C42" s="412"/>
      <c r="D42" s="412"/>
      <c r="E42" s="413"/>
      <c r="F42" s="413"/>
      <c r="G42" s="413"/>
      <c r="H42" s="413"/>
      <c r="I42" s="413"/>
      <c r="J42" s="413"/>
      <c r="K42" s="413"/>
      <c r="L42" s="413"/>
      <c r="M42" s="413"/>
      <c r="N42" s="413"/>
      <c r="O42" s="413"/>
      <c r="P42" s="413"/>
      <c r="Q42" s="413"/>
      <c r="R42" s="413"/>
      <c r="S42" s="413"/>
      <c r="T42" s="413"/>
      <c r="U42" s="413"/>
      <c r="V42" s="413"/>
      <c r="W42" s="413"/>
      <c r="X42" s="413"/>
      <c r="Y42" s="413"/>
      <c r="Z42" s="413"/>
    </row>
    <row r="43" spans="1:26">
      <c r="A43" s="413"/>
      <c r="B43" s="413"/>
      <c r="C43" s="413"/>
      <c r="D43" s="413"/>
      <c r="E43" s="413"/>
      <c r="F43" s="413"/>
      <c r="G43" s="413"/>
      <c r="H43" s="413"/>
      <c r="I43" s="413"/>
      <c r="J43" s="413"/>
      <c r="K43" s="413"/>
      <c r="L43" s="413"/>
      <c r="M43" s="413"/>
      <c r="N43" s="413"/>
      <c r="O43" s="413"/>
      <c r="P43" s="413"/>
      <c r="Q43" s="413"/>
      <c r="R43" s="413"/>
      <c r="S43" s="413"/>
      <c r="T43" s="413"/>
      <c r="U43" s="413"/>
      <c r="V43" s="413"/>
      <c r="W43" s="413"/>
      <c r="X43" s="413"/>
      <c r="Y43" s="413"/>
      <c r="Z43" s="413"/>
    </row>
    <row r="44" spans="1:26">
      <c r="A44" s="413"/>
      <c r="B44" s="413"/>
      <c r="C44" s="413"/>
      <c r="D44" s="413"/>
      <c r="E44" s="413"/>
      <c r="F44" s="413"/>
      <c r="G44" s="413"/>
      <c r="H44" s="413"/>
      <c r="I44" s="413"/>
      <c r="J44" s="413"/>
      <c r="K44" s="413"/>
      <c r="L44" s="413"/>
      <c r="M44" s="413"/>
      <c r="N44" s="413"/>
      <c r="O44" s="413"/>
      <c r="P44" s="413"/>
      <c r="Q44" s="413"/>
      <c r="R44" s="413"/>
      <c r="S44" s="413"/>
      <c r="T44" s="413"/>
      <c r="U44" s="413"/>
      <c r="V44" s="413"/>
      <c r="W44" s="413"/>
      <c r="X44" s="413"/>
      <c r="Y44" s="413"/>
      <c r="Z44" s="413"/>
    </row>
    <row r="45" spans="1:26">
      <c r="A45" s="413"/>
      <c r="B45" s="413"/>
      <c r="C45" s="413"/>
      <c r="D45" s="413"/>
      <c r="E45" s="413"/>
      <c r="F45" s="413"/>
      <c r="G45" s="413"/>
      <c r="H45" s="413"/>
      <c r="I45" s="413"/>
      <c r="J45" s="413"/>
      <c r="K45" s="413"/>
      <c r="L45" s="413"/>
      <c r="M45" s="413"/>
      <c r="N45" s="413"/>
      <c r="O45" s="413"/>
      <c r="P45" s="413"/>
      <c r="Q45" s="413"/>
      <c r="R45" s="413"/>
      <c r="S45" s="413"/>
      <c r="T45" s="413"/>
      <c r="U45" s="413"/>
      <c r="V45" s="413"/>
      <c r="W45" s="413"/>
      <c r="X45" s="413"/>
      <c r="Y45" s="413"/>
      <c r="Z45" s="413"/>
    </row>
    <row r="46" spans="1:26">
      <c r="A46" s="413"/>
      <c r="B46" s="413"/>
      <c r="C46" s="413"/>
      <c r="D46" s="413"/>
      <c r="E46" s="413"/>
      <c r="F46" s="413"/>
      <c r="G46" s="413"/>
      <c r="H46" s="413"/>
      <c r="I46" s="413"/>
      <c r="J46" s="413"/>
      <c r="K46" s="413"/>
      <c r="L46" s="413"/>
      <c r="M46" s="413"/>
      <c r="N46" s="413"/>
      <c r="O46" s="413"/>
      <c r="P46" s="413"/>
      <c r="Q46" s="413"/>
      <c r="R46" s="413"/>
      <c r="S46" s="413"/>
      <c r="T46" s="413"/>
      <c r="U46" s="413"/>
      <c r="V46" s="413"/>
      <c r="W46" s="413"/>
      <c r="X46" s="413"/>
      <c r="Y46" s="413"/>
      <c r="Z46" s="413"/>
    </row>
    <row r="47" spans="1:26">
      <c r="A47" s="413"/>
      <c r="B47" s="413"/>
      <c r="C47" s="413"/>
      <c r="D47" s="413"/>
      <c r="E47" s="413"/>
      <c r="F47" s="413"/>
      <c r="G47" s="413"/>
      <c r="H47" s="413"/>
      <c r="I47" s="413"/>
      <c r="J47" s="413"/>
      <c r="K47" s="413"/>
      <c r="L47" s="413"/>
      <c r="M47" s="413"/>
      <c r="N47" s="413"/>
      <c r="O47" s="413"/>
      <c r="P47" s="413"/>
      <c r="Q47" s="413"/>
      <c r="R47" s="413"/>
      <c r="S47" s="413"/>
      <c r="T47" s="413"/>
      <c r="U47" s="413"/>
      <c r="V47" s="413"/>
      <c r="W47" s="413"/>
      <c r="X47" s="413"/>
      <c r="Y47" s="413"/>
      <c r="Z47" s="413"/>
    </row>
    <row r="48" spans="1:26">
      <c r="A48" s="413"/>
      <c r="B48" s="413"/>
      <c r="C48" s="413"/>
      <c r="D48" s="413"/>
      <c r="E48" s="413"/>
      <c r="F48" s="413"/>
      <c r="G48" s="413"/>
      <c r="H48" s="413"/>
      <c r="I48" s="413"/>
      <c r="J48" s="413"/>
      <c r="K48" s="413"/>
      <c r="L48" s="413"/>
      <c r="M48" s="413"/>
      <c r="N48" s="413"/>
      <c r="O48" s="413"/>
      <c r="P48" s="413"/>
      <c r="Q48" s="413"/>
      <c r="R48" s="413"/>
      <c r="S48" s="413"/>
      <c r="T48" s="413"/>
      <c r="U48" s="413"/>
      <c r="V48" s="413"/>
      <c r="W48" s="413"/>
      <c r="X48" s="413"/>
      <c r="Y48" s="413"/>
      <c r="Z48" s="413"/>
    </row>
    <row r="49" spans="1:26">
      <c r="A49" s="413"/>
      <c r="B49" s="413"/>
      <c r="C49" s="413"/>
      <c r="D49" s="413"/>
      <c r="E49" s="413"/>
      <c r="F49" s="413"/>
      <c r="G49" s="413"/>
      <c r="H49" s="413"/>
      <c r="I49" s="413"/>
      <c r="J49" s="413"/>
      <c r="K49" s="413"/>
      <c r="L49" s="413"/>
      <c r="M49" s="413"/>
      <c r="N49" s="413"/>
      <c r="O49" s="413"/>
      <c r="P49" s="413"/>
      <c r="Q49" s="413"/>
      <c r="R49" s="413"/>
      <c r="S49" s="413"/>
      <c r="T49" s="413"/>
      <c r="U49" s="413"/>
      <c r="V49" s="413"/>
      <c r="W49" s="413"/>
      <c r="X49" s="413"/>
      <c r="Y49" s="413"/>
      <c r="Z49" s="413"/>
    </row>
    <row r="50" spans="1:26">
      <c r="A50" s="413"/>
      <c r="B50" s="413"/>
      <c r="C50" s="413"/>
      <c r="D50" s="413"/>
      <c r="E50" s="413"/>
      <c r="F50" s="413"/>
      <c r="G50" s="413"/>
      <c r="H50" s="413"/>
      <c r="I50" s="413"/>
      <c r="J50" s="413"/>
      <c r="K50" s="413"/>
      <c r="L50" s="413"/>
      <c r="M50" s="413"/>
      <c r="N50" s="413"/>
      <c r="O50" s="413"/>
      <c r="P50" s="413"/>
      <c r="Q50" s="413"/>
      <c r="R50" s="413"/>
      <c r="S50" s="413"/>
      <c r="T50" s="413"/>
      <c r="U50" s="413"/>
      <c r="V50" s="413"/>
      <c r="W50" s="413"/>
      <c r="X50" s="413"/>
      <c r="Y50" s="413"/>
      <c r="Z50" s="413"/>
    </row>
    <row r="51" spans="1:26">
      <c r="A51" s="413"/>
      <c r="B51" s="413"/>
      <c r="C51" s="413"/>
      <c r="D51" s="413"/>
      <c r="E51" s="413"/>
      <c r="F51" s="413"/>
      <c r="G51" s="413"/>
      <c r="H51" s="413"/>
      <c r="I51" s="413"/>
      <c r="J51" s="413"/>
      <c r="K51" s="413"/>
      <c r="L51" s="413"/>
      <c r="M51" s="413"/>
      <c r="N51" s="413"/>
      <c r="O51" s="413"/>
      <c r="P51" s="413"/>
      <c r="Q51" s="413"/>
      <c r="R51" s="413"/>
      <c r="S51" s="413"/>
      <c r="T51" s="413"/>
      <c r="U51" s="413"/>
      <c r="V51" s="413"/>
      <c r="W51" s="413"/>
      <c r="X51" s="413"/>
      <c r="Y51" s="413"/>
      <c r="Z51" s="413"/>
    </row>
    <row r="52" spans="1:26">
      <c r="A52" s="413"/>
      <c r="B52" s="413"/>
      <c r="C52" s="413"/>
      <c r="D52" s="413"/>
      <c r="E52" s="413"/>
      <c r="F52" s="413"/>
      <c r="G52" s="413"/>
      <c r="H52" s="413"/>
      <c r="I52" s="413"/>
      <c r="J52" s="413"/>
      <c r="K52" s="413"/>
      <c r="L52" s="413"/>
      <c r="M52" s="413"/>
      <c r="N52" s="413"/>
      <c r="O52" s="413"/>
      <c r="P52" s="413"/>
      <c r="Q52" s="413"/>
      <c r="R52" s="413"/>
      <c r="S52" s="413"/>
      <c r="T52" s="413"/>
      <c r="U52" s="413"/>
      <c r="V52" s="413"/>
      <c r="W52" s="413"/>
      <c r="X52" s="413"/>
      <c r="Y52" s="413"/>
      <c r="Z52" s="413"/>
    </row>
    <row r="53" spans="1:26">
      <c r="A53" s="413"/>
      <c r="B53" s="413"/>
      <c r="C53" s="413"/>
      <c r="D53" s="413"/>
      <c r="E53" s="413"/>
      <c r="F53" s="413"/>
      <c r="G53" s="413"/>
      <c r="H53" s="413"/>
      <c r="I53" s="413"/>
      <c r="J53" s="413"/>
      <c r="K53" s="413"/>
      <c r="L53" s="413"/>
      <c r="M53" s="413"/>
      <c r="N53" s="413"/>
      <c r="O53" s="413"/>
      <c r="P53" s="413"/>
      <c r="Q53" s="413"/>
      <c r="R53" s="413"/>
      <c r="S53" s="413"/>
      <c r="T53" s="413"/>
      <c r="U53" s="413"/>
      <c r="V53" s="413"/>
      <c r="W53" s="413"/>
      <c r="X53" s="413"/>
      <c r="Y53" s="413"/>
      <c r="Z53" s="413"/>
    </row>
    <row r="54" spans="1:26">
      <c r="A54" s="413"/>
      <c r="B54" s="413"/>
      <c r="C54" s="413"/>
      <c r="D54" s="413"/>
      <c r="E54" s="413"/>
      <c r="F54" s="413"/>
      <c r="G54" s="413"/>
      <c r="H54" s="413"/>
      <c r="I54" s="413"/>
      <c r="J54" s="413"/>
      <c r="K54" s="413"/>
      <c r="L54" s="413"/>
      <c r="M54" s="413"/>
      <c r="N54" s="413"/>
      <c r="O54" s="413"/>
      <c r="P54" s="413"/>
      <c r="Q54" s="413"/>
      <c r="R54" s="413"/>
      <c r="S54" s="413"/>
      <c r="T54" s="413"/>
      <c r="U54" s="413"/>
      <c r="V54" s="413"/>
      <c r="W54" s="413"/>
      <c r="X54" s="413"/>
      <c r="Y54" s="413"/>
      <c r="Z54" s="413"/>
    </row>
    <row r="55" spans="1:26">
      <c r="A55" s="413"/>
      <c r="B55" s="413"/>
      <c r="C55" s="413"/>
      <c r="D55" s="413"/>
      <c r="E55" s="413"/>
      <c r="F55" s="413"/>
      <c r="G55" s="413"/>
      <c r="H55" s="413"/>
      <c r="I55" s="413"/>
      <c r="J55" s="413"/>
      <c r="K55" s="413"/>
      <c r="L55" s="413"/>
      <c r="M55" s="413"/>
      <c r="N55" s="413"/>
      <c r="O55" s="413"/>
      <c r="P55" s="413"/>
      <c r="Q55" s="413"/>
      <c r="R55" s="413"/>
      <c r="S55" s="413"/>
      <c r="T55" s="413"/>
      <c r="U55" s="413"/>
      <c r="V55" s="413"/>
      <c r="W55" s="413"/>
      <c r="X55" s="413"/>
      <c r="Y55" s="413"/>
      <c r="Z55" s="413"/>
    </row>
    <row r="56" spans="1:26">
      <c r="A56" s="413"/>
      <c r="B56" s="413"/>
      <c r="C56" s="413"/>
      <c r="D56" s="413"/>
      <c r="E56" s="413"/>
      <c r="F56" s="413"/>
      <c r="G56" s="413"/>
      <c r="H56" s="413"/>
      <c r="I56" s="413"/>
      <c r="J56" s="413"/>
      <c r="K56" s="413"/>
      <c r="L56" s="413"/>
      <c r="M56" s="413"/>
      <c r="N56" s="413"/>
      <c r="O56" s="413"/>
      <c r="P56" s="413"/>
      <c r="Q56" s="413"/>
      <c r="R56" s="413"/>
      <c r="S56" s="413"/>
      <c r="T56" s="413"/>
      <c r="U56" s="413"/>
      <c r="V56" s="413"/>
      <c r="W56" s="413"/>
      <c r="X56" s="413"/>
      <c r="Y56" s="413"/>
      <c r="Z56" s="413"/>
    </row>
    <row r="57" spans="1:26">
      <c r="A57" s="413"/>
      <c r="B57" s="413"/>
      <c r="C57" s="413"/>
      <c r="D57" s="413"/>
      <c r="E57" s="413"/>
      <c r="F57" s="413"/>
      <c r="G57" s="413"/>
      <c r="H57" s="413"/>
      <c r="I57" s="413"/>
      <c r="J57" s="413"/>
      <c r="K57" s="413"/>
      <c r="L57" s="413"/>
      <c r="M57" s="413"/>
      <c r="N57" s="413"/>
      <c r="O57" s="413"/>
      <c r="P57" s="413"/>
      <c r="Q57" s="413"/>
      <c r="R57" s="413"/>
      <c r="S57" s="413"/>
      <c r="T57" s="413"/>
      <c r="U57" s="413"/>
      <c r="V57" s="413"/>
      <c r="W57" s="413"/>
      <c r="X57" s="413"/>
      <c r="Y57" s="413"/>
      <c r="Z57" s="413"/>
    </row>
    <row r="58" spans="1:26">
      <c r="A58" s="413"/>
      <c r="B58" s="413"/>
      <c r="C58" s="413"/>
      <c r="D58" s="413"/>
      <c r="E58" s="413"/>
      <c r="F58" s="413"/>
      <c r="G58" s="413"/>
      <c r="H58" s="413"/>
      <c r="I58" s="413"/>
      <c r="J58" s="413"/>
      <c r="K58" s="413"/>
      <c r="L58" s="413"/>
      <c r="M58" s="413"/>
      <c r="N58" s="413"/>
      <c r="O58" s="413"/>
      <c r="P58" s="413"/>
      <c r="Q58" s="413"/>
      <c r="R58" s="413"/>
      <c r="S58" s="413"/>
      <c r="T58" s="413"/>
      <c r="U58" s="413"/>
      <c r="V58" s="413"/>
      <c r="W58" s="413"/>
      <c r="X58" s="413"/>
      <c r="Y58" s="413"/>
      <c r="Z58" s="413"/>
    </row>
    <row r="59" spans="1:26">
      <c r="A59" s="413"/>
      <c r="B59" s="413"/>
      <c r="C59" s="413"/>
      <c r="D59" s="413"/>
      <c r="E59" s="413"/>
      <c r="F59" s="413"/>
      <c r="G59" s="413"/>
      <c r="H59" s="413"/>
      <c r="I59" s="413"/>
      <c r="J59" s="413"/>
      <c r="K59" s="413"/>
      <c r="L59" s="413"/>
      <c r="M59" s="413"/>
      <c r="N59" s="413"/>
      <c r="O59" s="413"/>
      <c r="P59" s="413"/>
      <c r="Q59" s="413"/>
      <c r="R59" s="413"/>
      <c r="S59" s="413"/>
      <c r="T59" s="413"/>
      <c r="U59" s="413"/>
      <c r="V59" s="413"/>
      <c r="W59" s="413"/>
      <c r="X59" s="413"/>
      <c r="Y59" s="413"/>
      <c r="Z59" s="413"/>
    </row>
    <row r="60" spans="1:26">
      <c r="A60" s="413"/>
      <c r="B60" s="413"/>
      <c r="C60" s="413"/>
      <c r="D60" s="413"/>
      <c r="E60" s="413"/>
      <c r="F60" s="413"/>
      <c r="G60" s="413"/>
      <c r="H60" s="413"/>
      <c r="I60" s="413"/>
      <c r="J60" s="413"/>
      <c r="K60" s="413"/>
      <c r="L60" s="413"/>
      <c r="M60" s="413"/>
      <c r="N60" s="413"/>
      <c r="O60" s="413"/>
      <c r="P60" s="413"/>
      <c r="Q60" s="413"/>
      <c r="R60" s="413"/>
      <c r="S60" s="413"/>
      <c r="T60" s="413"/>
      <c r="U60" s="413"/>
      <c r="V60" s="413"/>
      <c r="W60" s="413"/>
      <c r="X60" s="413"/>
      <c r="Y60" s="413"/>
      <c r="Z60" s="413"/>
    </row>
    <row r="61" spans="1:26">
      <c r="A61" s="413"/>
      <c r="B61" s="413"/>
      <c r="C61" s="413"/>
      <c r="D61" s="413"/>
      <c r="E61" s="413"/>
      <c r="F61" s="413"/>
      <c r="G61" s="413"/>
      <c r="H61" s="413"/>
      <c r="I61" s="413"/>
      <c r="J61" s="413"/>
      <c r="K61" s="413"/>
      <c r="L61" s="413"/>
      <c r="M61" s="413"/>
      <c r="N61" s="413"/>
      <c r="O61" s="413"/>
      <c r="P61" s="413"/>
      <c r="Q61" s="413"/>
      <c r="R61" s="413"/>
      <c r="S61" s="413"/>
      <c r="T61" s="413"/>
      <c r="U61" s="413"/>
      <c r="V61" s="413"/>
      <c r="W61" s="413"/>
      <c r="X61" s="413"/>
      <c r="Y61" s="413"/>
      <c r="Z61" s="413"/>
    </row>
    <row r="62" spans="1:26">
      <c r="A62" s="413"/>
      <c r="B62" s="413"/>
      <c r="C62" s="413"/>
      <c r="D62" s="413"/>
      <c r="E62" s="413"/>
      <c r="F62" s="413"/>
      <c r="G62" s="413"/>
      <c r="H62" s="413"/>
      <c r="I62" s="413"/>
      <c r="J62" s="413"/>
      <c r="K62" s="413"/>
      <c r="L62" s="413"/>
      <c r="M62" s="413"/>
      <c r="N62" s="413"/>
      <c r="O62" s="413"/>
      <c r="P62" s="413"/>
      <c r="Q62" s="413"/>
      <c r="R62" s="413"/>
      <c r="S62" s="413"/>
      <c r="T62" s="413"/>
      <c r="U62" s="413"/>
      <c r="V62" s="413"/>
      <c r="W62" s="413"/>
      <c r="X62" s="413"/>
      <c r="Y62" s="413"/>
      <c r="Z62" s="413"/>
    </row>
    <row r="63" spans="1:26">
      <c r="A63" s="413"/>
      <c r="B63" s="413"/>
      <c r="C63" s="413"/>
      <c r="D63" s="413"/>
      <c r="E63" s="413"/>
      <c r="F63" s="413"/>
      <c r="G63" s="413"/>
      <c r="H63" s="413"/>
      <c r="I63" s="413"/>
      <c r="J63" s="413"/>
      <c r="K63" s="413"/>
      <c r="L63" s="413"/>
      <c r="M63" s="413"/>
      <c r="N63" s="413"/>
      <c r="O63" s="413"/>
      <c r="P63" s="413"/>
      <c r="Q63" s="413"/>
      <c r="R63" s="413"/>
      <c r="S63" s="413"/>
      <c r="T63" s="413"/>
      <c r="U63" s="413"/>
      <c r="V63" s="413"/>
      <c r="W63" s="413"/>
      <c r="X63" s="413"/>
      <c r="Y63" s="413"/>
      <c r="Z63" s="413"/>
    </row>
    <row r="64" spans="1:26">
      <c r="A64" s="413"/>
      <c r="B64" s="413"/>
      <c r="C64" s="413"/>
      <c r="D64" s="413"/>
      <c r="E64" s="413"/>
      <c r="F64" s="413"/>
      <c r="G64" s="413"/>
      <c r="H64" s="413"/>
      <c r="I64" s="413"/>
      <c r="J64" s="413"/>
      <c r="K64" s="413"/>
      <c r="L64" s="413"/>
      <c r="M64" s="413"/>
      <c r="N64" s="413"/>
      <c r="O64" s="413"/>
      <c r="P64" s="413"/>
      <c r="Q64" s="413"/>
      <c r="R64" s="413"/>
      <c r="S64" s="413"/>
      <c r="T64" s="413"/>
      <c r="U64" s="413"/>
      <c r="V64" s="413"/>
      <c r="W64" s="413"/>
      <c r="X64" s="413"/>
      <c r="Y64" s="413"/>
      <c r="Z64" s="413"/>
    </row>
    <row r="65" spans="1:26">
      <c r="A65" s="413"/>
      <c r="B65" s="413"/>
      <c r="C65" s="413"/>
      <c r="D65" s="413"/>
      <c r="E65" s="413"/>
      <c r="F65" s="413"/>
      <c r="G65" s="413"/>
      <c r="H65" s="413"/>
      <c r="I65" s="413"/>
      <c r="J65" s="413"/>
      <c r="K65" s="413"/>
      <c r="L65" s="413"/>
      <c r="M65" s="413"/>
      <c r="N65" s="413"/>
      <c r="O65" s="413"/>
      <c r="P65" s="413"/>
      <c r="Q65" s="413"/>
      <c r="R65" s="413"/>
      <c r="S65" s="413"/>
      <c r="T65" s="413"/>
      <c r="U65" s="413"/>
      <c r="V65" s="413"/>
      <c r="W65" s="413"/>
      <c r="X65" s="413"/>
      <c r="Y65" s="413"/>
      <c r="Z65" s="413"/>
    </row>
    <row r="66" spans="1:26">
      <c r="A66" s="413"/>
      <c r="B66" s="413"/>
      <c r="C66" s="413"/>
      <c r="D66" s="413"/>
      <c r="E66" s="413"/>
      <c r="F66" s="413"/>
      <c r="G66" s="413"/>
      <c r="H66" s="413"/>
      <c r="I66" s="413"/>
      <c r="J66" s="413"/>
      <c r="K66" s="413"/>
      <c r="L66" s="413"/>
      <c r="M66" s="413"/>
      <c r="N66" s="413"/>
      <c r="O66" s="413"/>
      <c r="P66" s="413"/>
      <c r="Q66" s="413"/>
      <c r="R66" s="413"/>
      <c r="S66" s="413"/>
      <c r="T66" s="413"/>
      <c r="U66" s="413"/>
      <c r="V66" s="413"/>
      <c r="W66" s="413"/>
      <c r="X66" s="413"/>
      <c r="Y66" s="413"/>
      <c r="Z66" s="413"/>
    </row>
    <row r="67" spans="1:26">
      <c r="A67" s="413"/>
      <c r="B67" s="413"/>
      <c r="C67" s="413"/>
      <c r="D67" s="413"/>
      <c r="E67" s="413"/>
      <c r="F67" s="413"/>
      <c r="G67" s="413"/>
      <c r="H67" s="413"/>
      <c r="I67" s="413"/>
      <c r="J67" s="413"/>
      <c r="K67" s="413"/>
      <c r="L67" s="413"/>
      <c r="M67" s="413"/>
      <c r="N67" s="413"/>
      <c r="O67" s="413"/>
      <c r="P67" s="413"/>
      <c r="Q67" s="413"/>
      <c r="R67" s="413"/>
      <c r="S67" s="413"/>
      <c r="T67" s="413"/>
      <c r="U67" s="413"/>
      <c r="V67" s="413"/>
      <c r="W67" s="413"/>
      <c r="X67" s="413"/>
      <c r="Y67" s="413"/>
      <c r="Z67" s="413"/>
    </row>
    <row r="68" spans="1:26">
      <c r="A68" s="413"/>
      <c r="B68" s="413"/>
      <c r="C68" s="413"/>
      <c r="D68" s="413"/>
      <c r="E68" s="413"/>
      <c r="F68" s="413"/>
      <c r="G68" s="413"/>
      <c r="H68" s="413"/>
      <c r="I68" s="413"/>
      <c r="J68" s="413"/>
      <c r="K68" s="413"/>
      <c r="L68" s="413"/>
      <c r="M68" s="413"/>
      <c r="N68" s="413"/>
      <c r="O68" s="413"/>
      <c r="P68" s="413"/>
      <c r="Q68" s="413"/>
      <c r="R68" s="413"/>
      <c r="S68" s="413"/>
      <c r="T68" s="413"/>
      <c r="U68" s="413"/>
      <c r="V68" s="413"/>
      <c r="W68" s="413"/>
      <c r="X68" s="413"/>
      <c r="Y68" s="413"/>
      <c r="Z68" s="413"/>
    </row>
    <row r="69" spans="1:26">
      <c r="A69" s="413"/>
      <c r="B69" s="413"/>
      <c r="C69" s="413"/>
      <c r="D69" s="413"/>
      <c r="E69" s="413"/>
      <c r="F69" s="413"/>
      <c r="G69" s="413"/>
      <c r="H69" s="413"/>
      <c r="I69" s="413"/>
      <c r="J69" s="413"/>
      <c r="K69" s="413"/>
      <c r="L69" s="413"/>
      <c r="M69" s="413"/>
      <c r="N69" s="413"/>
      <c r="O69" s="413"/>
      <c r="P69" s="413"/>
      <c r="Q69" s="413"/>
      <c r="R69" s="413"/>
      <c r="S69" s="413"/>
      <c r="T69" s="413"/>
      <c r="U69" s="413"/>
      <c r="V69" s="413"/>
      <c r="W69" s="413"/>
      <c r="X69" s="413"/>
      <c r="Y69" s="413"/>
      <c r="Z69" s="413"/>
    </row>
    <row r="70" spans="1:26">
      <c r="A70" s="413"/>
      <c r="B70" s="413"/>
      <c r="C70" s="413"/>
      <c r="D70" s="413"/>
      <c r="E70" s="413"/>
      <c r="F70" s="413"/>
      <c r="G70" s="413"/>
      <c r="H70" s="413"/>
      <c r="I70" s="413"/>
      <c r="J70" s="413"/>
      <c r="K70" s="413"/>
      <c r="L70" s="413"/>
      <c r="M70" s="413"/>
      <c r="N70" s="413"/>
      <c r="O70" s="413"/>
      <c r="P70" s="413"/>
      <c r="Q70" s="413"/>
      <c r="R70" s="413"/>
      <c r="S70" s="413"/>
      <c r="T70" s="413"/>
      <c r="U70" s="413"/>
      <c r="V70" s="413"/>
      <c r="W70" s="413"/>
      <c r="X70" s="413"/>
      <c r="Y70" s="413"/>
      <c r="Z70" s="413"/>
    </row>
    <row r="71" spans="1:26">
      <c r="A71" s="413"/>
      <c r="B71" s="413"/>
      <c r="C71" s="413"/>
      <c r="D71" s="413"/>
      <c r="E71" s="413"/>
      <c r="F71" s="413"/>
      <c r="G71" s="413"/>
      <c r="H71" s="413"/>
      <c r="I71" s="413"/>
      <c r="J71" s="413"/>
      <c r="K71" s="413"/>
      <c r="L71" s="413"/>
      <c r="M71" s="413"/>
      <c r="N71" s="413"/>
      <c r="O71" s="413"/>
      <c r="P71" s="413"/>
      <c r="Q71" s="413"/>
      <c r="R71" s="413"/>
      <c r="S71" s="413"/>
      <c r="T71" s="413"/>
      <c r="U71" s="413"/>
      <c r="V71" s="413"/>
      <c r="W71" s="413"/>
      <c r="X71" s="413"/>
      <c r="Y71" s="413"/>
      <c r="Z71" s="413"/>
    </row>
    <row r="72" spans="1:26">
      <c r="A72" s="413"/>
      <c r="B72" s="413"/>
      <c r="C72" s="413"/>
      <c r="D72" s="413"/>
      <c r="E72" s="413"/>
      <c r="F72" s="413"/>
      <c r="G72" s="413"/>
      <c r="H72" s="413"/>
      <c r="I72" s="413"/>
      <c r="J72" s="413"/>
      <c r="K72" s="413"/>
      <c r="L72" s="413"/>
      <c r="M72" s="413"/>
      <c r="N72" s="413"/>
      <c r="O72" s="413"/>
      <c r="P72" s="413"/>
      <c r="Q72" s="413"/>
      <c r="R72" s="413"/>
      <c r="S72" s="413"/>
      <c r="T72" s="413"/>
      <c r="U72" s="413"/>
      <c r="V72" s="413"/>
      <c r="W72" s="413"/>
      <c r="X72" s="413"/>
      <c r="Y72" s="413"/>
      <c r="Z72" s="413"/>
    </row>
    <row r="73" spans="1:26">
      <c r="A73" s="413"/>
      <c r="B73" s="413"/>
      <c r="C73" s="413"/>
      <c r="D73" s="413"/>
      <c r="E73" s="413"/>
      <c r="F73" s="413"/>
      <c r="G73" s="413"/>
      <c r="H73" s="413"/>
      <c r="I73" s="413"/>
      <c r="J73" s="413"/>
      <c r="K73" s="413"/>
      <c r="L73" s="413"/>
      <c r="M73" s="413"/>
      <c r="N73" s="413"/>
      <c r="O73" s="413"/>
      <c r="P73" s="413"/>
      <c r="Q73" s="413"/>
      <c r="R73" s="413"/>
      <c r="S73" s="413"/>
      <c r="T73" s="413"/>
      <c r="U73" s="413"/>
      <c r="V73" s="413"/>
      <c r="W73" s="413"/>
      <c r="X73" s="413"/>
      <c r="Y73" s="413"/>
      <c r="Z73" s="413"/>
    </row>
    <row r="74" spans="1:26">
      <c r="A74" s="413"/>
      <c r="B74" s="413"/>
      <c r="C74" s="413"/>
      <c r="D74" s="413"/>
      <c r="E74" s="413"/>
      <c r="F74" s="413"/>
      <c r="G74" s="413"/>
      <c r="H74" s="413"/>
      <c r="I74" s="413"/>
      <c r="J74" s="413"/>
      <c r="K74" s="413"/>
      <c r="L74" s="413"/>
      <c r="M74" s="413"/>
      <c r="N74" s="413"/>
      <c r="O74" s="413"/>
      <c r="P74" s="413"/>
      <c r="Q74" s="413"/>
      <c r="R74" s="413"/>
      <c r="S74" s="413"/>
      <c r="T74" s="413"/>
      <c r="U74" s="413"/>
      <c r="V74" s="413"/>
      <c r="W74" s="413"/>
      <c r="X74" s="413"/>
      <c r="Y74" s="413"/>
      <c r="Z74" s="413"/>
    </row>
    <row r="75" spans="1:26">
      <c r="A75" s="413"/>
      <c r="B75" s="413"/>
      <c r="C75" s="413"/>
      <c r="D75" s="413"/>
      <c r="E75" s="413"/>
      <c r="F75" s="413"/>
      <c r="G75" s="413"/>
      <c r="H75" s="413"/>
      <c r="I75" s="413"/>
      <c r="J75" s="413"/>
      <c r="K75" s="413"/>
      <c r="L75" s="413"/>
      <c r="M75" s="413"/>
      <c r="N75" s="413"/>
      <c r="O75" s="413"/>
      <c r="P75" s="413"/>
      <c r="Q75" s="413"/>
      <c r="R75" s="413"/>
      <c r="S75" s="413"/>
      <c r="T75" s="413"/>
      <c r="U75" s="413"/>
      <c r="V75" s="413"/>
      <c r="W75" s="413"/>
      <c r="X75" s="413"/>
      <c r="Y75" s="413"/>
      <c r="Z75" s="413"/>
    </row>
    <row r="76" spans="1:26">
      <c r="A76" s="413"/>
      <c r="B76" s="413"/>
      <c r="C76" s="413"/>
      <c r="D76" s="413"/>
      <c r="E76" s="413"/>
      <c r="F76" s="413"/>
      <c r="G76" s="413"/>
      <c r="H76" s="413"/>
      <c r="I76" s="413"/>
      <c r="J76" s="413"/>
      <c r="K76" s="413"/>
      <c r="L76" s="413"/>
      <c r="M76" s="413"/>
      <c r="N76" s="413"/>
      <c r="O76" s="413"/>
      <c r="P76" s="413"/>
      <c r="Q76" s="413"/>
      <c r="R76" s="413"/>
      <c r="S76" s="413"/>
      <c r="T76" s="413"/>
      <c r="U76" s="413"/>
      <c r="V76" s="413"/>
      <c r="W76" s="413"/>
      <c r="X76" s="413"/>
      <c r="Y76" s="413"/>
      <c r="Z76" s="413"/>
    </row>
    <row r="77" spans="1:26">
      <c r="A77" s="413"/>
      <c r="B77" s="413"/>
      <c r="C77" s="413"/>
      <c r="D77" s="413"/>
      <c r="E77" s="413"/>
      <c r="F77" s="413"/>
      <c r="G77" s="413"/>
      <c r="H77" s="413"/>
      <c r="I77" s="413"/>
      <c r="J77" s="413"/>
      <c r="K77" s="413"/>
      <c r="L77" s="413"/>
      <c r="M77" s="413"/>
      <c r="N77" s="413"/>
      <c r="O77" s="413"/>
      <c r="P77" s="413"/>
      <c r="Q77" s="413"/>
      <c r="R77" s="413"/>
      <c r="S77" s="413"/>
      <c r="T77" s="413"/>
      <c r="U77" s="413"/>
      <c r="V77" s="413"/>
      <c r="W77" s="413"/>
      <c r="X77" s="413"/>
      <c r="Y77" s="413"/>
      <c r="Z77" s="413"/>
    </row>
    <row r="78" spans="1:26">
      <c r="A78" s="413"/>
      <c r="B78" s="413"/>
      <c r="C78" s="413"/>
      <c r="D78" s="413"/>
      <c r="E78" s="413"/>
      <c r="F78" s="413"/>
      <c r="G78" s="413"/>
      <c r="H78" s="413"/>
      <c r="I78" s="413"/>
      <c r="J78" s="413"/>
      <c r="K78" s="413"/>
      <c r="L78" s="413"/>
      <c r="M78" s="413"/>
      <c r="N78" s="413"/>
      <c r="O78" s="413"/>
      <c r="P78" s="413"/>
      <c r="Q78" s="413"/>
      <c r="R78" s="413"/>
      <c r="S78" s="413"/>
      <c r="T78" s="413"/>
      <c r="U78" s="413"/>
      <c r="V78" s="413"/>
      <c r="W78" s="413"/>
      <c r="X78" s="413"/>
      <c r="Y78" s="413"/>
      <c r="Z78" s="413"/>
    </row>
    <row r="79" spans="1:26">
      <c r="A79" s="413"/>
      <c r="B79" s="413"/>
      <c r="C79" s="413"/>
      <c r="D79" s="413"/>
      <c r="E79" s="413"/>
      <c r="F79" s="413"/>
      <c r="G79" s="413"/>
      <c r="H79" s="413"/>
      <c r="I79" s="413"/>
      <c r="J79" s="413"/>
      <c r="K79" s="413"/>
      <c r="L79" s="413"/>
      <c r="M79" s="413"/>
      <c r="N79" s="413"/>
      <c r="O79" s="413"/>
      <c r="P79" s="413"/>
      <c r="Q79" s="413"/>
      <c r="R79" s="413"/>
      <c r="S79" s="413"/>
      <c r="T79" s="413"/>
      <c r="U79" s="413"/>
      <c r="V79" s="413"/>
      <c r="W79" s="413"/>
      <c r="X79" s="413"/>
      <c r="Y79" s="413"/>
      <c r="Z79" s="413"/>
    </row>
    <row r="80" spans="1:26">
      <c r="A80" s="413"/>
      <c r="B80" s="413"/>
      <c r="C80" s="413"/>
      <c r="D80" s="413"/>
      <c r="E80" s="413"/>
      <c r="F80" s="413"/>
      <c r="G80" s="413"/>
      <c r="H80" s="413"/>
      <c r="I80" s="413"/>
      <c r="J80" s="413"/>
      <c r="K80" s="413"/>
      <c r="L80" s="413"/>
      <c r="M80" s="413"/>
      <c r="N80" s="413"/>
      <c r="O80" s="413"/>
      <c r="P80" s="413"/>
      <c r="Q80" s="413"/>
      <c r="R80" s="413"/>
      <c r="S80" s="413"/>
      <c r="T80" s="413"/>
      <c r="U80" s="413"/>
      <c r="V80" s="413"/>
      <c r="W80" s="413"/>
      <c r="X80" s="413"/>
      <c r="Y80" s="413"/>
      <c r="Z80" s="413"/>
    </row>
    <row r="81" spans="1:26">
      <c r="A81" s="413"/>
      <c r="B81" s="413"/>
      <c r="C81" s="413"/>
      <c r="D81" s="413"/>
      <c r="E81" s="413"/>
      <c r="F81" s="413"/>
      <c r="G81" s="413"/>
      <c r="H81" s="413"/>
      <c r="I81" s="413"/>
      <c r="J81" s="413"/>
      <c r="K81" s="413"/>
      <c r="L81" s="413"/>
      <c r="M81" s="413"/>
      <c r="N81" s="413"/>
      <c r="O81" s="413"/>
      <c r="P81" s="413"/>
      <c r="Q81" s="413"/>
      <c r="R81" s="413"/>
      <c r="S81" s="413"/>
      <c r="T81" s="413"/>
      <c r="U81" s="413"/>
      <c r="V81" s="413"/>
      <c r="W81" s="413"/>
      <c r="X81" s="413"/>
      <c r="Y81" s="413"/>
      <c r="Z81" s="413"/>
    </row>
    <row r="82" spans="1:26">
      <c r="A82" s="413"/>
      <c r="B82" s="413"/>
      <c r="C82" s="413"/>
      <c r="D82" s="413"/>
      <c r="E82" s="413"/>
      <c r="F82" s="413"/>
      <c r="G82" s="413"/>
      <c r="H82" s="413"/>
      <c r="I82" s="413"/>
      <c r="J82" s="413"/>
      <c r="K82" s="413"/>
      <c r="L82" s="413"/>
      <c r="M82" s="413"/>
      <c r="N82" s="413"/>
      <c r="O82" s="413"/>
      <c r="P82" s="413"/>
      <c r="Q82" s="413"/>
      <c r="R82" s="413"/>
      <c r="S82" s="413"/>
      <c r="T82" s="413"/>
      <c r="U82" s="413"/>
      <c r="V82" s="413"/>
      <c r="W82" s="413"/>
      <c r="X82" s="413"/>
      <c r="Y82" s="413"/>
      <c r="Z82" s="413"/>
    </row>
    <row r="83" spans="1:26">
      <c r="A83" s="413"/>
      <c r="B83" s="413"/>
      <c r="C83" s="413"/>
      <c r="D83" s="413"/>
      <c r="E83" s="413"/>
      <c r="F83" s="413"/>
      <c r="G83" s="413"/>
      <c r="H83" s="413"/>
      <c r="I83" s="413"/>
      <c r="J83" s="413"/>
      <c r="K83" s="413"/>
      <c r="L83" s="413"/>
      <c r="M83" s="413"/>
      <c r="N83" s="413"/>
      <c r="O83" s="413"/>
      <c r="P83" s="413"/>
      <c r="Q83" s="413"/>
      <c r="R83" s="413"/>
      <c r="S83" s="413"/>
      <c r="T83" s="413"/>
      <c r="U83" s="413"/>
      <c r="V83" s="413"/>
      <c r="W83" s="413"/>
      <c r="X83" s="413"/>
      <c r="Y83" s="413"/>
      <c r="Z83" s="413"/>
    </row>
    <row r="84" spans="1:26">
      <c r="A84" s="413"/>
      <c r="B84" s="413"/>
      <c r="C84" s="413"/>
      <c r="D84" s="413"/>
      <c r="E84" s="413"/>
      <c r="F84" s="413"/>
      <c r="G84" s="413"/>
      <c r="H84" s="413"/>
      <c r="I84" s="413"/>
      <c r="J84" s="413"/>
      <c r="K84" s="413"/>
      <c r="L84" s="413"/>
      <c r="M84" s="413"/>
      <c r="N84" s="413"/>
      <c r="O84" s="413"/>
      <c r="P84" s="413"/>
      <c r="Q84" s="413"/>
      <c r="R84" s="413"/>
      <c r="S84" s="413"/>
      <c r="T84" s="413"/>
      <c r="U84" s="413"/>
      <c r="V84" s="413"/>
      <c r="W84" s="413"/>
      <c r="X84" s="413"/>
      <c r="Y84" s="413"/>
      <c r="Z84" s="413"/>
    </row>
    <row r="85" spans="1:26">
      <c r="A85" s="413"/>
      <c r="B85" s="413"/>
      <c r="C85" s="413"/>
      <c r="D85" s="413"/>
      <c r="E85" s="413"/>
      <c r="F85" s="413"/>
      <c r="G85" s="413"/>
      <c r="H85" s="413"/>
      <c r="I85" s="413"/>
      <c r="J85" s="413"/>
      <c r="K85" s="413"/>
      <c r="L85" s="413"/>
      <c r="M85" s="413"/>
      <c r="N85" s="413"/>
      <c r="O85" s="413"/>
      <c r="P85" s="413"/>
      <c r="Q85" s="413"/>
      <c r="R85" s="413"/>
      <c r="S85" s="413"/>
      <c r="T85" s="413"/>
      <c r="U85" s="413"/>
      <c r="V85" s="413"/>
      <c r="W85" s="413"/>
      <c r="X85" s="413"/>
      <c r="Y85" s="413"/>
      <c r="Z85" s="413"/>
    </row>
    <row r="86" spans="1:26">
      <c r="A86" s="413"/>
      <c r="B86" s="413"/>
      <c r="C86" s="413"/>
      <c r="D86" s="413"/>
      <c r="E86" s="413"/>
      <c r="F86" s="413"/>
      <c r="G86" s="413"/>
      <c r="H86" s="413"/>
      <c r="I86" s="413"/>
      <c r="J86" s="413"/>
      <c r="K86" s="413"/>
      <c r="L86" s="413"/>
      <c r="M86" s="413"/>
      <c r="N86" s="413"/>
      <c r="O86" s="413"/>
      <c r="P86" s="413"/>
      <c r="Q86" s="413"/>
      <c r="R86" s="413"/>
      <c r="S86" s="413"/>
      <c r="T86" s="413"/>
      <c r="U86" s="413"/>
      <c r="V86" s="413"/>
      <c r="W86" s="413"/>
      <c r="X86" s="413"/>
      <c r="Y86" s="413"/>
      <c r="Z86" s="413"/>
    </row>
    <row r="87" spans="1:26">
      <c r="A87" s="413"/>
      <c r="B87" s="413"/>
      <c r="C87" s="413"/>
      <c r="D87" s="413"/>
      <c r="E87" s="413"/>
      <c r="F87" s="413"/>
      <c r="G87" s="413"/>
      <c r="H87" s="413"/>
      <c r="I87" s="413"/>
      <c r="J87" s="413"/>
      <c r="K87" s="413"/>
      <c r="L87" s="413"/>
      <c r="M87" s="413"/>
      <c r="N87" s="413"/>
      <c r="O87" s="413"/>
      <c r="P87" s="413"/>
      <c r="Q87" s="413"/>
      <c r="R87" s="413"/>
      <c r="S87" s="413"/>
      <c r="T87" s="413"/>
      <c r="U87" s="413"/>
      <c r="V87" s="413"/>
      <c r="W87" s="413"/>
      <c r="X87" s="413"/>
      <c r="Y87" s="413"/>
      <c r="Z87" s="413"/>
    </row>
    <row r="88" spans="1:26">
      <c r="A88" s="413"/>
      <c r="B88" s="413"/>
      <c r="C88" s="413"/>
      <c r="D88" s="413"/>
      <c r="E88" s="413"/>
      <c r="F88" s="413"/>
      <c r="G88" s="413"/>
      <c r="H88" s="413"/>
      <c r="I88" s="413"/>
      <c r="J88" s="413"/>
      <c r="K88" s="413"/>
      <c r="L88" s="413"/>
      <c r="M88" s="413"/>
      <c r="N88" s="413"/>
      <c r="O88" s="413"/>
      <c r="P88" s="413"/>
      <c r="Q88" s="413"/>
      <c r="R88" s="413"/>
      <c r="S88" s="413"/>
      <c r="T88" s="413"/>
      <c r="U88" s="413"/>
      <c r="V88" s="413"/>
      <c r="W88" s="413"/>
      <c r="X88" s="413"/>
      <c r="Y88" s="413"/>
      <c r="Z88" s="413"/>
    </row>
    <row r="89" spans="1:26">
      <c r="A89" s="413"/>
      <c r="B89" s="413"/>
      <c r="C89" s="413"/>
      <c r="D89" s="413"/>
      <c r="E89" s="413"/>
      <c r="F89" s="413"/>
      <c r="G89" s="413"/>
      <c r="H89" s="413"/>
      <c r="I89" s="413"/>
      <c r="J89" s="413"/>
      <c r="K89" s="413"/>
      <c r="L89" s="413"/>
      <c r="M89" s="413"/>
      <c r="N89" s="413"/>
      <c r="O89" s="413"/>
      <c r="P89" s="413"/>
      <c r="Q89" s="413"/>
      <c r="R89" s="413"/>
      <c r="S89" s="413"/>
      <c r="T89" s="413"/>
      <c r="U89" s="413"/>
      <c r="V89" s="413"/>
      <c r="W89" s="413"/>
      <c r="X89" s="413"/>
      <c r="Y89" s="413"/>
      <c r="Z89" s="413"/>
    </row>
    <row r="90" spans="1:26">
      <c r="A90" s="413"/>
      <c r="B90" s="413"/>
      <c r="C90" s="413"/>
      <c r="D90" s="413"/>
      <c r="E90" s="413"/>
      <c r="F90" s="413"/>
      <c r="G90" s="413"/>
      <c r="H90" s="413"/>
      <c r="I90" s="413"/>
      <c r="J90" s="413"/>
      <c r="K90" s="413"/>
      <c r="L90" s="413"/>
      <c r="M90" s="413"/>
      <c r="N90" s="413"/>
      <c r="O90" s="413"/>
      <c r="P90" s="413"/>
      <c r="Q90" s="413"/>
      <c r="R90" s="413"/>
      <c r="S90" s="413"/>
      <c r="T90" s="413"/>
      <c r="U90" s="413"/>
      <c r="V90" s="413"/>
      <c r="W90" s="413"/>
      <c r="X90" s="413"/>
      <c r="Y90" s="413"/>
      <c r="Z90" s="413"/>
    </row>
    <row r="91" spans="1:26">
      <c r="A91" s="413"/>
      <c r="B91" s="413"/>
      <c r="C91" s="413"/>
      <c r="D91" s="413"/>
      <c r="E91" s="413"/>
      <c r="F91" s="413"/>
      <c r="G91" s="413"/>
      <c r="H91" s="413"/>
      <c r="I91" s="413"/>
      <c r="J91" s="413"/>
      <c r="K91" s="413"/>
      <c r="L91" s="413"/>
      <c r="M91" s="413"/>
      <c r="N91" s="413"/>
      <c r="O91" s="413"/>
      <c r="P91" s="413"/>
      <c r="Q91" s="413"/>
      <c r="R91" s="413"/>
      <c r="S91" s="413"/>
      <c r="T91" s="413"/>
      <c r="U91" s="413"/>
      <c r="V91" s="413"/>
      <c r="W91" s="413"/>
      <c r="X91" s="413"/>
      <c r="Y91" s="413"/>
      <c r="Z91" s="413"/>
    </row>
    <row r="92" spans="1:26">
      <c r="A92" s="413"/>
      <c r="B92" s="413"/>
      <c r="C92" s="413"/>
      <c r="D92" s="413"/>
      <c r="E92" s="413"/>
      <c r="F92" s="413"/>
      <c r="G92" s="413"/>
      <c r="H92" s="413"/>
      <c r="I92" s="413"/>
      <c r="J92" s="413"/>
      <c r="K92" s="413"/>
      <c r="L92" s="413"/>
      <c r="M92" s="413"/>
      <c r="N92" s="413"/>
      <c r="O92" s="413"/>
      <c r="P92" s="413"/>
      <c r="Q92" s="413"/>
      <c r="R92" s="413"/>
      <c r="S92" s="413"/>
      <c r="T92" s="413"/>
      <c r="U92" s="413"/>
      <c r="V92" s="413"/>
      <c r="W92" s="413"/>
      <c r="X92" s="413"/>
      <c r="Y92" s="413"/>
      <c r="Z92" s="413"/>
    </row>
    <row r="93" spans="1:26">
      <c r="A93" s="413"/>
      <c r="B93" s="413"/>
      <c r="C93" s="413"/>
      <c r="D93" s="413"/>
      <c r="E93" s="413"/>
      <c r="F93" s="413"/>
      <c r="G93" s="413"/>
      <c r="H93" s="413"/>
      <c r="I93" s="413"/>
      <c r="J93" s="413"/>
      <c r="K93" s="413"/>
      <c r="L93" s="413"/>
      <c r="M93" s="413"/>
      <c r="N93" s="413"/>
      <c r="O93" s="413"/>
      <c r="P93" s="413"/>
      <c r="Q93" s="413"/>
      <c r="R93" s="413"/>
      <c r="S93" s="413"/>
      <c r="T93" s="413"/>
      <c r="U93" s="413"/>
      <c r="V93" s="413"/>
      <c r="W93" s="413"/>
      <c r="X93" s="413"/>
      <c r="Y93" s="413"/>
      <c r="Z93" s="413"/>
    </row>
    <row r="94" spans="1:26">
      <c r="A94" s="413"/>
      <c r="B94" s="413"/>
      <c r="C94" s="413"/>
      <c r="D94" s="413"/>
      <c r="E94" s="413"/>
      <c r="F94" s="413"/>
      <c r="G94" s="413"/>
      <c r="H94" s="413"/>
      <c r="I94" s="413"/>
      <c r="J94" s="413"/>
      <c r="K94" s="413"/>
      <c r="L94" s="413"/>
      <c r="M94" s="413"/>
      <c r="N94" s="413"/>
      <c r="O94" s="413"/>
      <c r="P94" s="413"/>
      <c r="Q94" s="413"/>
      <c r="R94" s="413"/>
      <c r="S94" s="413"/>
      <c r="T94" s="413"/>
      <c r="U94" s="413"/>
      <c r="V94" s="413"/>
      <c r="W94" s="413"/>
      <c r="X94" s="413"/>
      <c r="Y94" s="413"/>
      <c r="Z94" s="413"/>
    </row>
    <row r="95" spans="1:26">
      <c r="A95" s="413"/>
      <c r="B95" s="413"/>
      <c r="C95" s="413"/>
      <c r="D95" s="413"/>
      <c r="E95" s="413"/>
      <c r="F95" s="413"/>
      <c r="G95" s="413"/>
      <c r="H95" s="413"/>
      <c r="I95" s="413"/>
      <c r="J95" s="413"/>
      <c r="K95" s="413"/>
      <c r="L95" s="413"/>
      <c r="M95" s="413"/>
      <c r="N95" s="413"/>
      <c r="O95" s="413"/>
      <c r="P95" s="413"/>
      <c r="Q95" s="413"/>
      <c r="R95" s="413"/>
      <c r="S95" s="413"/>
      <c r="T95" s="413"/>
      <c r="U95" s="413"/>
      <c r="V95" s="413"/>
      <c r="W95" s="413"/>
      <c r="X95" s="413"/>
      <c r="Y95" s="413"/>
      <c r="Z95" s="413"/>
    </row>
    <row r="96" spans="1:26">
      <c r="A96" s="413"/>
      <c r="B96" s="413"/>
      <c r="C96" s="413"/>
      <c r="D96" s="413"/>
      <c r="E96" s="413"/>
      <c r="F96" s="413"/>
      <c r="G96" s="413"/>
      <c r="H96" s="413"/>
      <c r="I96" s="413"/>
      <c r="J96" s="413"/>
      <c r="K96" s="413"/>
      <c r="L96" s="413"/>
      <c r="M96" s="413"/>
      <c r="N96" s="413"/>
      <c r="O96" s="413"/>
      <c r="P96" s="413"/>
      <c r="Q96" s="413"/>
      <c r="R96" s="413"/>
      <c r="S96" s="413"/>
      <c r="T96" s="413"/>
      <c r="U96" s="413"/>
      <c r="V96" s="413"/>
      <c r="W96" s="413"/>
      <c r="X96" s="413"/>
      <c r="Y96" s="413"/>
      <c r="Z96" s="413"/>
    </row>
    <row r="97" spans="1:26">
      <c r="A97" s="413"/>
      <c r="B97" s="413"/>
      <c r="C97" s="413"/>
      <c r="D97" s="413"/>
      <c r="E97" s="413"/>
      <c r="F97" s="413"/>
      <c r="G97" s="413"/>
      <c r="H97" s="413"/>
      <c r="I97" s="413"/>
      <c r="J97" s="413"/>
      <c r="K97" s="413"/>
      <c r="L97" s="413"/>
      <c r="M97" s="413"/>
      <c r="N97" s="413"/>
      <c r="O97" s="413"/>
      <c r="P97" s="413"/>
      <c r="Q97" s="413"/>
      <c r="R97" s="413"/>
      <c r="S97" s="413"/>
      <c r="T97" s="413"/>
      <c r="U97" s="413"/>
      <c r="V97" s="413"/>
      <c r="W97" s="413"/>
      <c r="X97" s="413"/>
      <c r="Y97" s="413"/>
      <c r="Z97" s="413"/>
    </row>
    <row r="98" spans="1:26">
      <c r="A98" s="413"/>
      <c r="B98" s="413"/>
      <c r="C98" s="413"/>
      <c r="D98" s="413"/>
      <c r="E98" s="413"/>
      <c r="F98" s="413"/>
      <c r="G98" s="413"/>
      <c r="H98" s="413"/>
      <c r="I98" s="413"/>
      <c r="J98" s="413"/>
      <c r="K98" s="413"/>
      <c r="L98" s="413"/>
      <c r="M98" s="413"/>
      <c r="N98" s="413"/>
      <c r="O98" s="413"/>
      <c r="P98" s="413"/>
      <c r="Q98" s="413"/>
      <c r="R98" s="413"/>
      <c r="S98" s="413"/>
      <c r="T98" s="413"/>
      <c r="U98" s="413"/>
      <c r="V98" s="413"/>
      <c r="W98" s="413"/>
      <c r="X98" s="413"/>
      <c r="Y98" s="413"/>
      <c r="Z98" s="413"/>
    </row>
    <row r="99" spans="1:26">
      <c r="A99" s="413"/>
      <c r="B99" s="413"/>
      <c r="C99" s="413"/>
      <c r="D99" s="413"/>
      <c r="E99" s="413"/>
      <c r="F99" s="413"/>
      <c r="G99" s="413"/>
      <c r="H99" s="413"/>
      <c r="I99" s="413"/>
      <c r="J99" s="413"/>
      <c r="K99" s="413"/>
      <c r="L99" s="413"/>
      <c r="M99" s="413"/>
      <c r="N99" s="413"/>
      <c r="O99" s="413"/>
      <c r="P99" s="413"/>
      <c r="Q99" s="413"/>
      <c r="R99" s="413"/>
      <c r="S99" s="413"/>
      <c r="T99" s="413"/>
      <c r="U99" s="413"/>
      <c r="V99" s="413"/>
      <c r="W99" s="413"/>
      <c r="X99" s="413"/>
      <c r="Y99" s="413"/>
      <c r="Z99" s="413"/>
    </row>
  </sheetData>
  <mergeCells count="9">
    <mergeCell ref="B31:D31"/>
    <mergeCell ref="A16:D16"/>
    <mergeCell ref="B19:D19"/>
    <mergeCell ref="B20:D20"/>
    <mergeCell ref="B23:D23"/>
    <mergeCell ref="B26:D26"/>
    <mergeCell ref="B30:D30"/>
    <mergeCell ref="B21:D21"/>
    <mergeCell ref="B24:D24"/>
  </mergeCells>
  <hyperlinks>
    <hyperlink ref="B30" r:id="rId1" xr:uid="{9B8FD8AE-5310-44A1-9D68-061FE4C05F94}"/>
    <hyperlink ref="B32" r:id="rId2" xr:uid="{87C393C7-9284-4791-8358-48F2D09062ED}"/>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sheetPr>
  <dimension ref="B2:C31"/>
  <sheetViews>
    <sheetView showGridLines="0" zoomScale="80" zoomScaleNormal="80" workbookViewId="0">
      <selection activeCell="H35" sqref="H35"/>
    </sheetView>
  </sheetViews>
  <sheetFormatPr defaultColWidth="9.1796875" defaultRowHeight="14.5"/>
  <cols>
    <col min="1" max="1" width="3.7265625" style="48" customWidth="1"/>
    <col min="2" max="2" width="19.54296875" style="48" customWidth="1"/>
    <col min="3" max="3" width="37.7265625" style="48" customWidth="1"/>
    <col min="4" max="16384" width="9.1796875" style="48"/>
  </cols>
  <sheetData>
    <row r="2" spans="2:3" ht="18.5">
      <c r="B2" s="46" t="s">
        <v>274</v>
      </c>
      <c r="C2" s="47"/>
    </row>
    <row r="3" spans="2:3">
      <c r="B3" s="72" t="s">
        <v>275</v>
      </c>
      <c r="C3" s="73" t="s">
        <v>106</v>
      </c>
    </row>
    <row r="4" spans="2:3">
      <c r="B4" s="49" t="s">
        <v>529</v>
      </c>
      <c r="C4" s="74" t="s">
        <v>328</v>
      </c>
    </row>
    <row r="5" spans="2:3">
      <c r="B5" s="50" t="s">
        <v>280</v>
      </c>
      <c r="C5" s="75" t="s">
        <v>281</v>
      </c>
    </row>
    <row r="6" spans="2:3">
      <c r="B6" s="50" t="s">
        <v>282</v>
      </c>
      <c r="C6" s="75" t="s">
        <v>308</v>
      </c>
    </row>
    <row r="7" spans="2:3">
      <c r="B7" s="50" t="s">
        <v>283</v>
      </c>
      <c r="C7" s="75" t="s">
        <v>307</v>
      </c>
    </row>
    <row r="8" spans="2:3">
      <c r="B8" s="50" t="s">
        <v>284</v>
      </c>
      <c r="C8" s="75" t="s">
        <v>287</v>
      </c>
    </row>
    <row r="9" spans="2:3">
      <c r="B9" s="50" t="s">
        <v>285</v>
      </c>
      <c r="C9" s="75" t="s">
        <v>286</v>
      </c>
    </row>
    <row r="10" spans="2:3">
      <c r="B10" s="50" t="s">
        <v>288</v>
      </c>
      <c r="C10" s="75" t="s">
        <v>301</v>
      </c>
    </row>
    <row r="11" spans="2:3">
      <c r="B11" s="50" t="s">
        <v>289</v>
      </c>
      <c r="C11" s="75" t="s">
        <v>302</v>
      </c>
    </row>
    <row r="12" spans="2:3">
      <c r="B12" s="50" t="s">
        <v>290</v>
      </c>
      <c r="C12" s="75" t="s">
        <v>303</v>
      </c>
    </row>
    <row r="13" spans="2:3">
      <c r="B13" s="50" t="s">
        <v>291</v>
      </c>
      <c r="C13" s="75" t="s">
        <v>304</v>
      </c>
    </row>
    <row r="14" spans="2:3">
      <c r="B14" s="50" t="s">
        <v>292</v>
      </c>
      <c r="C14" s="75" t="s">
        <v>305</v>
      </c>
    </row>
    <row r="15" spans="2:3">
      <c r="B15" s="50" t="s">
        <v>293</v>
      </c>
      <c r="C15" s="75" t="s">
        <v>306</v>
      </c>
    </row>
    <row r="16" spans="2:3">
      <c r="B16" s="51" t="s">
        <v>299</v>
      </c>
      <c r="C16" s="76" t="s">
        <v>300</v>
      </c>
    </row>
    <row r="17" spans="2:3">
      <c r="B17" s="52"/>
    </row>
    <row r="18" spans="2:3" ht="18.5">
      <c r="B18" s="54" t="s">
        <v>276</v>
      </c>
      <c r="C18" s="55"/>
    </row>
    <row r="19" spans="2:3">
      <c r="B19" s="62"/>
      <c r="C19" s="69" t="s">
        <v>295</v>
      </c>
    </row>
    <row r="20" spans="2:3">
      <c r="B20" s="63"/>
      <c r="C20" s="70" t="s">
        <v>294</v>
      </c>
    </row>
    <row r="21" spans="2:3">
      <c r="B21" s="64"/>
      <c r="C21" s="70" t="s">
        <v>296</v>
      </c>
    </row>
    <row r="22" spans="2:3">
      <c r="B22" s="65"/>
      <c r="C22" s="70" t="s">
        <v>297</v>
      </c>
    </row>
    <row r="23" spans="2:3">
      <c r="B23" s="66"/>
      <c r="C23" s="70" t="s">
        <v>298</v>
      </c>
    </row>
    <row r="24" spans="2:3">
      <c r="B24" s="67"/>
      <c r="C24" s="70" t="s">
        <v>170</v>
      </c>
    </row>
    <row r="25" spans="2:3">
      <c r="B25" s="68"/>
      <c r="C25" s="71" t="s">
        <v>93</v>
      </c>
    </row>
    <row r="26" spans="2:3">
      <c r="B26" s="53"/>
    </row>
    <row r="27" spans="2:3" ht="18.5">
      <c r="B27" s="54" t="s">
        <v>57</v>
      </c>
      <c r="C27" s="55"/>
    </row>
    <row r="28" spans="2:3">
      <c r="B28" s="56" t="s">
        <v>277</v>
      </c>
      <c r="C28" s="61" t="s">
        <v>798</v>
      </c>
    </row>
    <row r="29" spans="2:3">
      <c r="B29" s="57" t="s">
        <v>272</v>
      </c>
      <c r="C29" s="58" t="s">
        <v>86</v>
      </c>
    </row>
    <row r="30" spans="2:3">
      <c r="B30" s="57" t="s">
        <v>278</v>
      </c>
      <c r="C30" s="95" t="s">
        <v>329</v>
      </c>
    </row>
    <row r="31" spans="2:3">
      <c r="B31" s="59" t="s">
        <v>279</v>
      </c>
      <c r="C31" s="60">
        <v>2018</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S80"/>
  <sheetViews>
    <sheetView view="pageBreakPreview" zoomScaleNormal="65" zoomScaleSheetLayoutView="100" workbookViewId="0">
      <selection activeCell="P19" sqref="P19"/>
    </sheetView>
  </sheetViews>
  <sheetFormatPr defaultColWidth="9.1796875" defaultRowHeight="13"/>
  <cols>
    <col min="1" max="1" width="51.453125" style="43" customWidth="1"/>
    <col min="2" max="2" width="15.7265625" style="38" customWidth="1"/>
    <col min="3" max="4" width="7.54296875" style="44" bestFit="1" customWidth="1"/>
    <col min="5" max="5" width="9.1796875" style="44"/>
    <col min="6" max="6" width="6.1796875" style="45" customWidth="1"/>
    <col min="7" max="7" width="5.81640625" style="45" bestFit="1" customWidth="1"/>
    <col min="8" max="8" width="6.453125" style="44" bestFit="1" customWidth="1"/>
    <col min="9" max="9" width="6.1796875" style="45" bestFit="1" customWidth="1"/>
    <col min="10" max="10" width="6" style="45" bestFit="1" customWidth="1"/>
    <col min="11" max="11" width="6.81640625" style="45" bestFit="1" customWidth="1"/>
    <col min="12" max="12" width="9.1796875" style="42" bestFit="1" customWidth="1"/>
    <col min="13" max="13" width="8.1796875" style="38" bestFit="1" customWidth="1"/>
    <col min="14" max="14" width="8.1796875" style="38" customWidth="1"/>
    <col min="15" max="15" width="5.26953125" style="38" customWidth="1"/>
    <col min="16" max="16" width="7.453125" style="393" customWidth="1"/>
    <col min="17" max="17" width="7.453125" style="38" bestFit="1" customWidth="1"/>
    <col min="18" max="18" width="8.1796875" style="38" bestFit="1" customWidth="1"/>
    <col min="19" max="19" width="7.26953125" style="38" bestFit="1" customWidth="1"/>
    <col min="20" max="20" width="7.453125" style="38" bestFit="1" customWidth="1"/>
    <col min="21" max="21" width="8.453125" style="394" bestFit="1" customWidth="1"/>
    <col min="22" max="22" width="6.81640625" style="38" bestFit="1" customWidth="1"/>
    <col min="23" max="25" width="5.453125" style="38" customWidth="1"/>
    <col min="26" max="26" width="5.453125" style="45" customWidth="1"/>
    <col min="27" max="27" width="8.1796875" style="42" bestFit="1" customWidth="1"/>
    <col min="28" max="28" width="6.7265625" style="42" bestFit="1" customWidth="1"/>
    <col min="29" max="30" width="5.54296875" style="38" customWidth="1"/>
    <col min="31" max="31" width="8.7265625" style="38" bestFit="1" customWidth="1"/>
    <col min="32" max="32" width="8.7265625" style="38" customWidth="1"/>
    <col min="33" max="33" width="5.54296875" style="38" customWidth="1"/>
    <col min="34" max="34" width="5.7265625" style="38" customWidth="1"/>
    <col min="35" max="36" width="7" style="395" customWidth="1"/>
    <col min="37" max="37" width="7" style="38" customWidth="1"/>
    <col min="38" max="40" width="5.54296875" style="38" customWidth="1"/>
    <col min="41" max="41" width="8.7265625" style="42" bestFit="1" customWidth="1"/>
    <col min="42" max="42" width="4.453125" style="42" bestFit="1" customWidth="1"/>
    <col min="43" max="43" width="9.26953125" style="38" bestFit="1" customWidth="1"/>
    <col min="44" max="44" width="9.1796875" style="38"/>
    <col min="45" max="45" width="9.1796875" style="40"/>
    <col min="46" max="16384" width="9.1796875" style="38"/>
  </cols>
  <sheetData>
    <row r="1" spans="1:45" ht="105.75" customHeight="1" thickBot="1">
      <c r="A1" s="427" t="s">
        <v>312</v>
      </c>
      <c r="B1" s="428" t="s">
        <v>311</v>
      </c>
      <c r="C1" s="429" t="s">
        <v>171</v>
      </c>
      <c r="D1" s="430" t="s">
        <v>172</v>
      </c>
      <c r="E1" s="431" t="s">
        <v>173</v>
      </c>
      <c r="F1" s="432" t="s">
        <v>174</v>
      </c>
      <c r="G1" s="432" t="s">
        <v>175</v>
      </c>
      <c r="H1" s="433" t="s">
        <v>176</v>
      </c>
      <c r="I1" s="430" t="s">
        <v>177</v>
      </c>
      <c r="J1" s="431" t="s">
        <v>178</v>
      </c>
      <c r="K1" s="431" t="s">
        <v>179</v>
      </c>
      <c r="L1" s="433" t="s">
        <v>180</v>
      </c>
      <c r="M1" s="430" t="s">
        <v>181</v>
      </c>
      <c r="N1" s="430" t="s">
        <v>1059</v>
      </c>
      <c r="O1" s="431" t="s">
        <v>182</v>
      </c>
      <c r="P1" s="431" t="s">
        <v>183</v>
      </c>
      <c r="Q1" s="431" t="s">
        <v>184</v>
      </c>
      <c r="R1" s="431" t="s">
        <v>185</v>
      </c>
      <c r="S1" s="431" t="s">
        <v>186</v>
      </c>
      <c r="T1" s="431" t="s">
        <v>187</v>
      </c>
      <c r="U1" s="431" t="s">
        <v>188</v>
      </c>
      <c r="V1" s="431" t="s">
        <v>189</v>
      </c>
      <c r="W1" s="432" t="s">
        <v>190</v>
      </c>
      <c r="X1" s="432" t="s">
        <v>191</v>
      </c>
      <c r="Y1" s="432" t="s">
        <v>192</v>
      </c>
      <c r="Z1" s="431" t="s">
        <v>193</v>
      </c>
      <c r="AA1" s="433" t="s">
        <v>194</v>
      </c>
      <c r="AB1" s="434" t="s">
        <v>195</v>
      </c>
      <c r="AC1" s="435" t="s">
        <v>196</v>
      </c>
      <c r="AD1" s="431" t="s">
        <v>197</v>
      </c>
      <c r="AE1" s="431" t="s">
        <v>1060</v>
      </c>
      <c r="AF1" s="431" t="s">
        <v>1061</v>
      </c>
      <c r="AG1" s="431" t="s">
        <v>198</v>
      </c>
      <c r="AH1" s="431" t="s">
        <v>199</v>
      </c>
      <c r="AI1" s="431" t="s">
        <v>1062</v>
      </c>
      <c r="AJ1" s="431" t="s">
        <v>1063</v>
      </c>
      <c r="AK1" s="431" t="s">
        <v>1064</v>
      </c>
      <c r="AL1" s="431" t="s">
        <v>1065</v>
      </c>
      <c r="AM1" s="432" t="s">
        <v>1066</v>
      </c>
      <c r="AN1" s="433" t="s">
        <v>200</v>
      </c>
      <c r="AO1" s="433" t="s">
        <v>201</v>
      </c>
      <c r="AP1" s="434" t="s">
        <v>202</v>
      </c>
      <c r="AQ1" s="436" t="s">
        <v>203</v>
      </c>
      <c r="AS1" s="39"/>
    </row>
    <row r="2" spans="1:45" ht="12.75" customHeight="1">
      <c r="A2" s="437" t="s">
        <v>217</v>
      </c>
      <c r="B2" s="438"/>
      <c r="C2" s="439">
        <f>SUM(D2:G2)</f>
        <v>0</v>
      </c>
      <c r="D2" s="440">
        <v>0</v>
      </c>
      <c r="E2" s="441"/>
      <c r="F2" s="442"/>
      <c r="G2" s="442"/>
      <c r="H2" s="443">
        <f>SUM(I2:K2)</f>
        <v>815.92434898628403</v>
      </c>
      <c r="I2" s="444">
        <v>688.22034898628408</v>
      </c>
      <c r="J2" s="445">
        <v>127.70399999999999</v>
      </c>
      <c r="K2" s="446"/>
      <c r="L2" s="443">
        <f>SUM(M2:Z2)</f>
        <v>0</v>
      </c>
      <c r="M2" s="444"/>
      <c r="N2" s="447"/>
      <c r="O2" s="448"/>
      <c r="P2" s="448"/>
      <c r="Q2" s="448"/>
      <c r="R2" s="448"/>
      <c r="S2" s="448"/>
      <c r="T2" s="448"/>
      <c r="U2" s="448"/>
      <c r="V2" s="448"/>
      <c r="W2" s="442"/>
      <c r="X2" s="442"/>
      <c r="Y2" s="442"/>
      <c r="Z2" s="446"/>
      <c r="AA2" s="443">
        <v>2751.9191872187112</v>
      </c>
      <c r="AB2" s="449">
        <f>SUM(AC2:AM2)</f>
        <v>1334.658297317769</v>
      </c>
      <c r="AC2" s="450">
        <v>59.691708987970003</v>
      </c>
      <c r="AD2" s="446">
        <v>743.01992281532614</v>
      </c>
      <c r="AE2" s="446">
        <v>248.90859762015592</v>
      </c>
      <c r="AF2" s="446">
        <v>139.99992739520798</v>
      </c>
      <c r="AG2" s="446">
        <v>33.531818868055431</v>
      </c>
      <c r="AH2" s="446">
        <v>16.813132576534866</v>
      </c>
      <c r="AI2" s="446">
        <v>31.064467987392003</v>
      </c>
      <c r="AJ2" s="446">
        <v>2.6691993220799999</v>
      </c>
      <c r="AK2" s="444">
        <v>1.8899880806415161</v>
      </c>
      <c r="AL2" s="444">
        <v>13.54608560366562</v>
      </c>
      <c r="AM2" s="442">
        <v>43.523448060739646</v>
      </c>
      <c r="AN2" s="451">
        <v>145.43710297949829</v>
      </c>
      <c r="AO2" s="451"/>
      <c r="AP2" s="449"/>
      <c r="AQ2" s="452">
        <f>C2+H2+L2+AA2+AB2+AN2+AO2+AP2</f>
        <v>5047.9389365022625</v>
      </c>
    </row>
    <row r="3" spans="1:45" ht="12.75" customHeight="1">
      <c r="A3" s="453" t="s">
        <v>218</v>
      </c>
      <c r="B3" s="454"/>
      <c r="C3" s="455">
        <f>SUM(D3:G3)</f>
        <v>903.49466255082825</v>
      </c>
      <c r="D3" s="456">
        <v>829.57460107090037</v>
      </c>
      <c r="E3" s="457">
        <v>61.722867734674637</v>
      </c>
      <c r="F3" s="458"/>
      <c r="G3" s="458">
        <v>12.197193745253209</v>
      </c>
      <c r="H3" s="459">
        <f>SUM(I3:K3)</f>
        <v>0</v>
      </c>
      <c r="I3" s="460"/>
      <c r="J3" s="461"/>
      <c r="K3" s="462"/>
      <c r="L3" s="459">
        <f>SUM(M3:Z3)</f>
        <v>9138.5577999094057</v>
      </c>
      <c r="M3" s="460">
        <v>3053.4742963851995</v>
      </c>
      <c r="N3" s="460">
        <v>16.633377499200002</v>
      </c>
      <c r="O3" s="462">
        <v>0</v>
      </c>
      <c r="P3" s="462">
        <v>564.2364083333332</v>
      </c>
      <c r="Q3" s="462">
        <v>369.14638715136005</v>
      </c>
      <c r="R3" s="462">
        <v>1542.2444022448799</v>
      </c>
      <c r="S3" s="462">
        <v>82.827948630790956</v>
      </c>
      <c r="T3" s="462">
        <v>157.5463640726893</v>
      </c>
      <c r="U3" s="462">
        <v>2932.6955801163149</v>
      </c>
      <c r="V3" s="462">
        <v>166.37647928144222</v>
      </c>
      <c r="W3" s="458">
        <v>7.5616539426795564</v>
      </c>
      <c r="X3" s="458">
        <v>200.83222211696253</v>
      </c>
      <c r="Y3" s="458">
        <v>1.2281470084248403</v>
      </c>
      <c r="Z3" s="462">
        <v>43.754533126130625</v>
      </c>
      <c r="AA3" s="459">
        <v>1728.338063506957</v>
      </c>
      <c r="AB3" s="463">
        <f>SUM(AC3:AM3)</f>
        <v>151.93355907200862</v>
      </c>
      <c r="AC3" s="464"/>
      <c r="AD3" s="462"/>
      <c r="AE3" s="462">
        <v>24.282116302936618</v>
      </c>
      <c r="AF3" s="462"/>
      <c r="AG3" s="462"/>
      <c r="AH3" s="462"/>
      <c r="AI3" s="462">
        <v>104.81441230492801</v>
      </c>
      <c r="AJ3" s="462">
        <v>22.837030464144</v>
      </c>
      <c r="AK3" s="460"/>
      <c r="AL3" s="460"/>
      <c r="AM3" s="458"/>
      <c r="AN3" s="465"/>
      <c r="AO3" s="465">
        <v>139.45061680000001</v>
      </c>
      <c r="AP3" s="463"/>
      <c r="AQ3" s="466">
        <f t="shared" ref="AQ3:AQ20" si="0">C3+H3+L3+AA3+AB3+AN3+AO3+AP3</f>
        <v>12061.7747018392</v>
      </c>
    </row>
    <row r="4" spans="1:45" ht="12.75" customHeight="1">
      <c r="A4" s="453" t="s">
        <v>219</v>
      </c>
      <c r="B4" s="454"/>
      <c r="C4" s="455">
        <f>SUM(D4:G4)</f>
        <v>15.186580890896002</v>
      </c>
      <c r="D4" s="456">
        <v>0</v>
      </c>
      <c r="E4" s="467">
        <v>14.097722162000002</v>
      </c>
      <c r="F4" s="458"/>
      <c r="G4" s="458">
        <v>1.0888587288959999</v>
      </c>
      <c r="H4" s="459">
        <f>SUM(I4:K4)</f>
        <v>7.0330680000000001</v>
      </c>
      <c r="I4" s="460"/>
      <c r="J4" s="461"/>
      <c r="K4" s="462">
        <v>7.0330680000000001</v>
      </c>
      <c r="L4" s="459">
        <f>SUM(M4:Z4)</f>
        <v>1717.0624747879344</v>
      </c>
      <c r="M4" s="460">
        <v>0</v>
      </c>
      <c r="N4" s="460">
        <v>0</v>
      </c>
      <c r="O4" s="462"/>
      <c r="P4" s="462">
        <v>364.52221864444448</v>
      </c>
      <c r="Q4" s="462">
        <v>21.672508399360005</v>
      </c>
      <c r="R4" s="462">
        <v>156.29379915984001</v>
      </c>
      <c r="S4" s="462">
        <v>986.60611760112999</v>
      </c>
      <c r="T4" s="462">
        <v>35.289733288720633</v>
      </c>
      <c r="U4" s="462">
        <v>102.14625414775992</v>
      </c>
      <c r="V4" s="462">
        <v>2.9088437938490893E-3</v>
      </c>
      <c r="W4" s="458">
        <v>36.297317128453038</v>
      </c>
      <c r="X4" s="458">
        <v>5.4694689952000006</v>
      </c>
      <c r="Y4" s="458">
        <v>1.8500297569930473E-2</v>
      </c>
      <c r="Z4" s="462">
        <v>8.7436482816626366</v>
      </c>
      <c r="AA4" s="459">
        <v>0</v>
      </c>
      <c r="AB4" s="463">
        <f>SUM(AC4:AM4)</f>
        <v>9.4476585178560004</v>
      </c>
      <c r="AC4" s="464"/>
      <c r="AD4" s="462"/>
      <c r="AE4" s="462">
        <v>0.41264639999999991</v>
      </c>
      <c r="AF4" s="462"/>
      <c r="AG4" s="462"/>
      <c r="AH4" s="462"/>
      <c r="AI4" s="462">
        <v>9.0350121178560006</v>
      </c>
      <c r="AJ4" s="462">
        <v>0</v>
      </c>
      <c r="AK4" s="460"/>
      <c r="AL4" s="460"/>
      <c r="AM4" s="458"/>
      <c r="AN4" s="465"/>
      <c r="AO4" s="465">
        <v>141.83539077999998</v>
      </c>
      <c r="AP4" s="463"/>
      <c r="AQ4" s="466">
        <f t="shared" si="0"/>
        <v>1890.5651729766864</v>
      </c>
    </row>
    <row r="5" spans="1:45" ht="12.75" customHeight="1">
      <c r="A5" s="453" t="s">
        <v>220</v>
      </c>
      <c r="B5" s="454"/>
      <c r="C5" s="455">
        <f>SUM(D5:G5)</f>
        <v>0</v>
      </c>
      <c r="D5" s="456"/>
      <c r="E5" s="467"/>
      <c r="F5" s="458"/>
      <c r="G5" s="458"/>
      <c r="H5" s="459">
        <f>SUM(I5:K5)</f>
        <v>0</v>
      </c>
      <c r="I5" s="460"/>
      <c r="J5" s="461"/>
      <c r="K5" s="462"/>
      <c r="L5" s="459">
        <f>SUM(M5:Z5)</f>
        <v>172.71258946798309</v>
      </c>
      <c r="M5" s="460"/>
      <c r="N5" s="460"/>
      <c r="O5" s="462"/>
      <c r="P5" s="462"/>
      <c r="Q5" s="462"/>
      <c r="R5" s="462"/>
      <c r="S5" s="462">
        <v>15.730078096892656</v>
      </c>
      <c r="T5" s="462"/>
      <c r="U5" s="462">
        <v>156.98251137109042</v>
      </c>
      <c r="V5" s="462"/>
      <c r="W5" s="458"/>
      <c r="X5" s="458"/>
      <c r="Y5" s="458"/>
      <c r="Z5" s="462"/>
      <c r="AA5" s="459"/>
      <c r="AB5" s="463">
        <f>SUM(AC5:AM5)</f>
        <v>0</v>
      </c>
      <c r="AC5" s="464"/>
      <c r="AD5" s="462"/>
      <c r="AE5" s="462"/>
      <c r="AF5" s="462"/>
      <c r="AG5" s="462"/>
      <c r="AH5" s="462"/>
      <c r="AI5" s="462"/>
      <c r="AJ5" s="462"/>
      <c r="AK5" s="460"/>
      <c r="AL5" s="460"/>
      <c r="AM5" s="458"/>
      <c r="AN5" s="465"/>
      <c r="AO5" s="465"/>
      <c r="AP5" s="463"/>
      <c r="AQ5" s="466">
        <f t="shared" si="0"/>
        <v>172.71258946798309</v>
      </c>
    </row>
    <row r="6" spans="1:45" ht="12.75" customHeight="1" thickBot="1">
      <c r="A6" s="468" t="s">
        <v>221</v>
      </c>
      <c r="B6" s="469"/>
      <c r="C6" s="455">
        <f>SUM(D6:G6)</f>
        <v>-101.25634942971131</v>
      </c>
      <c r="D6" s="470">
        <v>-101.869888772661</v>
      </c>
      <c r="E6" s="458">
        <v>-0.8079766727235479</v>
      </c>
      <c r="F6" s="471"/>
      <c r="G6" s="471">
        <v>1.4215160156732278</v>
      </c>
      <c r="H6" s="472">
        <f>SUM(I6:K6)</f>
        <v>-122.93905189963694</v>
      </c>
      <c r="I6" s="473">
        <v>-136.53826589963694</v>
      </c>
      <c r="J6" s="474">
        <v>0</v>
      </c>
      <c r="K6" s="473">
        <v>13.599214000000003</v>
      </c>
      <c r="L6" s="472">
        <f>SUM(M6:Z6)</f>
        <v>151.33981188504902</v>
      </c>
      <c r="M6" s="460">
        <v>38.730964773999993</v>
      </c>
      <c r="N6" s="460">
        <v>-8.8751519999999999</v>
      </c>
      <c r="O6" s="462"/>
      <c r="P6" s="462">
        <v>-9.6980083333333713</v>
      </c>
      <c r="Q6" s="462">
        <v>12.883201938880001</v>
      </c>
      <c r="R6" s="462">
        <v>82.12024884504001</v>
      </c>
      <c r="S6" s="462">
        <v>23.637599999999999</v>
      </c>
      <c r="T6" s="462">
        <v>1.4659197380156652</v>
      </c>
      <c r="U6" s="462">
        <v>8.3874136006762399</v>
      </c>
      <c r="V6" s="462">
        <v>3.2040911090633046</v>
      </c>
      <c r="W6" s="471">
        <v>-0.51646778729281662</v>
      </c>
      <c r="X6" s="471">
        <v>0</v>
      </c>
      <c r="Y6" s="471">
        <v>0</v>
      </c>
      <c r="Z6" s="473">
        <v>0</v>
      </c>
      <c r="AA6" s="472">
        <v>0</v>
      </c>
      <c r="AB6" s="475">
        <f>SUM(AC6:AM6)</f>
        <v>4.4601014379600006</v>
      </c>
      <c r="AC6" s="476"/>
      <c r="AD6" s="477"/>
      <c r="AE6" s="477">
        <v>0.26707427819999968</v>
      </c>
      <c r="AF6" s="477"/>
      <c r="AG6" s="477"/>
      <c r="AH6" s="477"/>
      <c r="AI6" s="477">
        <v>1.7828522013120007</v>
      </c>
      <c r="AJ6" s="477">
        <v>2.4101749584479997</v>
      </c>
      <c r="AK6" s="473"/>
      <c r="AL6" s="473"/>
      <c r="AM6" s="471"/>
      <c r="AN6" s="478"/>
      <c r="AO6" s="478"/>
      <c r="AP6" s="475"/>
      <c r="AQ6" s="479">
        <f t="shared" si="0"/>
        <v>-68.395488006339221</v>
      </c>
    </row>
    <row r="7" spans="1:45" s="42" customFormat="1" ht="12.75" customHeight="1">
      <c r="A7" s="480" t="s">
        <v>222</v>
      </c>
      <c r="B7" s="481"/>
      <c r="C7" s="482">
        <f t="shared" ref="C7:AP7" si="1">C2+C3-C4-C5+C6</f>
        <v>787.05173223022086</v>
      </c>
      <c r="D7" s="483">
        <f t="shared" si="1"/>
        <v>727.70471229823943</v>
      </c>
      <c r="E7" s="484">
        <f t="shared" si="1"/>
        <v>46.817168899951085</v>
      </c>
      <c r="F7" s="484">
        <f t="shared" si="1"/>
        <v>0</v>
      </c>
      <c r="G7" s="484">
        <f t="shared" si="1"/>
        <v>12.529851032030438</v>
      </c>
      <c r="H7" s="485">
        <f t="shared" si="1"/>
        <v>685.95222908664709</v>
      </c>
      <c r="I7" s="483">
        <f t="shared" si="1"/>
        <v>551.68208308664714</v>
      </c>
      <c r="J7" s="486">
        <f t="shared" si="1"/>
        <v>127.70399999999999</v>
      </c>
      <c r="K7" s="484">
        <f t="shared" si="1"/>
        <v>6.5661460000000034</v>
      </c>
      <c r="L7" s="485">
        <f t="shared" si="1"/>
        <v>7400.1225475385372</v>
      </c>
      <c r="M7" s="483">
        <f t="shared" si="1"/>
        <v>3092.2052611591994</v>
      </c>
      <c r="N7" s="483">
        <f t="shared" si="1"/>
        <v>7.7582254992000017</v>
      </c>
      <c r="O7" s="484">
        <f t="shared" si="1"/>
        <v>0</v>
      </c>
      <c r="P7" s="484">
        <f t="shared" si="1"/>
        <v>190.01618135555535</v>
      </c>
      <c r="Q7" s="484">
        <f t="shared" si="1"/>
        <v>360.35708069088003</v>
      </c>
      <c r="R7" s="484">
        <f t="shared" si="1"/>
        <v>1468.0708519300797</v>
      </c>
      <c r="S7" s="484">
        <f t="shared" si="1"/>
        <v>-895.87064706723163</v>
      </c>
      <c r="T7" s="484">
        <f t="shared" si="1"/>
        <v>123.72255052198433</v>
      </c>
      <c r="U7" s="484">
        <f t="shared" si="1"/>
        <v>2681.9542281981408</v>
      </c>
      <c r="V7" s="484">
        <f t="shared" si="1"/>
        <v>169.57766154671168</v>
      </c>
      <c r="W7" s="484">
        <f t="shared" si="1"/>
        <v>-29.252130973066301</v>
      </c>
      <c r="X7" s="484">
        <f t="shared" si="1"/>
        <v>195.36275312176252</v>
      </c>
      <c r="Y7" s="484">
        <f t="shared" si="1"/>
        <v>1.2096467108549098</v>
      </c>
      <c r="Z7" s="484">
        <f t="shared" si="1"/>
        <v>35.010884844467988</v>
      </c>
      <c r="AA7" s="485">
        <f t="shared" si="1"/>
        <v>4480.2572507256682</v>
      </c>
      <c r="AB7" s="485">
        <f t="shared" si="1"/>
        <v>1481.6042993098815</v>
      </c>
      <c r="AC7" s="483">
        <f t="shared" si="1"/>
        <v>59.691708987970003</v>
      </c>
      <c r="AD7" s="484">
        <f t="shared" si="1"/>
        <v>743.01992281532614</v>
      </c>
      <c r="AE7" s="484">
        <f t="shared" si="1"/>
        <v>273.04514180129252</v>
      </c>
      <c r="AF7" s="484">
        <f t="shared" si="1"/>
        <v>139.99992739520798</v>
      </c>
      <c r="AG7" s="484">
        <f t="shared" si="1"/>
        <v>33.531818868055431</v>
      </c>
      <c r="AH7" s="484">
        <f t="shared" si="1"/>
        <v>16.813132576534866</v>
      </c>
      <c r="AI7" s="484">
        <f t="shared" si="1"/>
        <v>128.62672037577602</v>
      </c>
      <c r="AJ7" s="484">
        <f t="shared" si="1"/>
        <v>27.916404744672001</v>
      </c>
      <c r="AK7" s="487">
        <f t="shared" si="1"/>
        <v>1.8899880806415161</v>
      </c>
      <c r="AL7" s="487">
        <f t="shared" si="1"/>
        <v>13.54608560366562</v>
      </c>
      <c r="AM7" s="483">
        <f t="shared" si="1"/>
        <v>43.523448060739646</v>
      </c>
      <c r="AN7" s="485">
        <f t="shared" si="1"/>
        <v>145.43710297949829</v>
      </c>
      <c r="AO7" s="485">
        <f t="shared" si="1"/>
        <v>-2.3847739799999772</v>
      </c>
      <c r="AP7" s="488">
        <f t="shared" si="1"/>
        <v>0</v>
      </c>
      <c r="AQ7" s="489">
        <f t="shared" si="0"/>
        <v>14978.040387890453</v>
      </c>
      <c r="AR7" s="38"/>
      <c r="AS7" s="41"/>
    </row>
    <row r="8" spans="1:45" s="42" customFormat="1" ht="12.75" customHeight="1" thickBot="1">
      <c r="A8" s="490" t="s">
        <v>223</v>
      </c>
      <c r="B8" s="491"/>
      <c r="C8" s="492">
        <f t="shared" ref="C8:AP8" si="2">C7-C27</f>
        <v>787.05173223022086</v>
      </c>
      <c r="D8" s="493">
        <f t="shared" si="2"/>
        <v>727.70471229823943</v>
      </c>
      <c r="E8" s="494">
        <f t="shared" si="2"/>
        <v>46.817168899951085</v>
      </c>
      <c r="F8" s="495">
        <f t="shared" si="2"/>
        <v>0</v>
      </c>
      <c r="G8" s="495">
        <f t="shared" si="2"/>
        <v>12.529851032030438</v>
      </c>
      <c r="H8" s="496">
        <f t="shared" si="2"/>
        <v>685.95222908664709</v>
      </c>
      <c r="I8" s="493">
        <f t="shared" si="2"/>
        <v>551.68208308664714</v>
      </c>
      <c r="J8" s="497">
        <f t="shared" si="2"/>
        <v>127.70399999999999</v>
      </c>
      <c r="K8" s="494">
        <f t="shared" si="2"/>
        <v>6.5661460000000034</v>
      </c>
      <c r="L8" s="496">
        <f t="shared" si="2"/>
        <v>7168.5392628614518</v>
      </c>
      <c r="M8" s="493">
        <f t="shared" si="2"/>
        <v>3092.2052611591994</v>
      </c>
      <c r="N8" s="493">
        <f t="shared" si="2"/>
        <v>7.7582254992000017</v>
      </c>
      <c r="O8" s="494">
        <f t="shared" si="2"/>
        <v>0</v>
      </c>
      <c r="P8" s="494">
        <f t="shared" si="2"/>
        <v>190.01618135555535</v>
      </c>
      <c r="Q8" s="494">
        <f t="shared" si="2"/>
        <v>360.35708069088003</v>
      </c>
      <c r="R8" s="494">
        <f t="shared" si="2"/>
        <v>1468.0708519300797</v>
      </c>
      <c r="S8" s="494">
        <f t="shared" si="2"/>
        <v>-895.87064706723163</v>
      </c>
      <c r="T8" s="494">
        <f t="shared" si="2"/>
        <v>123.72255052198433</v>
      </c>
      <c r="U8" s="494">
        <f t="shared" si="2"/>
        <v>2681.9542281981408</v>
      </c>
      <c r="V8" s="494">
        <f t="shared" si="2"/>
        <v>169.57766154671168</v>
      </c>
      <c r="W8" s="495">
        <f t="shared" si="2"/>
        <v>-29.252130973066301</v>
      </c>
      <c r="X8" s="495">
        <f t="shared" si="2"/>
        <v>0</v>
      </c>
      <c r="Y8" s="495">
        <f t="shared" si="2"/>
        <v>0</v>
      </c>
      <c r="Z8" s="494">
        <f t="shared" si="2"/>
        <v>0</v>
      </c>
      <c r="AA8" s="496">
        <f t="shared" si="2"/>
        <v>4480.2572507256682</v>
      </c>
      <c r="AB8" s="498">
        <f t="shared" si="2"/>
        <v>1481.6042993098815</v>
      </c>
      <c r="AC8" s="493">
        <f t="shared" si="2"/>
        <v>59.691708987970003</v>
      </c>
      <c r="AD8" s="494">
        <f t="shared" si="2"/>
        <v>743.01992281532614</v>
      </c>
      <c r="AE8" s="494">
        <f t="shared" si="2"/>
        <v>273.04514180129252</v>
      </c>
      <c r="AF8" s="494">
        <f t="shared" si="2"/>
        <v>139.99992739520798</v>
      </c>
      <c r="AG8" s="494">
        <f t="shared" si="2"/>
        <v>33.531818868055431</v>
      </c>
      <c r="AH8" s="494">
        <f t="shared" si="2"/>
        <v>16.813132576534866</v>
      </c>
      <c r="AI8" s="494">
        <f t="shared" si="2"/>
        <v>128.62672037577602</v>
      </c>
      <c r="AJ8" s="494">
        <f t="shared" si="2"/>
        <v>27.916404744672001</v>
      </c>
      <c r="AK8" s="499">
        <f t="shared" si="2"/>
        <v>1.8899880806415161</v>
      </c>
      <c r="AL8" s="499">
        <f t="shared" si="2"/>
        <v>13.54608560366562</v>
      </c>
      <c r="AM8" s="493">
        <f t="shared" si="2"/>
        <v>43.523448060739646</v>
      </c>
      <c r="AN8" s="496">
        <f t="shared" si="2"/>
        <v>145.43710297949829</v>
      </c>
      <c r="AO8" s="496">
        <f t="shared" si="2"/>
        <v>-2.3847739799999772</v>
      </c>
      <c r="AP8" s="493">
        <f t="shared" si="2"/>
        <v>0</v>
      </c>
      <c r="AQ8" s="500">
        <f t="shared" si="0"/>
        <v>14746.457103213368</v>
      </c>
      <c r="AR8" s="38"/>
      <c r="AS8" s="41"/>
    </row>
    <row r="9" spans="1:45" s="42" customFormat="1" ht="12.75" customHeight="1">
      <c r="A9" s="480" t="s">
        <v>224</v>
      </c>
      <c r="B9" s="481"/>
      <c r="C9" s="482">
        <f t="shared" ref="C9:AP9" si="3">SUM(C10:C14)</f>
        <v>489.13419536754503</v>
      </c>
      <c r="D9" s="487">
        <f t="shared" si="3"/>
        <v>489.13419536754503</v>
      </c>
      <c r="E9" s="484">
        <f t="shared" si="3"/>
        <v>0</v>
      </c>
      <c r="F9" s="501">
        <f t="shared" si="3"/>
        <v>0</v>
      </c>
      <c r="G9" s="501">
        <f t="shared" si="3"/>
        <v>0</v>
      </c>
      <c r="H9" s="485">
        <f t="shared" si="3"/>
        <v>541.02658367795425</v>
      </c>
      <c r="I9" s="487">
        <f t="shared" si="3"/>
        <v>541.02658367795425</v>
      </c>
      <c r="J9" s="486">
        <f t="shared" si="3"/>
        <v>0</v>
      </c>
      <c r="K9" s="484">
        <f t="shared" si="3"/>
        <v>0</v>
      </c>
      <c r="L9" s="485">
        <f t="shared" si="3"/>
        <v>3165.7216476484605</v>
      </c>
      <c r="M9" s="484">
        <f t="shared" si="3"/>
        <v>3092.2052611591994</v>
      </c>
      <c r="N9" s="484">
        <f t="shared" ref="N9" si="4">SUM(N10:N14)</f>
        <v>38.786602361842682</v>
      </c>
      <c r="O9" s="484">
        <f t="shared" si="3"/>
        <v>0</v>
      </c>
      <c r="P9" s="484">
        <f t="shared" si="3"/>
        <v>0</v>
      </c>
      <c r="Q9" s="484">
        <f t="shared" si="3"/>
        <v>0</v>
      </c>
      <c r="R9" s="484">
        <f t="shared" si="3"/>
        <v>0</v>
      </c>
      <c r="S9" s="484">
        <f t="shared" si="3"/>
        <v>25.868327226603597</v>
      </c>
      <c r="T9" s="484">
        <f t="shared" si="3"/>
        <v>0.63499472294399995</v>
      </c>
      <c r="U9" s="484">
        <f t="shared" si="3"/>
        <v>8.2264621778709284</v>
      </c>
      <c r="V9" s="484">
        <f t="shared" si="3"/>
        <v>0</v>
      </c>
      <c r="W9" s="501">
        <f t="shared" si="3"/>
        <v>0</v>
      </c>
      <c r="X9" s="501">
        <f t="shared" si="3"/>
        <v>0</v>
      </c>
      <c r="Y9" s="501">
        <f t="shared" si="3"/>
        <v>0</v>
      </c>
      <c r="Z9" s="484">
        <f t="shared" si="3"/>
        <v>0</v>
      </c>
      <c r="AA9" s="485">
        <f t="shared" si="3"/>
        <v>2501.2994242635782</v>
      </c>
      <c r="AB9" s="483">
        <f t="shared" si="3"/>
        <v>215.90352917717644</v>
      </c>
      <c r="AC9" s="502">
        <f t="shared" si="3"/>
        <v>0</v>
      </c>
      <c r="AD9" s="484">
        <f t="shared" si="3"/>
        <v>0</v>
      </c>
      <c r="AE9" s="484">
        <f t="shared" si="3"/>
        <v>76.028615684916531</v>
      </c>
      <c r="AF9" s="484">
        <f t="shared" ref="AF9" si="5">SUM(AF10:AF14)</f>
        <v>99.30702317107577</v>
      </c>
      <c r="AG9" s="484">
        <f t="shared" si="3"/>
        <v>33.531818868055431</v>
      </c>
      <c r="AH9" s="484">
        <f t="shared" si="3"/>
        <v>7.0360714531287174</v>
      </c>
      <c r="AI9" s="484">
        <f t="shared" si="3"/>
        <v>0</v>
      </c>
      <c r="AJ9" s="484">
        <f t="shared" ref="AJ9" si="6">SUM(AJ10:AJ14)</f>
        <v>0</v>
      </c>
      <c r="AK9" s="487">
        <f t="shared" si="3"/>
        <v>0</v>
      </c>
      <c r="AL9" s="487">
        <f t="shared" ref="AL9" si="7">SUM(AL10:AL14)</f>
        <v>0</v>
      </c>
      <c r="AM9" s="501">
        <f t="shared" si="3"/>
        <v>0</v>
      </c>
      <c r="AN9" s="485">
        <f t="shared" si="3"/>
        <v>90.714163374524205</v>
      </c>
      <c r="AO9" s="485">
        <f t="shared" si="3"/>
        <v>54.38453208</v>
      </c>
      <c r="AP9" s="483">
        <f t="shared" si="3"/>
        <v>0</v>
      </c>
      <c r="AQ9" s="503">
        <f t="shared" si="0"/>
        <v>7058.184075589239</v>
      </c>
      <c r="AR9" s="38"/>
      <c r="AS9" s="41"/>
    </row>
    <row r="10" spans="1:45" ht="12.75" customHeight="1">
      <c r="A10" s="504" t="s">
        <v>1131</v>
      </c>
      <c r="B10" s="505"/>
      <c r="C10" s="506">
        <f>SUM(D10:G10)</f>
        <v>489.13419536754503</v>
      </c>
      <c r="D10" s="507">
        <v>489.13419536754503</v>
      </c>
      <c r="E10" s="508"/>
      <c r="F10" s="509"/>
      <c r="G10" s="509"/>
      <c r="H10" s="510">
        <f>SUM(I10:K10)</f>
        <v>467.10845991760607</v>
      </c>
      <c r="I10" s="507">
        <v>467.10845991760607</v>
      </c>
      <c r="J10" s="511">
        <v>0</v>
      </c>
      <c r="K10" s="508"/>
      <c r="L10" s="510">
        <f>SUM(M10:Z10)</f>
        <v>34.094789404474525</v>
      </c>
      <c r="M10" s="508"/>
      <c r="N10" s="508"/>
      <c r="O10" s="508"/>
      <c r="P10" s="508"/>
      <c r="Q10" s="508"/>
      <c r="R10" s="508"/>
      <c r="S10" s="508">
        <v>25.868327226603597</v>
      </c>
      <c r="T10" s="508"/>
      <c r="U10" s="508">
        <v>8.2264621778709284</v>
      </c>
      <c r="V10" s="508"/>
      <c r="W10" s="509"/>
      <c r="X10" s="509"/>
      <c r="Y10" s="509"/>
      <c r="Z10" s="508"/>
      <c r="AA10" s="510">
        <v>2187.6033883210698</v>
      </c>
      <c r="AB10" s="512">
        <f>SUM(AC10:AM10)</f>
        <v>205.30590173319058</v>
      </c>
      <c r="AC10" s="513"/>
      <c r="AD10" s="508"/>
      <c r="AE10" s="508">
        <v>72.467059694059387</v>
      </c>
      <c r="AF10" s="508">
        <v>99.30702317107577</v>
      </c>
      <c r="AG10" s="508">
        <v>33.531818868055431</v>
      </c>
      <c r="AH10" s="508"/>
      <c r="AI10" s="508"/>
      <c r="AJ10" s="508"/>
      <c r="AK10" s="507"/>
      <c r="AL10" s="507"/>
      <c r="AM10" s="509"/>
      <c r="AN10" s="514">
        <v>90.714163374524205</v>
      </c>
      <c r="AO10" s="510"/>
      <c r="AP10" s="512"/>
      <c r="AQ10" s="515">
        <f t="shared" si="0"/>
        <v>3473.9608981184101</v>
      </c>
    </row>
    <row r="11" spans="1:45" ht="12.75" customHeight="1">
      <c r="A11" s="453" t="s">
        <v>1132</v>
      </c>
      <c r="B11" s="454"/>
      <c r="C11" s="455">
        <f>SUM(D11:G11)</f>
        <v>0</v>
      </c>
      <c r="D11" s="460">
        <v>0</v>
      </c>
      <c r="E11" s="462"/>
      <c r="F11" s="458"/>
      <c r="G11" s="458"/>
      <c r="H11" s="459">
        <f>SUM(I11:K11)</f>
        <v>5.8425469182429177</v>
      </c>
      <c r="I11" s="460">
        <v>5.8425469182429177</v>
      </c>
      <c r="J11" s="461"/>
      <c r="K11" s="462"/>
      <c r="L11" s="459">
        <f>SUM(M11:Z11)</f>
        <v>0.63499472294399995</v>
      </c>
      <c r="M11" s="462"/>
      <c r="N11" s="516"/>
      <c r="O11" s="516">
        <v>0</v>
      </c>
      <c r="P11" s="462"/>
      <c r="Q11" s="462"/>
      <c r="R11" s="462"/>
      <c r="S11" s="462">
        <v>0</v>
      </c>
      <c r="T11" s="462">
        <v>0.63499472294399995</v>
      </c>
      <c r="U11" s="462">
        <v>0</v>
      </c>
      <c r="V11" s="462"/>
      <c r="W11" s="458"/>
      <c r="X11" s="458"/>
      <c r="Y11" s="458"/>
      <c r="Z11" s="462"/>
      <c r="AA11" s="459">
        <v>272.96145103491432</v>
      </c>
      <c r="AB11" s="463">
        <f>SUM(AC11:AM11)</f>
        <v>10.597627443985861</v>
      </c>
      <c r="AC11" s="464"/>
      <c r="AD11" s="462"/>
      <c r="AE11" s="462">
        <v>3.5615559908571428</v>
      </c>
      <c r="AF11" s="462"/>
      <c r="AG11" s="462"/>
      <c r="AH11" s="462">
        <v>7.0360714531287174</v>
      </c>
      <c r="AI11" s="462"/>
      <c r="AJ11" s="462"/>
      <c r="AK11" s="460"/>
      <c r="AL11" s="460"/>
      <c r="AM11" s="458"/>
      <c r="AN11" s="465"/>
      <c r="AO11" s="465"/>
      <c r="AP11" s="463"/>
      <c r="AQ11" s="466">
        <f t="shared" si="0"/>
        <v>290.03662012008709</v>
      </c>
    </row>
    <row r="12" spans="1:45" ht="12.75" customHeight="1">
      <c r="A12" s="453" t="s">
        <v>1133</v>
      </c>
      <c r="B12" s="454"/>
      <c r="C12" s="455"/>
      <c r="D12" s="460"/>
      <c r="E12" s="462"/>
      <c r="F12" s="458"/>
      <c r="G12" s="458"/>
      <c r="H12" s="459"/>
      <c r="I12" s="460"/>
      <c r="J12" s="461"/>
      <c r="K12" s="462"/>
      <c r="L12" s="459"/>
      <c r="M12" s="462"/>
      <c r="N12" s="516"/>
      <c r="O12" s="516"/>
      <c r="P12" s="462"/>
      <c r="Q12" s="462"/>
      <c r="R12" s="462"/>
      <c r="S12" s="462"/>
      <c r="T12" s="462"/>
      <c r="U12" s="462"/>
      <c r="V12" s="462"/>
      <c r="W12" s="458"/>
      <c r="X12" s="458"/>
      <c r="Y12" s="458"/>
      <c r="Z12" s="462"/>
      <c r="AA12" s="459"/>
      <c r="AB12" s="463"/>
      <c r="AC12" s="464"/>
      <c r="AD12" s="462"/>
      <c r="AE12" s="462"/>
      <c r="AF12" s="462"/>
      <c r="AG12" s="462"/>
      <c r="AH12" s="462"/>
      <c r="AI12" s="462"/>
      <c r="AJ12" s="462"/>
      <c r="AK12" s="460"/>
      <c r="AL12" s="460"/>
      <c r="AM12" s="458"/>
      <c r="AN12" s="465"/>
      <c r="AO12" s="465">
        <v>42.942060079999997</v>
      </c>
      <c r="AP12" s="463"/>
      <c r="AQ12" s="466">
        <f t="shared" si="0"/>
        <v>42.942060079999997</v>
      </c>
    </row>
    <row r="13" spans="1:45" ht="12.75" customHeight="1">
      <c r="A13" s="453" t="s">
        <v>1134</v>
      </c>
      <c r="B13" s="454"/>
      <c r="C13" s="455">
        <f>SUM(D13:G13)</f>
        <v>0</v>
      </c>
      <c r="D13" s="460"/>
      <c r="E13" s="458"/>
      <c r="F13" s="458"/>
      <c r="G13" s="458"/>
      <c r="H13" s="459">
        <f>SUM(I13:K13)</f>
        <v>68.075576842105264</v>
      </c>
      <c r="I13" s="460">
        <v>68.075576842105264</v>
      </c>
      <c r="J13" s="461"/>
      <c r="K13" s="462"/>
      <c r="L13" s="459">
        <f>SUM(M13:Z13)</f>
        <v>0</v>
      </c>
      <c r="M13" s="462"/>
      <c r="N13" s="462"/>
      <c r="O13" s="462"/>
      <c r="P13" s="462"/>
      <c r="Q13" s="462"/>
      <c r="R13" s="462"/>
      <c r="S13" s="462"/>
      <c r="T13" s="462"/>
      <c r="U13" s="462"/>
      <c r="V13" s="462"/>
      <c r="W13" s="458"/>
      <c r="X13" s="458"/>
      <c r="Y13" s="458"/>
      <c r="Z13" s="462"/>
      <c r="AA13" s="459"/>
      <c r="AB13" s="463">
        <f>SUM(AC13:AM13)</f>
        <v>0</v>
      </c>
      <c r="AC13" s="464"/>
      <c r="AD13" s="462"/>
      <c r="AE13" s="462"/>
      <c r="AF13" s="462"/>
      <c r="AG13" s="462"/>
      <c r="AH13" s="462"/>
      <c r="AI13" s="462"/>
      <c r="AJ13" s="462"/>
      <c r="AK13" s="460"/>
      <c r="AL13" s="460"/>
      <c r="AM13" s="458"/>
      <c r="AN13" s="465"/>
      <c r="AO13" s="465"/>
      <c r="AP13" s="463"/>
      <c r="AQ13" s="466">
        <f t="shared" si="0"/>
        <v>68.075576842105264</v>
      </c>
    </row>
    <row r="14" spans="1:45" ht="12.75" customHeight="1">
      <c r="A14" s="517" t="s">
        <v>1135</v>
      </c>
      <c r="B14" s="518"/>
      <c r="C14" s="519">
        <f>SUM(D14:G14)</f>
        <v>0</v>
      </c>
      <c r="D14" s="520"/>
      <c r="E14" s="521"/>
      <c r="F14" s="522"/>
      <c r="G14" s="522"/>
      <c r="H14" s="523">
        <f>SUM(I14:K14)</f>
        <v>0</v>
      </c>
      <c r="I14" s="520"/>
      <c r="J14" s="524"/>
      <c r="K14" s="521"/>
      <c r="L14" s="523">
        <f>SUM(M14:Z14)</f>
        <v>3130.991863521042</v>
      </c>
      <c r="M14" s="521">
        <v>3092.2052611591994</v>
      </c>
      <c r="N14" s="521">
        <v>38.786602361842682</v>
      </c>
      <c r="O14" s="521"/>
      <c r="P14" s="521"/>
      <c r="Q14" s="521"/>
      <c r="R14" s="521"/>
      <c r="S14" s="521"/>
      <c r="T14" s="521"/>
      <c r="U14" s="521"/>
      <c r="V14" s="521"/>
      <c r="W14" s="522"/>
      <c r="X14" s="522"/>
      <c r="Y14" s="522"/>
      <c r="Z14" s="521"/>
      <c r="AA14" s="523">
        <v>40.734584907594211</v>
      </c>
      <c r="AB14" s="525">
        <f>SUM(AC14:AM14)</f>
        <v>0</v>
      </c>
      <c r="AC14" s="526"/>
      <c r="AD14" s="521"/>
      <c r="AE14" s="521"/>
      <c r="AF14" s="521"/>
      <c r="AG14" s="521"/>
      <c r="AH14" s="521"/>
      <c r="AI14" s="521"/>
      <c r="AJ14" s="521"/>
      <c r="AK14" s="520"/>
      <c r="AL14" s="520"/>
      <c r="AM14" s="522"/>
      <c r="AN14" s="527"/>
      <c r="AO14" s="527">
        <v>11.442471999999999</v>
      </c>
      <c r="AP14" s="525"/>
      <c r="AQ14" s="528">
        <f t="shared" si="0"/>
        <v>3183.1689204286363</v>
      </c>
    </row>
    <row r="15" spans="1:45" s="42" customFormat="1" ht="12.75" customHeight="1">
      <c r="A15" s="529" t="s">
        <v>225</v>
      </c>
      <c r="B15" s="530"/>
      <c r="C15" s="531">
        <f t="shared" ref="C15:AP15" si="8">SUM(C16:C20)</f>
        <v>0</v>
      </c>
      <c r="D15" s="532">
        <f t="shared" si="8"/>
        <v>0</v>
      </c>
      <c r="E15" s="533">
        <f t="shared" si="8"/>
        <v>0</v>
      </c>
      <c r="F15" s="534">
        <f t="shared" si="8"/>
        <v>0</v>
      </c>
      <c r="G15" s="534">
        <f t="shared" si="8"/>
        <v>0</v>
      </c>
      <c r="H15" s="535">
        <f t="shared" si="8"/>
        <v>64.671797999999995</v>
      </c>
      <c r="I15" s="532">
        <f t="shared" si="8"/>
        <v>0</v>
      </c>
      <c r="J15" s="536">
        <f t="shared" si="8"/>
        <v>0</v>
      </c>
      <c r="K15" s="533">
        <f t="shared" si="8"/>
        <v>64.671797999999995</v>
      </c>
      <c r="L15" s="535">
        <f t="shared" si="8"/>
        <v>3166.7858692089685</v>
      </c>
      <c r="M15" s="533">
        <f t="shared" si="8"/>
        <v>0</v>
      </c>
      <c r="N15" s="533">
        <f t="shared" si="8"/>
        <v>0</v>
      </c>
      <c r="O15" s="533">
        <f t="shared" si="8"/>
        <v>90.017983923640699</v>
      </c>
      <c r="P15" s="533">
        <f t="shared" si="8"/>
        <v>640.53679657777786</v>
      </c>
      <c r="Q15" s="533">
        <f t="shared" si="8"/>
        <v>226.77459106847999</v>
      </c>
      <c r="R15" s="533">
        <f t="shared" si="8"/>
        <v>0</v>
      </c>
      <c r="S15" s="533">
        <f t="shared" si="8"/>
        <v>960.95017928079096</v>
      </c>
      <c r="T15" s="533">
        <f t="shared" si="8"/>
        <v>64.797462901984332</v>
      </c>
      <c r="U15" s="533">
        <f t="shared" si="8"/>
        <v>1146.9502117491124</v>
      </c>
      <c r="V15" s="533">
        <f t="shared" si="8"/>
        <v>0</v>
      </c>
      <c r="W15" s="534">
        <f t="shared" si="8"/>
        <v>36.758643707182323</v>
      </c>
      <c r="X15" s="534">
        <f t="shared" si="8"/>
        <v>0</v>
      </c>
      <c r="Y15" s="534">
        <f t="shared" si="8"/>
        <v>0</v>
      </c>
      <c r="Z15" s="533">
        <f t="shared" si="8"/>
        <v>0</v>
      </c>
      <c r="AA15" s="535">
        <f t="shared" si="8"/>
        <v>0</v>
      </c>
      <c r="AB15" s="537">
        <f t="shared" si="8"/>
        <v>0</v>
      </c>
      <c r="AC15" s="538">
        <f t="shared" si="8"/>
        <v>0</v>
      </c>
      <c r="AD15" s="533">
        <f t="shared" si="8"/>
        <v>0</v>
      </c>
      <c r="AE15" s="533">
        <f t="shared" si="8"/>
        <v>0</v>
      </c>
      <c r="AF15" s="533">
        <f t="shared" si="8"/>
        <v>0</v>
      </c>
      <c r="AG15" s="539">
        <f t="shared" si="8"/>
        <v>0</v>
      </c>
      <c r="AH15" s="539">
        <f t="shared" si="8"/>
        <v>0</v>
      </c>
      <c r="AI15" s="539">
        <f t="shared" si="8"/>
        <v>0</v>
      </c>
      <c r="AJ15" s="539">
        <f t="shared" si="8"/>
        <v>0</v>
      </c>
      <c r="AK15" s="532">
        <f t="shared" si="8"/>
        <v>0</v>
      </c>
      <c r="AL15" s="532">
        <f t="shared" si="8"/>
        <v>0</v>
      </c>
      <c r="AM15" s="534">
        <f t="shared" si="8"/>
        <v>0</v>
      </c>
      <c r="AN15" s="535">
        <f t="shared" si="8"/>
        <v>0</v>
      </c>
      <c r="AO15" s="535">
        <f t="shared" si="8"/>
        <v>1873.361490524092</v>
      </c>
      <c r="AP15" s="537">
        <f t="shared" si="8"/>
        <v>0</v>
      </c>
      <c r="AQ15" s="540">
        <f t="shared" si="0"/>
        <v>5104.8191577330599</v>
      </c>
      <c r="AR15" s="38"/>
      <c r="AS15" s="41"/>
    </row>
    <row r="16" spans="1:45" ht="12.75" customHeight="1">
      <c r="A16" s="504" t="s">
        <v>1136</v>
      </c>
      <c r="B16" s="505"/>
      <c r="C16" s="506">
        <f>SUM(D16:G16)</f>
        <v>0</v>
      </c>
      <c r="D16" s="507"/>
      <c r="E16" s="508"/>
      <c r="F16" s="509"/>
      <c r="G16" s="509"/>
      <c r="H16" s="510">
        <f>SUM(I16:K16)</f>
        <v>0</v>
      </c>
      <c r="I16" s="507"/>
      <c r="J16" s="508"/>
      <c r="K16" s="508"/>
      <c r="L16" s="510">
        <f>SUM(M16:Z16)</f>
        <v>0</v>
      </c>
      <c r="M16" s="508"/>
      <c r="N16" s="508"/>
      <c r="O16" s="508"/>
      <c r="P16" s="508"/>
      <c r="Q16" s="508"/>
      <c r="R16" s="508"/>
      <c r="S16" s="508"/>
      <c r="T16" s="508"/>
      <c r="U16" s="508"/>
      <c r="V16" s="508"/>
      <c r="W16" s="509"/>
      <c r="X16" s="509"/>
      <c r="Y16" s="509"/>
      <c r="Z16" s="508"/>
      <c r="AA16" s="510"/>
      <c r="AB16" s="512">
        <f>SUM(AC16:AL16)</f>
        <v>0</v>
      </c>
      <c r="AC16" s="513"/>
      <c r="AD16" s="508"/>
      <c r="AE16" s="508"/>
      <c r="AF16" s="508"/>
      <c r="AG16" s="516"/>
      <c r="AH16" s="516"/>
      <c r="AI16" s="516"/>
      <c r="AJ16" s="516"/>
      <c r="AK16" s="507"/>
      <c r="AL16" s="507"/>
      <c r="AM16" s="509"/>
      <c r="AN16" s="514"/>
      <c r="AO16" s="514">
        <v>1667.7865923774164</v>
      </c>
      <c r="AP16" s="512"/>
      <c r="AQ16" s="541">
        <f>C16+H16+L16+AA16+AO16+AP16</f>
        <v>1667.7865923774164</v>
      </c>
    </row>
    <row r="17" spans="1:45" ht="12.75" customHeight="1">
      <c r="A17" s="453" t="s">
        <v>1137</v>
      </c>
      <c r="B17" s="454"/>
      <c r="C17" s="455">
        <f>SUM(D17:G17)</f>
        <v>0</v>
      </c>
      <c r="D17" s="460"/>
      <c r="E17" s="462"/>
      <c r="F17" s="458"/>
      <c r="G17" s="458"/>
      <c r="H17" s="459">
        <f>SUM(I17:K17)</f>
        <v>0</v>
      </c>
      <c r="I17" s="460"/>
      <c r="J17" s="462"/>
      <c r="K17" s="462"/>
      <c r="L17" s="459">
        <f>SUM(M17:Z17)</f>
        <v>0</v>
      </c>
      <c r="M17" s="462"/>
      <c r="N17" s="462"/>
      <c r="O17" s="462"/>
      <c r="P17" s="462"/>
      <c r="Q17" s="462"/>
      <c r="R17" s="462"/>
      <c r="S17" s="462"/>
      <c r="T17" s="462"/>
      <c r="U17" s="462"/>
      <c r="V17" s="462"/>
      <c r="W17" s="458"/>
      <c r="X17" s="458"/>
      <c r="Y17" s="458"/>
      <c r="Z17" s="462"/>
      <c r="AA17" s="459"/>
      <c r="AB17" s="463">
        <f>SUM(AC17:AL17)</f>
        <v>0</v>
      </c>
      <c r="AC17" s="464"/>
      <c r="AD17" s="462"/>
      <c r="AE17" s="462"/>
      <c r="AF17" s="462"/>
      <c r="AG17" s="462"/>
      <c r="AH17" s="462"/>
      <c r="AI17" s="462"/>
      <c r="AJ17" s="462"/>
      <c r="AK17" s="460"/>
      <c r="AL17" s="460"/>
      <c r="AM17" s="458"/>
      <c r="AN17" s="465"/>
      <c r="AO17" s="542">
        <v>185.14395873624346</v>
      </c>
      <c r="AP17" s="463"/>
      <c r="AQ17" s="466">
        <f>C17+H17+L17+AA17+AO17+AP17</f>
        <v>185.14395873624346</v>
      </c>
    </row>
    <row r="18" spans="1:45" ht="12.75" customHeight="1">
      <c r="A18" s="453" t="s">
        <v>1138</v>
      </c>
      <c r="B18" s="454"/>
      <c r="C18" s="455"/>
      <c r="D18" s="460"/>
      <c r="E18" s="462"/>
      <c r="F18" s="458"/>
      <c r="G18" s="458"/>
      <c r="H18" s="459"/>
      <c r="I18" s="460"/>
      <c r="J18" s="462"/>
      <c r="K18" s="462"/>
      <c r="L18" s="459"/>
      <c r="M18" s="462"/>
      <c r="N18" s="462"/>
      <c r="O18" s="462"/>
      <c r="P18" s="462"/>
      <c r="Q18" s="462"/>
      <c r="R18" s="462"/>
      <c r="S18" s="462"/>
      <c r="T18" s="462"/>
      <c r="U18" s="462"/>
      <c r="V18" s="462"/>
      <c r="W18" s="458"/>
      <c r="X18" s="458"/>
      <c r="Y18" s="458"/>
      <c r="Z18" s="462"/>
      <c r="AA18" s="459"/>
      <c r="AB18" s="463"/>
      <c r="AC18" s="464"/>
      <c r="AD18" s="462"/>
      <c r="AE18" s="462"/>
      <c r="AF18" s="462"/>
      <c r="AG18" s="462"/>
      <c r="AH18" s="462"/>
      <c r="AI18" s="462"/>
      <c r="AJ18" s="462"/>
      <c r="AK18" s="460"/>
      <c r="AL18" s="460"/>
      <c r="AM18" s="458"/>
      <c r="AN18" s="465"/>
      <c r="AO18" s="465">
        <v>20.430939410432</v>
      </c>
      <c r="AP18" s="463"/>
      <c r="AQ18" s="466">
        <f t="shared" si="0"/>
        <v>20.430939410432</v>
      </c>
    </row>
    <row r="19" spans="1:45" ht="12.75" customHeight="1">
      <c r="A19" s="453" t="s">
        <v>1139</v>
      </c>
      <c r="B19" s="454"/>
      <c r="C19" s="455"/>
      <c r="D19" s="38"/>
      <c r="E19" s="462"/>
      <c r="F19" s="458"/>
      <c r="G19" s="458"/>
      <c r="H19" s="459">
        <f>SUM(I19:K19)</f>
        <v>64.671797999999995</v>
      </c>
      <c r="I19" s="460"/>
      <c r="J19" s="462"/>
      <c r="K19" s="462">
        <v>64.671797999999995</v>
      </c>
      <c r="L19" s="459">
        <f>SUM(M19:Z19)</f>
        <v>0</v>
      </c>
      <c r="M19" s="462"/>
      <c r="N19" s="462"/>
      <c r="O19" s="462"/>
      <c r="P19" s="462"/>
      <c r="Q19" s="462"/>
      <c r="R19" s="462"/>
      <c r="S19" s="462"/>
      <c r="T19" s="462"/>
      <c r="U19" s="462"/>
      <c r="V19" s="462"/>
      <c r="W19" s="458"/>
      <c r="X19" s="458"/>
      <c r="Y19" s="458"/>
      <c r="Z19" s="462"/>
      <c r="AA19" s="459"/>
      <c r="AB19" s="463">
        <f>SUM(AC19:AL19)</f>
        <v>0</v>
      </c>
      <c r="AC19" s="464"/>
      <c r="AD19" s="462"/>
      <c r="AE19" s="462"/>
      <c r="AF19" s="462"/>
      <c r="AG19" s="462"/>
      <c r="AH19" s="462"/>
      <c r="AI19" s="462"/>
      <c r="AJ19" s="462"/>
      <c r="AK19" s="460"/>
      <c r="AL19" s="460"/>
      <c r="AM19" s="458"/>
      <c r="AN19" s="465"/>
      <c r="AO19" s="465"/>
      <c r="AP19" s="463"/>
      <c r="AQ19" s="466">
        <f t="shared" si="0"/>
        <v>64.671797999999995</v>
      </c>
    </row>
    <row r="20" spans="1:45" ht="12.75" customHeight="1">
      <c r="A20" s="517" t="s">
        <v>1140</v>
      </c>
      <c r="B20" s="518"/>
      <c r="C20" s="519"/>
      <c r="D20" s="520"/>
      <c r="E20" s="521"/>
      <c r="F20" s="522"/>
      <c r="G20" s="522"/>
      <c r="H20" s="523">
        <f>SUM(I20:K20)</f>
        <v>0</v>
      </c>
      <c r="I20" s="520"/>
      <c r="J20" s="521"/>
      <c r="K20" s="521"/>
      <c r="L20" s="523">
        <f>SUM(M20:Z20)</f>
        <v>3166.7858692089685</v>
      </c>
      <c r="M20" s="521"/>
      <c r="N20" s="521"/>
      <c r="O20" s="521">
        <v>90.017983923640699</v>
      </c>
      <c r="P20" s="521">
        <v>640.53679657777786</v>
      </c>
      <c r="Q20" s="521">
        <v>226.77459106847999</v>
      </c>
      <c r="R20" s="521">
        <v>0</v>
      </c>
      <c r="S20" s="521">
        <v>960.95017928079096</v>
      </c>
      <c r="T20" s="521">
        <v>64.797462901984332</v>
      </c>
      <c r="U20" s="521">
        <v>1146.9502117491124</v>
      </c>
      <c r="V20" s="521"/>
      <c r="W20" s="522">
        <v>36.758643707182323</v>
      </c>
      <c r="X20" s="522"/>
      <c r="Y20" s="522"/>
      <c r="Z20" s="521"/>
      <c r="AA20" s="523"/>
      <c r="AB20" s="525">
        <f>SUM(AC20:AL20)</f>
        <v>0</v>
      </c>
      <c r="AC20" s="526"/>
      <c r="AD20" s="521"/>
      <c r="AE20" s="521"/>
      <c r="AF20" s="521"/>
      <c r="AG20" s="521"/>
      <c r="AH20" s="521"/>
      <c r="AI20" s="521"/>
      <c r="AJ20" s="521"/>
      <c r="AK20" s="520"/>
      <c r="AL20" s="520"/>
      <c r="AM20" s="522"/>
      <c r="AN20" s="527"/>
      <c r="AO20" s="527"/>
      <c r="AP20" s="525"/>
      <c r="AQ20" s="528">
        <f t="shared" si="0"/>
        <v>3166.7858692089685</v>
      </c>
    </row>
    <row r="21" spans="1:45" ht="12.75" customHeight="1">
      <c r="A21" s="543" t="s">
        <v>226</v>
      </c>
      <c r="B21" s="544"/>
      <c r="C21" s="545">
        <f>SUM(C22:C24)</f>
        <v>22.240061570656763</v>
      </c>
      <c r="D21" s="546">
        <f>SUM(D22:D24)</f>
        <v>-17.141361188350004</v>
      </c>
      <c r="E21" s="547">
        <f>SUM(E22:E24)</f>
        <v>39.381422759006767</v>
      </c>
      <c r="F21" s="548">
        <f>SUM(F22:F24)</f>
        <v>0</v>
      </c>
      <c r="G21" s="548">
        <f>SUM(G22:G24)</f>
        <v>0</v>
      </c>
      <c r="H21" s="549">
        <f>SUM(I21:K21)</f>
        <v>0</v>
      </c>
      <c r="I21" s="546">
        <f>SUM(I22:I24)</f>
        <v>0</v>
      </c>
      <c r="J21" s="547">
        <f>SUM(J22:J24)</f>
        <v>0</v>
      </c>
      <c r="K21" s="547">
        <f>SUM(K22:K24)</f>
        <v>0</v>
      </c>
      <c r="L21" s="549">
        <f>SUM(M21:Z21)</f>
        <v>-24.684016341344112</v>
      </c>
      <c r="M21" s="547">
        <f t="shared" ref="M21:AQ21" si="9">SUM(M22:M24)</f>
        <v>0</v>
      </c>
      <c r="N21" s="547">
        <f t="shared" si="9"/>
        <v>30.880435114089789</v>
      </c>
      <c r="O21" s="547">
        <f t="shared" si="9"/>
        <v>0</v>
      </c>
      <c r="P21" s="547">
        <f t="shared" si="9"/>
        <v>-31.331710700000009</v>
      </c>
      <c r="Q21" s="547">
        <f t="shared" si="9"/>
        <v>361.91080481920005</v>
      </c>
      <c r="R21" s="547">
        <f t="shared" si="9"/>
        <v>-361.12225342559998</v>
      </c>
      <c r="S21" s="547">
        <f t="shared" si="9"/>
        <v>-0.17168420677966101</v>
      </c>
      <c r="T21" s="547">
        <f t="shared" si="9"/>
        <v>0</v>
      </c>
      <c r="U21" s="547">
        <f t="shared" si="9"/>
        <v>-2.6095463715975598</v>
      </c>
      <c r="V21" s="547">
        <f t="shared" si="9"/>
        <v>-22.240061570656767</v>
      </c>
      <c r="W21" s="548">
        <f t="shared" si="9"/>
        <v>0</v>
      </c>
      <c r="X21" s="548">
        <f t="shared" si="9"/>
        <v>0</v>
      </c>
      <c r="Y21" s="548">
        <f t="shared" si="9"/>
        <v>0</v>
      </c>
      <c r="Z21" s="547">
        <f t="shared" si="9"/>
        <v>0</v>
      </c>
      <c r="AA21" s="549">
        <f t="shared" si="9"/>
        <v>0</v>
      </c>
      <c r="AB21" s="550">
        <f t="shared" si="9"/>
        <v>-804.60161988393759</v>
      </c>
      <c r="AC21" s="551">
        <f t="shared" si="9"/>
        <v>-59.691708987970003</v>
      </c>
      <c r="AD21" s="547">
        <f t="shared" si="9"/>
        <v>-743.01992281532614</v>
      </c>
      <c r="AE21" s="547">
        <f t="shared" si="9"/>
        <v>0</v>
      </c>
      <c r="AF21" s="547">
        <f t="shared" si="9"/>
        <v>0</v>
      </c>
      <c r="AG21" s="552">
        <f t="shared" si="9"/>
        <v>0</v>
      </c>
      <c r="AH21" s="552">
        <f t="shared" si="9"/>
        <v>0</v>
      </c>
      <c r="AI21" s="552">
        <f t="shared" si="9"/>
        <v>0</v>
      </c>
      <c r="AJ21" s="552">
        <f t="shared" si="9"/>
        <v>0</v>
      </c>
      <c r="AK21" s="546">
        <f t="shared" si="9"/>
        <v>-1.8899880806415161</v>
      </c>
      <c r="AL21" s="552">
        <f t="shared" si="9"/>
        <v>0</v>
      </c>
      <c r="AM21" s="548">
        <f t="shared" si="9"/>
        <v>0</v>
      </c>
      <c r="AN21" s="553">
        <f t="shared" si="9"/>
        <v>0</v>
      </c>
      <c r="AO21" s="549">
        <f t="shared" si="9"/>
        <v>804.60161988393759</v>
      </c>
      <c r="AP21" s="550">
        <f t="shared" si="9"/>
        <v>0</v>
      </c>
      <c r="AQ21" s="554">
        <f t="shared" si="9"/>
        <v>-2.4439547706873483</v>
      </c>
    </row>
    <row r="22" spans="1:45" ht="12.75" customHeight="1">
      <c r="A22" s="504" t="s">
        <v>1141</v>
      </c>
      <c r="B22" s="505"/>
      <c r="C22" s="555"/>
      <c r="D22" s="556"/>
      <c r="E22" s="557"/>
      <c r="F22" s="509"/>
      <c r="G22" s="509"/>
      <c r="H22" s="510"/>
      <c r="I22" s="558"/>
      <c r="J22" s="508"/>
      <c r="K22" s="508"/>
      <c r="L22" s="510"/>
      <c r="M22" s="508"/>
      <c r="N22" s="508"/>
      <c r="O22" s="508"/>
      <c r="P22" s="508"/>
      <c r="Q22" s="508"/>
      <c r="R22" s="508"/>
      <c r="S22" s="508"/>
      <c r="T22" s="508"/>
      <c r="U22" s="508"/>
      <c r="V22" s="508"/>
      <c r="W22" s="509"/>
      <c r="X22" s="509"/>
      <c r="Y22" s="509"/>
      <c r="Z22" s="508"/>
      <c r="AA22" s="510"/>
      <c r="AB22" s="512">
        <f>SUM(AC22:AM22)</f>
        <v>-804.60161988393759</v>
      </c>
      <c r="AC22" s="513">
        <f>-AC2</f>
        <v>-59.691708987970003</v>
      </c>
      <c r="AD22" s="508">
        <f>-AD2</f>
        <v>-743.01992281532614</v>
      </c>
      <c r="AE22" s="508"/>
      <c r="AF22" s="508"/>
      <c r="AG22" s="516"/>
      <c r="AH22" s="516"/>
      <c r="AI22" s="516"/>
      <c r="AJ22" s="516"/>
      <c r="AK22" s="507">
        <v>-1.8899880806415161</v>
      </c>
      <c r="AL22" s="516"/>
      <c r="AM22" s="509"/>
      <c r="AN22" s="514"/>
      <c r="AO22" s="510">
        <f>-(C22+H22+L22+AA22+AB22)</f>
        <v>804.60161988393759</v>
      </c>
      <c r="AP22" s="512"/>
      <c r="AQ22" s="541">
        <f>C22+H22+L22+AA22+AB22+AN22+AO22+AP22</f>
        <v>0</v>
      </c>
    </row>
    <row r="23" spans="1:45" ht="12.75" customHeight="1">
      <c r="A23" s="559" t="s">
        <v>1142</v>
      </c>
      <c r="B23" s="530"/>
      <c r="C23" s="560"/>
      <c r="D23" s="561"/>
      <c r="E23" s="533"/>
      <c r="F23" s="562"/>
      <c r="G23" s="562"/>
      <c r="H23" s="535"/>
      <c r="I23" s="563"/>
      <c r="J23" s="564"/>
      <c r="K23" s="564"/>
      <c r="L23" s="535"/>
      <c r="M23" s="564"/>
      <c r="N23" s="564"/>
      <c r="O23" s="564"/>
      <c r="P23" s="564"/>
      <c r="Q23" s="564"/>
      <c r="R23" s="564"/>
      <c r="S23" s="564"/>
      <c r="T23" s="564"/>
      <c r="U23" s="564"/>
      <c r="V23" s="564"/>
      <c r="W23" s="562"/>
      <c r="X23" s="562"/>
      <c r="Y23" s="562"/>
      <c r="Z23" s="564"/>
      <c r="AA23" s="535"/>
      <c r="AB23" s="537"/>
      <c r="AC23" s="565"/>
      <c r="AD23" s="564"/>
      <c r="AE23" s="564"/>
      <c r="AF23" s="564"/>
      <c r="AG23" s="564"/>
      <c r="AH23" s="564"/>
      <c r="AI23" s="564"/>
      <c r="AJ23" s="564"/>
      <c r="AK23" s="566"/>
      <c r="AL23" s="566"/>
      <c r="AM23" s="562"/>
      <c r="AN23" s="567"/>
      <c r="AO23" s="535"/>
      <c r="AP23" s="537"/>
      <c r="AQ23" s="568">
        <f>C23+H23+L23+AA23+AB23+AN23+AO23+AP23</f>
        <v>0</v>
      </c>
    </row>
    <row r="24" spans="1:45" ht="12.75" customHeight="1" thickBot="1">
      <c r="A24" s="468" t="s">
        <v>1143</v>
      </c>
      <c r="B24" s="469"/>
      <c r="C24" s="569">
        <f>SUM(D24:G24)</f>
        <v>22.240061570656763</v>
      </c>
      <c r="D24" s="570">
        <v>-17.141361188350004</v>
      </c>
      <c r="E24" s="477">
        <f>-D24-V24</f>
        <v>39.381422759006767</v>
      </c>
      <c r="F24" s="471"/>
      <c r="G24" s="471"/>
      <c r="H24" s="472"/>
      <c r="I24" s="571"/>
      <c r="J24" s="477"/>
      <c r="K24" s="477"/>
      <c r="L24" s="472">
        <f>SUM(N24:Z24)</f>
        <v>-24.684016341344112</v>
      </c>
      <c r="M24" s="477"/>
      <c r="N24" s="477">
        <v>30.880435114089789</v>
      </c>
      <c r="O24" s="477"/>
      <c r="P24" s="477">
        <v>-31.331710700000009</v>
      </c>
      <c r="Q24" s="477">
        <v>361.91080481920005</v>
      </c>
      <c r="R24" s="477">
        <v>-361.12225342559998</v>
      </c>
      <c r="S24" s="477">
        <v>-0.17168420677966101</v>
      </c>
      <c r="T24" s="477"/>
      <c r="U24" s="477">
        <v>-2.6095463715975598</v>
      </c>
      <c r="V24" s="471">
        <v>-22.240061570656767</v>
      </c>
      <c r="W24" s="471">
        <v>0</v>
      </c>
      <c r="X24" s="471"/>
      <c r="Y24" s="471"/>
      <c r="Z24" s="477"/>
      <c r="AA24" s="472"/>
      <c r="AB24" s="472">
        <f>SUM(AC24:AM24)</f>
        <v>0</v>
      </c>
      <c r="AC24" s="476"/>
      <c r="AD24" s="477"/>
      <c r="AE24" s="477"/>
      <c r="AF24" s="477"/>
      <c r="AG24" s="477"/>
      <c r="AH24" s="477"/>
      <c r="AI24" s="477"/>
      <c r="AJ24" s="477"/>
      <c r="AK24" s="473"/>
      <c r="AL24" s="473"/>
      <c r="AM24" s="471"/>
      <c r="AN24" s="478"/>
      <c r="AO24" s="472"/>
      <c r="AP24" s="475"/>
      <c r="AQ24" s="479">
        <f>C24+H24+L24+AA24+AB24+AN24+AO24+AP24</f>
        <v>-2.4439547706873483</v>
      </c>
    </row>
    <row r="25" spans="1:45" ht="12.75" customHeight="1" thickBot="1">
      <c r="A25" s="529" t="s">
        <v>227</v>
      </c>
      <c r="B25" s="530"/>
      <c r="C25" s="531">
        <f>SUM(D25:G25)</f>
        <v>0</v>
      </c>
      <c r="D25" s="532"/>
      <c r="E25" s="533"/>
      <c r="F25" s="562"/>
      <c r="G25" s="562"/>
      <c r="H25" s="535">
        <f>SUM(I25:K25)</f>
        <v>10.28324833984202</v>
      </c>
      <c r="I25" s="562">
        <v>10.28324833984202</v>
      </c>
      <c r="J25" s="572"/>
      <c r="K25" s="564"/>
      <c r="L25" s="535">
        <f>SUM(O25:Z25)</f>
        <v>98.284657617035819</v>
      </c>
      <c r="M25" s="564"/>
      <c r="N25" s="564"/>
      <c r="O25" s="564">
        <v>95.274692021714102</v>
      </c>
      <c r="P25" s="564"/>
      <c r="Q25" s="564"/>
      <c r="R25" s="564"/>
      <c r="S25" s="564">
        <v>0</v>
      </c>
      <c r="T25" s="564">
        <v>4.1693256233877908E-3</v>
      </c>
      <c r="U25" s="564">
        <v>3.0057962696983291</v>
      </c>
      <c r="V25" s="564"/>
      <c r="W25" s="562"/>
      <c r="X25" s="562"/>
      <c r="Y25" s="562"/>
      <c r="Z25" s="564"/>
      <c r="AA25" s="535">
        <v>57.528599543766255</v>
      </c>
      <c r="AB25" s="537">
        <f>SUM(AC25:AI25)</f>
        <v>0</v>
      </c>
      <c r="AC25" s="538"/>
      <c r="AD25" s="564"/>
      <c r="AE25" s="564"/>
      <c r="AF25" s="564"/>
      <c r="AG25" s="564"/>
      <c r="AH25" s="564"/>
      <c r="AI25" s="564"/>
      <c r="AJ25" s="564"/>
      <c r="AK25" s="566"/>
      <c r="AL25" s="566"/>
      <c r="AM25" s="562"/>
      <c r="AN25" s="567"/>
      <c r="AO25" s="535">
        <v>259.46681438260055</v>
      </c>
      <c r="AP25" s="537"/>
      <c r="AQ25" s="568">
        <f>C25+H25+L25+AA25+AB25+AN25+AO25+AP25</f>
        <v>425.56331988324462</v>
      </c>
    </row>
    <row r="26" spans="1:45" s="42" customFormat="1" ht="12.75" customHeight="1" thickBot="1">
      <c r="A26" s="573" t="s">
        <v>228</v>
      </c>
      <c r="B26" s="574"/>
      <c r="C26" s="575">
        <f t="shared" ref="C26:AP26" si="10">C7-C9+C15+C21-C25</f>
        <v>320.15759843333262</v>
      </c>
      <c r="D26" s="576">
        <f t="shared" si="10"/>
        <v>221.42915574234439</v>
      </c>
      <c r="E26" s="577">
        <f t="shared" si="10"/>
        <v>86.198591658957852</v>
      </c>
      <c r="F26" s="577">
        <f t="shared" si="10"/>
        <v>0</v>
      </c>
      <c r="G26" s="577">
        <f t="shared" si="10"/>
        <v>12.529851032030438</v>
      </c>
      <c r="H26" s="578">
        <f t="shared" si="10"/>
        <v>199.31419506885081</v>
      </c>
      <c r="I26" s="576">
        <f t="shared" si="10"/>
        <v>0.37225106885087023</v>
      </c>
      <c r="J26" s="579">
        <f t="shared" si="10"/>
        <v>127.70399999999999</v>
      </c>
      <c r="K26" s="577">
        <f t="shared" si="10"/>
        <v>71.237943999999999</v>
      </c>
      <c r="L26" s="578">
        <f t="shared" si="10"/>
        <v>7278.2180951406654</v>
      </c>
      <c r="M26" s="577">
        <f t="shared" si="10"/>
        <v>0</v>
      </c>
      <c r="N26" s="577">
        <f t="shared" si="10"/>
        <v>-0.14794174855289199</v>
      </c>
      <c r="O26" s="577">
        <f t="shared" si="10"/>
        <v>-5.2567080980734033</v>
      </c>
      <c r="P26" s="577">
        <f t="shared" si="10"/>
        <v>799.22126723333315</v>
      </c>
      <c r="Q26" s="577">
        <f t="shared" si="10"/>
        <v>949.04247657856001</v>
      </c>
      <c r="R26" s="577">
        <f t="shared" si="10"/>
        <v>1106.9485985044798</v>
      </c>
      <c r="S26" s="577">
        <f t="shared" si="10"/>
        <v>39.03952078017609</v>
      </c>
      <c r="T26" s="577">
        <f t="shared" si="10"/>
        <v>187.88084937540125</v>
      </c>
      <c r="U26" s="577">
        <f t="shared" si="10"/>
        <v>3815.0626351280866</v>
      </c>
      <c r="V26" s="577">
        <f t="shared" si="10"/>
        <v>147.33759997605492</v>
      </c>
      <c r="W26" s="577">
        <f t="shared" si="10"/>
        <v>7.506512734116022</v>
      </c>
      <c r="X26" s="577">
        <f t="shared" si="10"/>
        <v>195.36275312176252</v>
      </c>
      <c r="Y26" s="577">
        <f t="shared" si="10"/>
        <v>1.2096467108549098</v>
      </c>
      <c r="Z26" s="577">
        <f t="shared" si="10"/>
        <v>35.010884844467988</v>
      </c>
      <c r="AA26" s="578">
        <f t="shared" si="10"/>
        <v>1921.4292269183238</v>
      </c>
      <c r="AB26" s="580">
        <f t="shared" si="10"/>
        <v>461.09915024876761</v>
      </c>
      <c r="AC26" s="502">
        <f t="shared" si="10"/>
        <v>0</v>
      </c>
      <c r="AD26" s="484">
        <f t="shared" si="10"/>
        <v>0</v>
      </c>
      <c r="AE26" s="484">
        <f t="shared" si="10"/>
        <v>197.01652611637599</v>
      </c>
      <c r="AF26" s="484">
        <f t="shared" si="10"/>
        <v>40.692904224132207</v>
      </c>
      <c r="AG26" s="484">
        <f t="shared" si="10"/>
        <v>0</v>
      </c>
      <c r="AH26" s="484">
        <f t="shared" si="10"/>
        <v>9.7770611234061491</v>
      </c>
      <c r="AI26" s="484">
        <f t="shared" si="10"/>
        <v>128.62672037577602</v>
      </c>
      <c r="AJ26" s="484">
        <f t="shared" si="10"/>
        <v>27.916404744672001</v>
      </c>
      <c r="AK26" s="487">
        <f t="shared" si="10"/>
        <v>0</v>
      </c>
      <c r="AL26" s="487">
        <f t="shared" si="10"/>
        <v>13.54608560366562</v>
      </c>
      <c r="AM26" s="581">
        <f t="shared" si="10"/>
        <v>43.523448060739646</v>
      </c>
      <c r="AN26" s="578">
        <f t="shared" si="10"/>
        <v>54.722939604974087</v>
      </c>
      <c r="AO26" s="578">
        <f t="shared" si="10"/>
        <v>2361.7269899654289</v>
      </c>
      <c r="AP26" s="580">
        <f t="shared" si="10"/>
        <v>0</v>
      </c>
      <c r="AQ26" s="582">
        <f>C26+H26+L26+AA26+AB26+AN26+AO26+AP26</f>
        <v>12596.668195380342</v>
      </c>
      <c r="AR26" s="38"/>
      <c r="AS26" s="41"/>
    </row>
    <row r="27" spans="1:45" s="42" customFormat="1" ht="12.75" customHeight="1">
      <c r="A27" s="480" t="s">
        <v>229</v>
      </c>
      <c r="B27" s="481"/>
      <c r="C27" s="482">
        <f t="shared" ref="C27:V27" si="11">C28</f>
        <v>0</v>
      </c>
      <c r="D27" s="487">
        <f t="shared" si="11"/>
        <v>0</v>
      </c>
      <c r="E27" s="484">
        <f t="shared" si="11"/>
        <v>0</v>
      </c>
      <c r="F27" s="501">
        <f t="shared" si="11"/>
        <v>0</v>
      </c>
      <c r="G27" s="501">
        <f t="shared" si="11"/>
        <v>0</v>
      </c>
      <c r="H27" s="485">
        <f t="shared" si="11"/>
        <v>0</v>
      </c>
      <c r="I27" s="487">
        <f t="shared" si="11"/>
        <v>0</v>
      </c>
      <c r="J27" s="486">
        <f t="shared" si="11"/>
        <v>0</v>
      </c>
      <c r="K27" s="484">
        <f t="shared" si="11"/>
        <v>0</v>
      </c>
      <c r="L27" s="485">
        <f t="shared" si="11"/>
        <v>231.58328467708543</v>
      </c>
      <c r="M27" s="484">
        <f t="shared" si="11"/>
        <v>0</v>
      </c>
      <c r="N27" s="484">
        <f t="shared" si="11"/>
        <v>0</v>
      </c>
      <c r="O27" s="484">
        <f t="shared" si="11"/>
        <v>0</v>
      </c>
      <c r="P27" s="484">
        <f t="shared" si="11"/>
        <v>0</v>
      </c>
      <c r="Q27" s="484">
        <f t="shared" si="11"/>
        <v>0</v>
      </c>
      <c r="R27" s="484">
        <f t="shared" si="11"/>
        <v>0</v>
      </c>
      <c r="S27" s="484">
        <f t="shared" si="11"/>
        <v>0</v>
      </c>
      <c r="T27" s="484">
        <f t="shared" si="11"/>
        <v>0</v>
      </c>
      <c r="U27" s="484">
        <f t="shared" si="11"/>
        <v>0</v>
      </c>
      <c r="V27" s="484">
        <f t="shared" si="11"/>
        <v>0</v>
      </c>
      <c r="W27" s="501"/>
      <c r="X27" s="501">
        <f t="shared" ref="X27:AQ27" si="12">X28</f>
        <v>195.36275312176252</v>
      </c>
      <c r="Y27" s="501">
        <f t="shared" si="12"/>
        <v>1.2096467108549098</v>
      </c>
      <c r="Z27" s="484">
        <f t="shared" si="12"/>
        <v>35.010884844467988</v>
      </c>
      <c r="AA27" s="485">
        <f t="shared" si="12"/>
        <v>0</v>
      </c>
      <c r="AB27" s="483">
        <f t="shared" si="12"/>
        <v>0</v>
      </c>
      <c r="AC27" s="502">
        <f t="shared" si="12"/>
        <v>0</v>
      </c>
      <c r="AD27" s="484">
        <f t="shared" si="12"/>
        <v>0</v>
      </c>
      <c r="AE27" s="484">
        <f t="shared" si="12"/>
        <v>0</v>
      </c>
      <c r="AF27" s="484">
        <f t="shared" si="12"/>
        <v>0</v>
      </c>
      <c r="AG27" s="484">
        <f t="shared" si="12"/>
        <v>0</v>
      </c>
      <c r="AH27" s="484">
        <f t="shared" si="12"/>
        <v>0</v>
      </c>
      <c r="AI27" s="484">
        <f t="shared" si="12"/>
        <v>0</v>
      </c>
      <c r="AJ27" s="484">
        <f t="shared" si="12"/>
        <v>0</v>
      </c>
      <c r="AK27" s="487">
        <f t="shared" si="12"/>
        <v>0</v>
      </c>
      <c r="AL27" s="487">
        <f t="shared" si="12"/>
        <v>0</v>
      </c>
      <c r="AM27" s="501">
        <f t="shared" si="12"/>
        <v>0</v>
      </c>
      <c r="AN27" s="485">
        <f t="shared" si="12"/>
        <v>0</v>
      </c>
      <c r="AO27" s="485">
        <f t="shared" si="12"/>
        <v>0</v>
      </c>
      <c r="AP27" s="483">
        <f t="shared" si="12"/>
        <v>0</v>
      </c>
      <c r="AQ27" s="489">
        <f t="shared" si="12"/>
        <v>231.58328467708543</v>
      </c>
      <c r="AR27" s="38"/>
      <c r="AS27" s="41"/>
    </row>
    <row r="28" spans="1:45" ht="12.75" customHeight="1" thickBot="1">
      <c r="A28" s="583" t="s">
        <v>230</v>
      </c>
      <c r="B28" s="584"/>
      <c r="C28" s="585">
        <f>SUM(D28:G28)</f>
        <v>0</v>
      </c>
      <c r="D28" s="546"/>
      <c r="E28" s="547"/>
      <c r="F28" s="548"/>
      <c r="G28" s="548"/>
      <c r="H28" s="553">
        <f>SUM(I28:K28)</f>
        <v>0</v>
      </c>
      <c r="I28" s="546"/>
      <c r="J28" s="586"/>
      <c r="K28" s="547"/>
      <c r="L28" s="553">
        <f>SUM(M28:Z28)</f>
        <v>231.58328467708543</v>
      </c>
      <c r="M28" s="547"/>
      <c r="N28" s="547"/>
      <c r="O28" s="547"/>
      <c r="P28" s="547"/>
      <c r="Q28" s="547"/>
      <c r="R28" s="547"/>
      <c r="S28" s="547"/>
      <c r="T28" s="547"/>
      <c r="U28" s="547"/>
      <c r="V28" s="547"/>
      <c r="W28" s="548"/>
      <c r="X28" s="548">
        <f>X26</f>
        <v>195.36275312176252</v>
      </c>
      <c r="Y28" s="548">
        <f>Y26</f>
        <v>1.2096467108549098</v>
      </c>
      <c r="Z28" s="547">
        <f>Z26</f>
        <v>35.010884844467988</v>
      </c>
      <c r="AA28" s="553">
        <v>0</v>
      </c>
      <c r="AB28" s="587">
        <f>SUM(AC28:AI28)</f>
        <v>0</v>
      </c>
      <c r="AC28" s="551"/>
      <c r="AD28" s="547"/>
      <c r="AE28" s="547"/>
      <c r="AF28" s="547"/>
      <c r="AG28" s="547"/>
      <c r="AH28" s="547"/>
      <c r="AI28" s="547"/>
      <c r="AJ28" s="547"/>
      <c r="AK28" s="546"/>
      <c r="AL28" s="546"/>
      <c r="AM28" s="548"/>
      <c r="AN28" s="553"/>
      <c r="AO28" s="553"/>
      <c r="AP28" s="587"/>
      <c r="AQ28" s="554">
        <f t="shared" ref="AQ28:AQ72" si="13">C28+H28+L28+AA28+AB28+AN28+AO28+AP28</f>
        <v>231.58328467708543</v>
      </c>
    </row>
    <row r="29" spans="1:45" s="42" customFormat="1" ht="12.75" customHeight="1" thickBot="1">
      <c r="A29" s="480" t="s">
        <v>231</v>
      </c>
      <c r="B29" s="481"/>
      <c r="C29" s="482">
        <f t="shared" ref="C29:AQ29" si="14">C30+C45+C56+C58+C65+C70+C71</f>
        <v>322.73713313616526</v>
      </c>
      <c r="D29" s="487">
        <f t="shared" si="14"/>
        <v>221.25198906014759</v>
      </c>
      <c r="E29" s="484">
        <f t="shared" si="14"/>
        <v>89.647280058277374</v>
      </c>
      <c r="F29" s="501">
        <f t="shared" si="14"/>
        <v>0</v>
      </c>
      <c r="G29" s="501">
        <f t="shared" si="14"/>
        <v>11.837385289740231</v>
      </c>
      <c r="H29" s="485">
        <f t="shared" si="14"/>
        <v>197.36847005356</v>
      </c>
      <c r="I29" s="487">
        <f t="shared" si="14"/>
        <v>0.82966372355999995</v>
      </c>
      <c r="J29" s="588">
        <f t="shared" si="14"/>
        <v>127.70399999999999</v>
      </c>
      <c r="K29" s="487">
        <f t="shared" si="14"/>
        <v>68.834806329999992</v>
      </c>
      <c r="L29" s="485">
        <f t="shared" si="14"/>
        <v>7044.2916862331467</v>
      </c>
      <c r="M29" s="484">
        <f t="shared" si="14"/>
        <v>0</v>
      </c>
      <c r="N29" s="484">
        <f t="shared" si="14"/>
        <v>0</v>
      </c>
      <c r="O29" s="484">
        <f t="shared" si="14"/>
        <v>0</v>
      </c>
      <c r="P29" s="484">
        <f t="shared" si="14"/>
        <v>824.24502392197087</v>
      </c>
      <c r="Q29" s="484">
        <f t="shared" si="14"/>
        <v>934.32541284991999</v>
      </c>
      <c r="R29" s="484">
        <f t="shared" si="14"/>
        <v>1102.8442060797599</v>
      </c>
      <c r="S29" s="484">
        <f t="shared" si="14"/>
        <v>31.039400915077643</v>
      </c>
      <c r="T29" s="484">
        <f t="shared" si="14"/>
        <v>181.32381570558746</v>
      </c>
      <c r="U29" s="484">
        <f t="shared" si="14"/>
        <v>3824.001555864289</v>
      </c>
      <c r="V29" s="484">
        <f t="shared" si="14"/>
        <v>146.51227089654276</v>
      </c>
      <c r="W29" s="501">
        <f t="shared" si="14"/>
        <v>0</v>
      </c>
      <c r="X29" s="501">
        <f t="shared" si="14"/>
        <v>0</v>
      </c>
      <c r="Y29" s="501">
        <f t="shared" si="14"/>
        <v>0</v>
      </c>
      <c r="Z29" s="487">
        <f t="shared" si="14"/>
        <v>0</v>
      </c>
      <c r="AA29" s="578">
        <f t="shared" si="14"/>
        <v>1961.7039372255224</v>
      </c>
      <c r="AB29" s="483">
        <f t="shared" si="14"/>
        <v>463.5152964293224</v>
      </c>
      <c r="AC29" s="502">
        <f t="shared" si="14"/>
        <v>0</v>
      </c>
      <c r="AD29" s="484">
        <f t="shared" si="14"/>
        <v>0</v>
      </c>
      <c r="AE29" s="484">
        <f t="shared" si="14"/>
        <v>201.73619537368276</v>
      </c>
      <c r="AF29" s="484">
        <f t="shared" si="14"/>
        <v>40.692904224132199</v>
      </c>
      <c r="AG29" s="484">
        <f t="shared" si="14"/>
        <v>0</v>
      </c>
      <c r="AH29" s="484">
        <f t="shared" si="14"/>
        <v>9.7770611234061491</v>
      </c>
      <c r="AI29" s="484">
        <f t="shared" si="14"/>
        <v>126.96834918892804</v>
      </c>
      <c r="AJ29" s="484">
        <f t="shared" si="14"/>
        <v>27.271252854767994</v>
      </c>
      <c r="AK29" s="483">
        <f t="shared" si="14"/>
        <v>0</v>
      </c>
      <c r="AL29" s="483">
        <f t="shared" si="14"/>
        <v>13.546085603665619</v>
      </c>
      <c r="AM29" s="483">
        <f t="shared" si="14"/>
        <v>43.523448060739653</v>
      </c>
      <c r="AN29" s="483">
        <f t="shared" si="14"/>
        <v>54.722939604974094</v>
      </c>
      <c r="AO29" s="485">
        <f t="shared" si="14"/>
        <v>2397.4208343089181</v>
      </c>
      <c r="AP29" s="483">
        <f t="shared" si="14"/>
        <v>0</v>
      </c>
      <c r="AQ29" s="582">
        <f t="shared" si="14"/>
        <v>12441.760296991612</v>
      </c>
      <c r="AR29" s="38"/>
      <c r="AS29" s="41"/>
    </row>
    <row r="30" spans="1:45" s="42" customFormat="1" ht="12.75" customHeight="1">
      <c r="A30" s="589" t="s">
        <v>232</v>
      </c>
      <c r="B30" s="590"/>
      <c r="C30" s="591">
        <f>SUM(C31:C44)</f>
        <v>105.42502802800003</v>
      </c>
      <c r="D30" s="592">
        <v>105.4245493</v>
      </c>
      <c r="E30" s="592">
        <v>0</v>
      </c>
      <c r="F30" s="593"/>
      <c r="G30" s="593"/>
      <c r="H30" s="594">
        <f>SUM(H31:H44)</f>
        <v>0.82966372355999995</v>
      </c>
      <c r="I30" s="595">
        <f t="shared" ref="I30:K30" si="15">SUM(I31:I44)</f>
        <v>0.82966372355999995</v>
      </c>
      <c r="J30" s="592">
        <f t="shared" si="15"/>
        <v>0</v>
      </c>
      <c r="K30" s="592">
        <f t="shared" si="15"/>
        <v>0</v>
      </c>
      <c r="L30" s="594">
        <f>SUM(L31:L44)</f>
        <v>333.21700779482637</v>
      </c>
      <c r="M30" s="592">
        <f>SUM(M31:M44)</f>
        <v>0</v>
      </c>
      <c r="N30" s="592">
        <f>SUM(N31:N44)</f>
        <v>0</v>
      </c>
      <c r="O30" s="592">
        <f>SUM(O31:O44)</f>
        <v>0</v>
      </c>
      <c r="P30" s="592">
        <f>SUM(P31:P44)</f>
        <v>0</v>
      </c>
      <c r="Q30" s="592">
        <v>5.8273117756492638</v>
      </c>
      <c r="R30" s="592">
        <f>SUM(R31:R44)</f>
        <v>0</v>
      </c>
      <c r="S30" s="592">
        <v>30.396553446461994</v>
      </c>
      <c r="T30" s="592">
        <v>55.10581048870722</v>
      </c>
      <c r="U30" s="592">
        <v>100.77893291075623</v>
      </c>
      <c r="V30" s="592">
        <v>141.10839917325163</v>
      </c>
      <c r="W30" s="592">
        <f>SUM(W31:W44)</f>
        <v>0</v>
      </c>
      <c r="X30" s="592">
        <f>SUM(X31:X44)</f>
        <v>0</v>
      </c>
      <c r="Y30" s="592">
        <f>SUM(Y31:Y44)</f>
        <v>0</v>
      </c>
      <c r="Z30" s="592">
        <f>SUM(Z31:Z44)</f>
        <v>0</v>
      </c>
      <c r="AA30" s="594">
        <v>1006.4294471460221</v>
      </c>
      <c r="AB30" s="596">
        <f t="shared" ref="AB30:AN30" si="16">SUM(AB31:AB44)</f>
        <v>198.81521058080656</v>
      </c>
      <c r="AC30" s="597">
        <f t="shared" si="16"/>
        <v>0</v>
      </c>
      <c r="AD30" s="592">
        <f t="shared" si="16"/>
        <v>0</v>
      </c>
      <c r="AE30" s="592">
        <f t="shared" si="16"/>
        <v>153.96698996806381</v>
      </c>
      <c r="AF30" s="592">
        <f t="shared" si="16"/>
        <v>40.692904224132199</v>
      </c>
      <c r="AG30" s="592">
        <f t="shared" si="16"/>
        <v>0</v>
      </c>
      <c r="AH30" s="592">
        <f t="shared" si="16"/>
        <v>4.1553163886105651</v>
      </c>
      <c r="AI30" s="592">
        <f t="shared" si="16"/>
        <v>0</v>
      </c>
      <c r="AJ30" s="592">
        <f t="shared" si="16"/>
        <v>0</v>
      </c>
      <c r="AK30" s="592">
        <f t="shared" si="16"/>
        <v>0</v>
      </c>
      <c r="AL30" s="592">
        <f t="shared" si="16"/>
        <v>0</v>
      </c>
      <c r="AM30" s="598">
        <f t="shared" si="16"/>
        <v>0</v>
      </c>
      <c r="AN30" s="595">
        <f t="shared" si="16"/>
        <v>54.722939604974094</v>
      </c>
      <c r="AO30" s="594">
        <v>562.37095164267794</v>
      </c>
      <c r="AP30" s="596">
        <f>SUM(AP31:AP44)</f>
        <v>0</v>
      </c>
      <c r="AQ30" s="503">
        <f t="shared" ref="AQ30" si="17">C30+H30+L30+AA30+AB30+AN30+AO30+AP30</f>
        <v>2261.8102485208669</v>
      </c>
      <c r="AR30" s="38"/>
      <c r="AS30" s="41"/>
    </row>
    <row r="31" spans="1:45" ht="12.75" customHeight="1">
      <c r="A31" s="599" t="s">
        <v>233</v>
      </c>
      <c r="B31" s="600" t="s">
        <v>234</v>
      </c>
      <c r="C31" s="601">
        <f t="shared" ref="C31:C43" si="18">SUM(D31:G31)</f>
        <v>0</v>
      </c>
      <c r="D31" s="513">
        <v>0</v>
      </c>
      <c r="E31" s="602"/>
      <c r="F31" s="602"/>
      <c r="G31" s="603"/>
      <c r="H31" s="604">
        <f t="shared" ref="H31:H43" si="19">SUM(I31:K31)</f>
        <v>0</v>
      </c>
      <c r="I31" s="605"/>
      <c r="J31" s="606"/>
      <c r="K31" s="516"/>
      <c r="L31" s="604">
        <f t="shared" ref="L31:L43" si="20">SUM(M31:Z31)</f>
        <v>15.076944231866809</v>
      </c>
      <c r="M31" s="516"/>
      <c r="N31" s="516"/>
      <c r="O31" s="516"/>
      <c r="P31" s="607"/>
      <c r="Q31" s="558">
        <v>0.252</v>
      </c>
      <c r="R31" s="602"/>
      <c r="S31" s="558">
        <v>0</v>
      </c>
      <c r="T31" s="558">
        <v>9.0944231866809708E-2</v>
      </c>
      <c r="U31" s="558">
        <v>14.734</v>
      </c>
      <c r="V31" s="558">
        <v>0</v>
      </c>
      <c r="W31" s="602"/>
      <c r="X31" s="605"/>
      <c r="Y31" s="607"/>
      <c r="Z31" s="516"/>
      <c r="AA31" s="514">
        <v>11.321518316813064</v>
      </c>
      <c r="AB31" s="608">
        <f t="shared" ref="AB31:AB43" si="21">SUM(AC31:AM31)</f>
        <v>0</v>
      </c>
      <c r="AC31" s="609"/>
      <c r="AD31" s="516"/>
      <c r="AE31" s="516"/>
      <c r="AF31" s="516"/>
      <c r="AG31" s="516"/>
      <c r="AH31" s="516"/>
      <c r="AI31" s="516"/>
      <c r="AJ31" s="516"/>
      <c r="AK31" s="507"/>
      <c r="AL31" s="509"/>
      <c r="AM31" s="516"/>
      <c r="AN31" s="514"/>
      <c r="AO31" s="514">
        <v>18.942945216847264</v>
      </c>
      <c r="AP31" s="608"/>
      <c r="AQ31" s="515">
        <f t="shared" si="13"/>
        <v>45.341407765527137</v>
      </c>
    </row>
    <row r="32" spans="1:45" ht="12.75" customHeight="1">
      <c r="A32" s="610" t="s">
        <v>235</v>
      </c>
      <c r="B32" s="611" t="s">
        <v>236</v>
      </c>
      <c r="C32" s="455">
        <f t="shared" si="18"/>
        <v>18.505815952000003</v>
      </c>
      <c r="D32" s="464">
        <v>18.505815952000003</v>
      </c>
      <c r="E32" s="612"/>
      <c r="F32" s="612"/>
      <c r="G32" s="613"/>
      <c r="H32" s="459">
        <f t="shared" si="19"/>
        <v>0.82966372355999995</v>
      </c>
      <c r="I32" s="460">
        <v>0.82966372355999995</v>
      </c>
      <c r="J32" s="461"/>
      <c r="K32" s="462"/>
      <c r="L32" s="459">
        <f t="shared" si="20"/>
        <v>65.081234617624631</v>
      </c>
      <c r="M32" s="462"/>
      <c r="N32" s="462"/>
      <c r="O32" s="462"/>
      <c r="P32" s="607"/>
      <c r="Q32" s="612">
        <v>1.514</v>
      </c>
      <c r="R32" s="612"/>
      <c r="S32" s="612">
        <v>22.968462416696998</v>
      </c>
      <c r="T32" s="612">
        <v>29.49577220092764</v>
      </c>
      <c r="U32" s="612">
        <v>11.103</v>
      </c>
      <c r="V32" s="612">
        <v>0</v>
      </c>
      <c r="W32" s="612"/>
      <c r="X32" s="460"/>
      <c r="Y32" s="458"/>
      <c r="Z32" s="462"/>
      <c r="AA32" s="465">
        <v>272.71139495674981</v>
      </c>
      <c r="AB32" s="463">
        <f t="shared" si="21"/>
        <v>27.983335383690566</v>
      </c>
      <c r="AC32" s="464"/>
      <c r="AD32" s="462"/>
      <c r="AE32" s="462">
        <v>23.828018995080001</v>
      </c>
      <c r="AF32" s="462"/>
      <c r="AG32" s="516"/>
      <c r="AH32" s="516">
        <v>4.1553163886105651</v>
      </c>
      <c r="AI32" s="516"/>
      <c r="AJ32" s="516"/>
      <c r="AK32" s="460"/>
      <c r="AL32" s="458"/>
      <c r="AM32" s="462"/>
      <c r="AN32" s="465"/>
      <c r="AO32" s="465">
        <v>95.275088867672153</v>
      </c>
      <c r="AP32" s="463"/>
      <c r="AQ32" s="466">
        <f t="shared" si="13"/>
        <v>480.38653350129721</v>
      </c>
    </row>
    <row r="33" spans="1:45" ht="12.75" customHeight="1">
      <c r="A33" s="610" t="s">
        <v>237</v>
      </c>
      <c r="B33" s="614" t="s">
        <v>238</v>
      </c>
      <c r="C33" s="455">
        <f t="shared" si="18"/>
        <v>0</v>
      </c>
      <c r="D33" s="464">
        <v>0</v>
      </c>
      <c r="E33" s="612"/>
      <c r="F33" s="612"/>
      <c r="G33" s="613"/>
      <c r="H33" s="459">
        <f t="shared" si="19"/>
        <v>0</v>
      </c>
      <c r="I33" s="460"/>
      <c r="J33" s="461"/>
      <c r="K33" s="462"/>
      <c r="L33" s="459">
        <f t="shared" si="20"/>
        <v>4.2587599630269795</v>
      </c>
      <c r="M33" s="462"/>
      <c r="N33" s="462"/>
      <c r="O33" s="462"/>
      <c r="P33" s="607"/>
      <c r="Q33" s="612">
        <v>7.6999999999999999E-2</v>
      </c>
      <c r="R33" s="612"/>
      <c r="S33" s="612">
        <v>0</v>
      </c>
      <c r="T33" s="612">
        <v>3.9077599630269795</v>
      </c>
      <c r="U33" s="612">
        <v>0.27400000000000002</v>
      </c>
      <c r="V33" s="612">
        <v>0</v>
      </c>
      <c r="W33" s="612"/>
      <c r="X33" s="460"/>
      <c r="Y33" s="458"/>
      <c r="Z33" s="462"/>
      <c r="AA33" s="465">
        <v>3.3044502133205622</v>
      </c>
      <c r="AB33" s="463">
        <f t="shared" si="21"/>
        <v>0</v>
      </c>
      <c r="AC33" s="464"/>
      <c r="AD33" s="462"/>
      <c r="AE33" s="462"/>
      <c r="AF33" s="462"/>
      <c r="AG33" s="516"/>
      <c r="AH33" s="516"/>
      <c r="AI33" s="516"/>
      <c r="AJ33" s="516"/>
      <c r="AK33" s="460"/>
      <c r="AL33" s="458"/>
      <c r="AM33" s="462"/>
      <c r="AN33" s="465"/>
      <c r="AO33" s="465">
        <v>2.6521774464642336</v>
      </c>
      <c r="AP33" s="463"/>
      <c r="AQ33" s="466">
        <f t="shared" si="13"/>
        <v>10.215387622811775</v>
      </c>
    </row>
    <row r="34" spans="1:45" ht="12.75" customHeight="1">
      <c r="A34" s="610" t="s">
        <v>239</v>
      </c>
      <c r="B34" s="614" t="s">
        <v>240</v>
      </c>
      <c r="C34" s="455">
        <f t="shared" si="18"/>
        <v>0</v>
      </c>
      <c r="D34" s="464">
        <v>0</v>
      </c>
      <c r="E34" s="612"/>
      <c r="F34" s="612"/>
      <c r="G34" s="613"/>
      <c r="H34" s="459">
        <f t="shared" si="19"/>
        <v>0</v>
      </c>
      <c r="I34" s="460"/>
      <c r="J34" s="461"/>
      <c r="K34" s="462"/>
      <c r="L34" s="459">
        <f t="shared" si="20"/>
        <v>3.2131895506092896</v>
      </c>
      <c r="M34" s="462"/>
      <c r="N34" s="462"/>
      <c r="O34" s="462"/>
      <c r="P34" s="607"/>
      <c r="Q34" s="612">
        <v>0.17699999999999999</v>
      </c>
      <c r="R34" s="612"/>
      <c r="S34" s="612">
        <v>0</v>
      </c>
      <c r="T34" s="612">
        <v>0.60818955060928981</v>
      </c>
      <c r="U34" s="612">
        <v>2.4279999999999999</v>
      </c>
      <c r="V34" s="612">
        <v>0</v>
      </c>
      <c r="W34" s="612"/>
      <c r="X34" s="460"/>
      <c r="Y34" s="458"/>
      <c r="Z34" s="462"/>
      <c r="AA34" s="465">
        <v>9.6605545809524642</v>
      </c>
      <c r="AB34" s="463">
        <f t="shared" si="21"/>
        <v>127.91319688416</v>
      </c>
      <c r="AC34" s="464"/>
      <c r="AD34" s="462"/>
      <c r="AE34" s="462">
        <v>127.91319688416</v>
      </c>
      <c r="AF34" s="462"/>
      <c r="AG34" s="516"/>
      <c r="AH34" s="516"/>
      <c r="AI34" s="516"/>
      <c r="AJ34" s="516"/>
      <c r="AK34" s="460"/>
      <c r="AL34" s="458"/>
      <c r="AM34" s="462"/>
      <c r="AN34" s="465"/>
      <c r="AO34" s="465">
        <v>24.722008913423029</v>
      </c>
      <c r="AP34" s="463"/>
      <c r="AQ34" s="466">
        <f t="shared" si="13"/>
        <v>165.50894992914479</v>
      </c>
    </row>
    <row r="35" spans="1:45" ht="12.75" customHeight="1">
      <c r="A35" s="610" t="s">
        <v>241</v>
      </c>
      <c r="B35" s="614" t="s">
        <v>242</v>
      </c>
      <c r="C35" s="455">
        <f t="shared" si="18"/>
        <v>0</v>
      </c>
      <c r="D35" s="464">
        <v>0</v>
      </c>
      <c r="E35" s="612"/>
      <c r="F35" s="612"/>
      <c r="G35" s="613"/>
      <c r="H35" s="459">
        <f t="shared" si="19"/>
        <v>0</v>
      </c>
      <c r="I35" s="460"/>
      <c r="J35" s="461"/>
      <c r="K35" s="462"/>
      <c r="L35" s="459">
        <f t="shared" si="20"/>
        <v>1.6055046049530732</v>
      </c>
      <c r="M35" s="462"/>
      <c r="N35" s="462"/>
      <c r="O35" s="462"/>
      <c r="P35" s="607"/>
      <c r="Q35" s="612">
        <v>9.6000000000000002E-2</v>
      </c>
      <c r="R35" s="612"/>
      <c r="S35" s="612">
        <v>0</v>
      </c>
      <c r="T35" s="612">
        <v>0.62950460495307337</v>
      </c>
      <c r="U35" s="612">
        <v>0.88</v>
      </c>
      <c r="V35" s="612">
        <v>0</v>
      </c>
      <c r="W35" s="612"/>
      <c r="X35" s="460"/>
      <c r="Y35" s="458"/>
      <c r="Z35" s="462"/>
      <c r="AA35" s="465">
        <v>14.125994102315383</v>
      </c>
      <c r="AB35" s="463">
        <f t="shared" si="21"/>
        <v>0</v>
      </c>
      <c r="AC35" s="464"/>
      <c r="AD35" s="462"/>
      <c r="AE35" s="462"/>
      <c r="AF35" s="462"/>
      <c r="AG35" s="516"/>
      <c r="AH35" s="516"/>
      <c r="AI35" s="516"/>
      <c r="AJ35" s="516"/>
      <c r="AK35" s="460"/>
      <c r="AL35" s="458"/>
      <c r="AM35" s="462"/>
      <c r="AN35" s="465"/>
      <c r="AO35" s="465">
        <v>10.336268211589791</v>
      </c>
      <c r="AP35" s="463"/>
      <c r="AQ35" s="466">
        <f t="shared" si="13"/>
        <v>26.067766918858247</v>
      </c>
    </row>
    <row r="36" spans="1:45" ht="12.75" customHeight="1">
      <c r="A36" s="610" t="s">
        <v>243</v>
      </c>
      <c r="B36" s="614" t="s">
        <v>244</v>
      </c>
      <c r="C36" s="455">
        <f t="shared" si="18"/>
        <v>0</v>
      </c>
      <c r="D36" s="609">
        <v>0</v>
      </c>
      <c r="E36" s="612"/>
      <c r="F36" s="612"/>
      <c r="G36" s="613"/>
      <c r="H36" s="459">
        <f t="shared" si="19"/>
        <v>0</v>
      </c>
      <c r="I36" s="460"/>
      <c r="J36" s="461"/>
      <c r="K36" s="462"/>
      <c r="L36" s="459">
        <f t="shared" si="20"/>
        <v>21.418897222529047</v>
      </c>
      <c r="M36" s="462"/>
      <c r="N36" s="462"/>
      <c r="O36" s="462"/>
      <c r="P36" s="607"/>
      <c r="Q36" s="602">
        <v>0.30599999999999994</v>
      </c>
      <c r="R36" s="612"/>
      <c r="S36" s="602">
        <v>2.7458233928999998</v>
      </c>
      <c r="T36" s="602">
        <v>3.9702841224354111</v>
      </c>
      <c r="U36" s="602">
        <v>4.5789999999999997</v>
      </c>
      <c r="V36" s="602">
        <v>9.8177897071936346</v>
      </c>
      <c r="W36" s="612"/>
      <c r="X36" s="460"/>
      <c r="Y36" s="458"/>
      <c r="Z36" s="462"/>
      <c r="AA36" s="615">
        <v>129.58450822372785</v>
      </c>
      <c r="AB36" s="463">
        <f t="shared" si="21"/>
        <v>0</v>
      </c>
      <c r="AC36" s="464"/>
      <c r="AD36" s="462"/>
      <c r="AE36" s="462">
        <v>0</v>
      </c>
      <c r="AF36" s="462"/>
      <c r="AG36" s="516"/>
      <c r="AH36" s="516"/>
      <c r="AI36" s="516"/>
      <c r="AJ36" s="516"/>
      <c r="AK36" s="605"/>
      <c r="AL36" s="607"/>
      <c r="AM36" s="462"/>
      <c r="AN36" s="615"/>
      <c r="AO36" s="615">
        <v>76.140196178045755</v>
      </c>
      <c r="AP36" s="463"/>
      <c r="AQ36" s="466">
        <f t="shared" si="13"/>
        <v>227.14360162430265</v>
      </c>
    </row>
    <row r="37" spans="1:45" ht="12.75" customHeight="1">
      <c r="A37" s="610" t="s">
        <v>245</v>
      </c>
      <c r="B37" s="614" t="s">
        <v>246</v>
      </c>
      <c r="C37" s="455">
        <f t="shared" si="18"/>
        <v>0</v>
      </c>
      <c r="D37" s="464">
        <v>0</v>
      </c>
      <c r="E37" s="612"/>
      <c r="F37" s="612"/>
      <c r="G37" s="613"/>
      <c r="H37" s="459">
        <f t="shared" si="19"/>
        <v>0</v>
      </c>
      <c r="I37" s="460"/>
      <c r="J37" s="461"/>
      <c r="K37" s="462"/>
      <c r="L37" s="459">
        <f t="shared" si="20"/>
        <v>4.1927665829180274</v>
      </c>
      <c r="M37" s="462"/>
      <c r="N37" s="462"/>
      <c r="O37" s="462"/>
      <c r="P37" s="607"/>
      <c r="Q37" s="612">
        <v>0.53500000000000003</v>
      </c>
      <c r="R37" s="612"/>
      <c r="S37" s="612">
        <v>0</v>
      </c>
      <c r="T37" s="612">
        <v>2.1897665829180273</v>
      </c>
      <c r="U37" s="612">
        <v>1.468</v>
      </c>
      <c r="V37" s="612">
        <v>0</v>
      </c>
      <c r="W37" s="612"/>
      <c r="X37" s="460"/>
      <c r="Y37" s="458"/>
      <c r="Z37" s="462"/>
      <c r="AA37" s="465">
        <v>17.456036015436883</v>
      </c>
      <c r="AB37" s="463">
        <f t="shared" si="21"/>
        <v>0</v>
      </c>
      <c r="AC37" s="464"/>
      <c r="AD37" s="462"/>
      <c r="AE37" s="462"/>
      <c r="AF37" s="462"/>
      <c r="AG37" s="516"/>
      <c r="AH37" s="516"/>
      <c r="AI37" s="516"/>
      <c r="AJ37" s="516"/>
      <c r="AK37" s="460"/>
      <c r="AL37" s="458"/>
      <c r="AM37" s="462"/>
      <c r="AN37" s="465"/>
      <c r="AO37" s="465">
        <v>25.06049692993675</v>
      </c>
      <c r="AP37" s="463"/>
      <c r="AQ37" s="466">
        <f t="shared" si="13"/>
        <v>46.709299528291666</v>
      </c>
    </row>
    <row r="38" spans="1:45" ht="12.75" customHeight="1">
      <c r="A38" s="610" t="s">
        <v>247</v>
      </c>
      <c r="B38" s="614" t="s">
        <v>248</v>
      </c>
      <c r="C38" s="455">
        <f t="shared" si="18"/>
        <v>86.919212076000022</v>
      </c>
      <c r="D38" s="464">
        <v>86.919212076000022</v>
      </c>
      <c r="E38" s="612"/>
      <c r="F38" s="612"/>
      <c r="G38" s="613"/>
      <c r="H38" s="459">
        <f t="shared" si="19"/>
        <v>0</v>
      </c>
      <c r="I38" s="460"/>
      <c r="J38" s="461"/>
      <c r="K38" s="462"/>
      <c r="L38" s="459">
        <f t="shared" si="20"/>
        <v>160.32357118657256</v>
      </c>
      <c r="M38" s="462"/>
      <c r="N38" s="462"/>
      <c r="O38" s="462"/>
      <c r="P38" s="607"/>
      <c r="Q38" s="612">
        <v>1.1439999999999999</v>
      </c>
      <c r="R38" s="612"/>
      <c r="S38" s="612">
        <v>0</v>
      </c>
      <c r="T38" s="612">
        <v>2.6359617205145627</v>
      </c>
      <c r="U38" s="612">
        <v>25.253</v>
      </c>
      <c r="V38" s="612">
        <v>131.29060946605799</v>
      </c>
      <c r="W38" s="612"/>
      <c r="X38" s="460"/>
      <c r="Y38" s="458"/>
      <c r="Z38" s="462"/>
      <c r="AA38" s="465">
        <v>46.760404850906049</v>
      </c>
      <c r="AB38" s="463">
        <f t="shared" si="21"/>
        <v>42.918678312955997</v>
      </c>
      <c r="AC38" s="464"/>
      <c r="AD38" s="462"/>
      <c r="AE38" s="462">
        <v>2.2257740888237998</v>
      </c>
      <c r="AF38" s="462">
        <v>40.692904224132199</v>
      </c>
      <c r="AG38" s="516"/>
      <c r="AH38" s="516"/>
      <c r="AI38" s="516"/>
      <c r="AJ38" s="516"/>
      <c r="AK38" s="460"/>
      <c r="AL38" s="458"/>
      <c r="AM38" s="462"/>
      <c r="AN38" s="465">
        <v>54.722939604974094</v>
      </c>
      <c r="AO38" s="465">
        <v>73.686158058321269</v>
      </c>
      <c r="AP38" s="463"/>
      <c r="AQ38" s="466">
        <f t="shared" si="13"/>
        <v>465.33096408973</v>
      </c>
    </row>
    <row r="39" spans="1:45" ht="12.75" customHeight="1">
      <c r="A39" s="610" t="s">
        <v>249</v>
      </c>
      <c r="B39" s="614" t="s">
        <v>250</v>
      </c>
      <c r="C39" s="455">
        <f t="shared" si="18"/>
        <v>0</v>
      </c>
      <c r="D39" s="464">
        <v>0</v>
      </c>
      <c r="E39" s="612"/>
      <c r="F39" s="612"/>
      <c r="G39" s="613"/>
      <c r="H39" s="459">
        <f t="shared" si="19"/>
        <v>0</v>
      </c>
      <c r="I39" s="460"/>
      <c r="J39" s="461"/>
      <c r="K39" s="462"/>
      <c r="L39" s="459">
        <f t="shared" si="20"/>
        <v>5.6776554397216028</v>
      </c>
      <c r="M39" s="462"/>
      <c r="N39" s="462"/>
      <c r="O39" s="462"/>
      <c r="P39" s="607"/>
      <c r="Q39" s="612">
        <v>0.33800000000000002</v>
      </c>
      <c r="R39" s="612"/>
      <c r="S39" s="612">
        <v>1.0397614907400001</v>
      </c>
      <c r="T39" s="612">
        <v>1.5488939489816029</v>
      </c>
      <c r="U39" s="612">
        <v>2.7509999999999999</v>
      </c>
      <c r="V39" s="612">
        <v>0</v>
      </c>
      <c r="W39" s="612"/>
      <c r="X39" s="460"/>
      <c r="Y39" s="458"/>
      <c r="Z39" s="462"/>
      <c r="AA39" s="465">
        <v>411.95146425902993</v>
      </c>
      <c r="AB39" s="463">
        <f t="shared" si="21"/>
        <v>0</v>
      </c>
      <c r="AC39" s="464"/>
      <c r="AD39" s="462"/>
      <c r="AE39" s="462"/>
      <c r="AF39" s="462"/>
      <c r="AG39" s="516"/>
      <c r="AH39" s="516"/>
      <c r="AI39" s="516"/>
      <c r="AJ39" s="516"/>
      <c r="AK39" s="460"/>
      <c r="AL39" s="458"/>
      <c r="AM39" s="462"/>
      <c r="AN39" s="465"/>
      <c r="AO39" s="465">
        <v>67.595437712394457</v>
      </c>
      <c r="AP39" s="463"/>
      <c r="AQ39" s="466">
        <f t="shared" si="13"/>
        <v>485.22455741114601</v>
      </c>
    </row>
    <row r="40" spans="1:45" ht="12.75" customHeight="1">
      <c r="A40" s="610" t="s">
        <v>251</v>
      </c>
      <c r="B40" s="614" t="s">
        <v>252</v>
      </c>
      <c r="C40" s="455">
        <f t="shared" si="18"/>
        <v>0</v>
      </c>
      <c r="D40" s="464">
        <v>0</v>
      </c>
      <c r="E40" s="612"/>
      <c r="F40" s="612"/>
      <c r="G40" s="613"/>
      <c r="H40" s="459">
        <f t="shared" si="19"/>
        <v>0</v>
      </c>
      <c r="I40" s="460"/>
      <c r="J40" s="461"/>
      <c r="K40" s="462"/>
      <c r="L40" s="459">
        <f t="shared" si="20"/>
        <v>4.0583976227701353</v>
      </c>
      <c r="M40" s="462"/>
      <c r="N40" s="462"/>
      <c r="O40" s="462"/>
      <c r="P40" s="607"/>
      <c r="Q40" s="612">
        <v>0.14399999999999999</v>
      </c>
      <c r="R40" s="612"/>
      <c r="S40" s="612">
        <v>0</v>
      </c>
      <c r="T40" s="612">
        <v>2.2053976227701355</v>
      </c>
      <c r="U40" s="612">
        <v>1.7090000000000001</v>
      </c>
      <c r="V40" s="612">
        <v>0</v>
      </c>
      <c r="W40" s="612"/>
      <c r="X40" s="460"/>
      <c r="Y40" s="458"/>
      <c r="Z40" s="462"/>
      <c r="AA40" s="465">
        <v>14.088542834314019</v>
      </c>
      <c r="AB40" s="463">
        <f t="shared" si="21"/>
        <v>0</v>
      </c>
      <c r="AC40" s="464"/>
      <c r="AD40" s="462"/>
      <c r="AE40" s="462"/>
      <c r="AF40" s="462"/>
      <c r="AG40" s="516"/>
      <c r="AH40" s="516"/>
      <c r="AI40" s="516"/>
      <c r="AJ40" s="516"/>
      <c r="AK40" s="460"/>
      <c r="AL40" s="458"/>
      <c r="AM40" s="462"/>
      <c r="AN40" s="465"/>
      <c r="AO40" s="465">
        <v>17.033790245657055</v>
      </c>
      <c r="AP40" s="463"/>
      <c r="AQ40" s="466">
        <f t="shared" si="13"/>
        <v>35.180730702741215</v>
      </c>
    </row>
    <row r="41" spans="1:45" ht="12.75" customHeight="1">
      <c r="A41" s="610" t="s">
        <v>253</v>
      </c>
      <c r="B41" s="614" t="s">
        <v>254</v>
      </c>
      <c r="C41" s="455">
        <f t="shared" si="18"/>
        <v>0</v>
      </c>
      <c r="D41" s="609">
        <v>0</v>
      </c>
      <c r="E41" s="612"/>
      <c r="F41" s="612"/>
      <c r="G41" s="613"/>
      <c r="H41" s="459">
        <f t="shared" si="19"/>
        <v>0</v>
      </c>
      <c r="I41" s="460"/>
      <c r="J41" s="461"/>
      <c r="K41" s="462"/>
      <c r="L41" s="459">
        <f t="shared" si="20"/>
        <v>2.3538976736397665</v>
      </c>
      <c r="M41" s="462"/>
      <c r="N41" s="462"/>
      <c r="O41" s="462"/>
      <c r="P41" s="607"/>
      <c r="Q41" s="602">
        <v>0.184</v>
      </c>
      <c r="R41" s="612"/>
      <c r="S41" s="602">
        <v>0</v>
      </c>
      <c r="T41" s="602">
        <v>1.4408976736397665</v>
      </c>
      <c r="U41" s="602">
        <v>0.72899999999999998</v>
      </c>
      <c r="V41" s="602">
        <v>0</v>
      </c>
      <c r="W41" s="612"/>
      <c r="X41" s="460"/>
      <c r="Y41" s="458"/>
      <c r="Z41" s="462"/>
      <c r="AA41" s="615">
        <v>20.514556235548469</v>
      </c>
      <c r="AB41" s="463">
        <f t="shared" si="21"/>
        <v>0</v>
      </c>
      <c r="AC41" s="464"/>
      <c r="AD41" s="462"/>
      <c r="AE41" s="462"/>
      <c r="AF41" s="462"/>
      <c r="AG41" s="516"/>
      <c r="AH41" s="516"/>
      <c r="AI41" s="516"/>
      <c r="AJ41" s="516"/>
      <c r="AK41" s="605"/>
      <c r="AL41" s="607"/>
      <c r="AM41" s="462"/>
      <c r="AN41" s="615"/>
      <c r="AO41" s="615">
        <v>88.215343376908805</v>
      </c>
      <c r="AP41" s="463"/>
      <c r="AQ41" s="466">
        <f t="shared" si="13"/>
        <v>111.08379728609704</v>
      </c>
    </row>
    <row r="42" spans="1:45" ht="12.75" customHeight="1">
      <c r="A42" s="610" t="s">
        <v>255</v>
      </c>
      <c r="B42" s="614" t="s">
        <v>256</v>
      </c>
      <c r="C42" s="455">
        <f t="shared" si="18"/>
        <v>0</v>
      </c>
      <c r="D42" s="464">
        <v>0</v>
      </c>
      <c r="E42" s="612"/>
      <c r="F42" s="612"/>
      <c r="G42" s="613"/>
      <c r="H42" s="459">
        <f t="shared" si="19"/>
        <v>0</v>
      </c>
      <c r="I42" s="460"/>
      <c r="J42" s="461"/>
      <c r="K42" s="462"/>
      <c r="L42" s="459">
        <f t="shared" si="20"/>
        <v>1.2106523548972861</v>
      </c>
      <c r="M42" s="462"/>
      <c r="N42" s="462"/>
      <c r="O42" s="462"/>
      <c r="P42" s="607"/>
      <c r="Q42" s="612">
        <v>6.6000000000000003E-2</v>
      </c>
      <c r="R42" s="612"/>
      <c r="S42" s="612">
        <v>0</v>
      </c>
      <c r="T42" s="612">
        <v>0.92365235489728603</v>
      </c>
      <c r="U42" s="612">
        <v>0.221</v>
      </c>
      <c r="V42" s="612">
        <v>0</v>
      </c>
      <c r="W42" s="612"/>
      <c r="X42" s="460"/>
      <c r="Y42" s="458"/>
      <c r="Z42" s="462"/>
      <c r="AA42" s="465">
        <v>0.86574847863158677</v>
      </c>
      <c r="AB42" s="463">
        <f t="shared" si="21"/>
        <v>0</v>
      </c>
      <c r="AC42" s="464"/>
      <c r="AD42" s="462"/>
      <c r="AE42" s="462"/>
      <c r="AF42" s="462"/>
      <c r="AG42" s="516"/>
      <c r="AH42" s="516"/>
      <c r="AI42" s="516"/>
      <c r="AJ42" s="516"/>
      <c r="AK42" s="566"/>
      <c r="AL42" s="562"/>
      <c r="AM42" s="462"/>
      <c r="AN42" s="567"/>
      <c r="AO42" s="465">
        <v>2.5758112476166248</v>
      </c>
      <c r="AP42" s="463"/>
      <c r="AQ42" s="466">
        <f t="shared" si="13"/>
        <v>4.6522120811454979</v>
      </c>
    </row>
    <row r="43" spans="1:45" ht="12.75" customHeight="1">
      <c r="A43" s="610" t="s">
        <v>257</v>
      </c>
      <c r="B43" s="614" t="s">
        <v>258</v>
      </c>
      <c r="C43" s="455">
        <f t="shared" si="18"/>
        <v>0</v>
      </c>
      <c r="D43" s="464">
        <v>0</v>
      </c>
      <c r="E43" s="612"/>
      <c r="F43" s="612"/>
      <c r="G43" s="613"/>
      <c r="H43" s="459">
        <f t="shared" si="19"/>
        <v>0</v>
      </c>
      <c r="I43" s="460"/>
      <c r="J43" s="461"/>
      <c r="K43" s="462">
        <v>0</v>
      </c>
      <c r="L43" s="459">
        <f t="shared" si="20"/>
        <v>12.040386855324506</v>
      </c>
      <c r="M43" s="462"/>
      <c r="N43" s="462"/>
      <c r="O43" s="462"/>
      <c r="P43" s="458"/>
      <c r="Q43" s="612">
        <v>0.29299999999999998</v>
      </c>
      <c r="R43" s="612"/>
      <c r="S43" s="612">
        <v>3.6425061461249997</v>
      </c>
      <c r="T43" s="612">
        <v>4.9848807091995067</v>
      </c>
      <c r="U43" s="612">
        <v>3.12</v>
      </c>
      <c r="V43" s="612">
        <v>0</v>
      </c>
      <c r="W43" s="612"/>
      <c r="X43" s="460"/>
      <c r="Y43" s="458"/>
      <c r="Z43" s="462"/>
      <c r="AA43" s="465">
        <v>49.987455777023783</v>
      </c>
      <c r="AB43" s="463">
        <f t="shared" si="21"/>
        <v>0</v>
      </c>
      <c r="AC43" s="464"/>
      <c r="AD43" s="462"/>
      <c r="AE43" s="462"/>
      <c r="AF43" s="462"/>
      <c r="AG43" s="462"/>
      <c r="AH43" s="462"/>
      <c r="AI43" s="462"/>
      <c r="AJ43" s="462"/>
      <c r="AK43" s="460"/>
      <c r="AL43" s="458"/>
      <c r="AM43" s="462"/>
      <c r="AN43" s="465"/>
      <c r="AO43" s="465">
        <v>50.192200180420599</v>
      </c>
      <c r="AP43" s="463"/>
      <c r="AQ43" s="466">
        <f t="shared" si="13"/>
        <v>112.2200428127689</v>
      </c>
    </row>
    <row r="44" spans="1:45" ht="12.75" customHeight="1">
      <c r="A44" s="616" t="s">
        <v>1067</v>
      </c>
      <c r="B44" s="617" t="s">
        <v>1068</v>
      </c>
      <c r="C44" s="519">
        <f>SUM(D44:G44)</f>
        <v>0</v>
      </c>
      <c r="D44" s="526">
        <v>0</v>
      </c>
      <c r="E44" s="618"/>
      <c r="F44" s="618"/>
      <c r="G44" s="619"/>
      <c r="H44" s="523">
        <f>SUM(I44:K44)</f>
        <v>0</v>
      </c>
      <c r="I44" s="520"/>
      <c r="J44" s="521"/>
      <c r="K44" s="521"/>
      <c r="L44" s="523">
        <f>SUM(M44:Z44)</f>
        <v>32.705149888372631</v>
      </c>
      <c r="M44" s="521"/>
      <c r="N44" s="521"/>
      <c r="O44" s="521"/>
      <c r="P44" s="522"/>
      <c r="Q44" s="618">
        <v>0.70131177564926306</v>
      </c>
      <c r="R44" s="618"/>
      <c r="S44" s="618">
        <v>0</v>
      </c>
      <c r="T44" s="618">
        <v>0.47390520196714231</v>
      </c>
      <c r="U44" s="618">
        <v>31.529932910756227</v>
      </c>
      <c r="V44" s="618">
        <v>0</v>
      </c>
      <c r="W44" s="618"/>
      <c r="X44" s="520"/>
      <c r="Y44" s="522"/>
      <c r="Z44" s="521"/>
      <c r="AA44" s="527">
        <v>4.0968183012521333</v>
      </c>
      <c r="AB44" s="525">
        <f>SUM(AC44:AM44)</f>
        <v>0</v>
      </c>
      <c r="AC44" s="526"/>
      <c r="AD44" s="521"/>
      <c r="AE44" s="521"/>
      <c r="AF44" s="521"/>
      <c r="AG44" s="521"/>
      <c r="AH44" s="521"/>
      <c r="AI44" s="521"/>
      <c r="AJ44" s="521"/>
      <c r="AK44" s="520"/>
      <c r="AL44" s="522"/>
      <c r="AM44" s="521"/>
      <c r="AN44" s="527"/>
      <c r="AO44" s="527">
        <v>9.9430290573801638</v>
      </c>
      <c r="AP44" s="525"/>
      <c r="AQ44" s="528">
        <f>C44+H44+L44+AA44+AB44+AN44+AO44+AP44</f>
        <v>46.744997247004932</v>
      </c>
    </row>
    <row r="45" spans="1:45" s="42" customFormat="1" ht="12.75" customHeight="1">
      <c r="A45" s="529" t="s">
        <v>259</v>
      </c>
      <c r="B45" s="530"/>
      <c r="C45" s="620">
        <f t="shared" ref="C45:AP45" si="22">SUM(C46:C55)</f>
        <v>0</v>
      </c>
      <c r="D45" s="621">
        <f t="shared" si="22"/>
        <v>0</v>
      </c>
      <c r="E45" s="621">
        <f t="shared" si="22"/>
        <v>0</v>
      </c>
      <c r="F45" s="622">
        <f t="shared" si="22"/>
        <v>0</v>
      </c>
      <c r="G45" s="622">
        <f t="shared" si="22"/>
        <v>0</v>
      </c>
      <c r="H45" s="623">
        <f t="shared" si="22"/>
        <v>0</v>
      </c>
      <c r="I45" s="624">
        <f t="shared" si="22"/>
        <v>0</v>
      </c>
      <c r="J45" s="625">
        <f t="shared" si="22"/>
        <v>0</v>
      </c>
      <c r="K45" s="621">
        <f t="shared" si="22"/>
        <v>0</v>
      </c>
      <c r="L45" s="623">
        <f t="shared" si="22"/>
        <v>5012.6665578559823</v>
      </c>
      <c r="M45" s="621">
        <f t="shared" si="22"/>
        <v>0</v>
      </c>
      <c r="N45" s="621">
        <f t="shared" ref="N45" si="23">SUM(N46:N55)</f>
        <v>0</v>
      </c>
      <c r="O45" s="621">
        <f t="shared" si="22"/>
        <v>0</v>
      </c>
      <c r="P45" s="621">
        <f t="shared" si="22"/>
        <v>824.24502392197087</v>
      </c>
      <c r="Q45" s="621">
        <f t="shared" si="22"/>
        <v>0</v>
      </c>
      <c r="R45" s="621">
        <f t="shared" si="22"/>
        <v>1102.8442060797599</v>
      </c>
      <c r="S45" s="621">
        <f t="shared" si="22"/>
        <v>0</v>
      </c>
      <c r="T45" s="621">
        <f t="shared" si="22"/>
        <v>1.8520724281984335</v>
      </c>
      <c r="U45" s="621">
        <f>SUM(U46:U55)</f>
        <v>3083.7252554260544</v>
      </c>
      <c r="V45" s="621">
        <f t="shared" si="22"/>
        <v>0</v>
      </c>
      <c r="W45" s="622">
        <f t="shared" si="22"/>
        <v>0</v>
      </c>
      <c r="X45" s="622">
        <f t="shared" si="22"/>
        <v>0</v>
      </c>
      <c r="Y45" s="622">
        <f t="shared" si="22"/>
        <v>0</v>
      </c>
      <c r="Z45" s="621">
        <f t="shared" si="22"/>
        <v>0</v>
      </c>
      <c r="AA45" s="623">
        <f t="shared" si="22"/>
        <v>22.560835415583806</v>
      </c>
      <c r="AB45" s="626">
        <f t="shared" si="22"/>
        <v>154.23960204369604</v>
      </c>
      <c r="AC45" s="627">
        <f t="shared" si="22"/>
        <v>0</v>
      </c>
      <c r="AD45" s="621">
        <f t="shared" si="22"/>
        <v>0</v>
      </c>
      <c r="AE45" s="621">
        <f t="shared" si="22"/>
        <v>0</v>
      </c>
      <c r="AF45" s="621">
        <f t="shared" ref="AF45" si="24">SUM(AF46:AF55)</f>
        <v>0</v>
      </c>
      <c r="AG45" s="621">
        <f t="shared" si="22"/>
        <v>0</v>
      </c>
      <c r="AH45" s="621">
        <f t="shared" si="22"/>
        <v>0</v>
      </c>
      <c r="AI45" s="621">
        <f t="shared" si="22"/>
        <v>126.96834918892804</v>
      </c>
      <c r="AJ45" s="621">
        <f t="shared" ref="AJ45" si="25">SUM(AJ46:AJ55)</f>
        <v>27.271252854767994</v>
      </c>
      <c r="AK45" s="624">
        <f t="shared" si="22"/>
        <v>0</v>
      </c>
      <c r="AL45" s="622">
        <f t="shared" ref="AL45" si="26">SUM(AL46:AL55)</f>
        <v>0</v>
      </c>
      <c r="AM45" s="621">
        <f t="shared" si="22"/>
        <v>0</v>
      </c>
      <c r="AN45" s="623">
        <f t="shared" si="22"/>
        <v>0</v>
      </c>
      <c r="AO45" s="623">
        <f t="shared" si="22"/>
        <v>5.3733816232262495</v>
      </c>
      <c r="AP45" s="626">
        <f t="shared" si="22"/>
        <v>0</v>
      </c>
      <c r="AQ45" s="628">
        <f t="shared" si="13"/>
        <v>5194.8403769384886</v>
      </c>
      <c r="AR45" s="38"/>
      <c r="AS45" s="41"/>
    </row>
    <row r="46" spans="1:45" ht="12.75" customHeight="1">
      <c r="A46" s="629" t="s">
        <v>260</v>
      </c>
      <c r="B46" s="505"/>
      <c r="C46" s="506">
        <f t="shared" ref="C46:C64" si="27">SUM(D46:G46)</f>
        <v>0</v>
      </c>
      <c r="D46" s="630"/>
      <c r="E46" s="557"/>
      <c r="F46" s="509"/>
      <c r="G46" s="509"/>
      <c r="H46" s="510">
        <f t="shared" ref="H46:H64" si="28">SUM(I46:K46)</f>
        <v>0</v>
      </c>
      <c r="I46" s="507"/>
      <c r="J46" s="511"/>
      <c r="K46" s="508"/>
      <c r="L46" s="510">
        <f t="shared" ref="L46:L64" si="29">SUM(M46:Z46)</f>
        <v>703.5908900281911</v>
      </c>
      <c r="M46" s="508"/>
      <c r="N46" s="508"/>
      <c r="O46" s="508"/>
      <c r="P46" s="508"/>
      <c r="Q46" s="508"/>
      <c r="R46" s="508"/>
      <c r="S46" s="508"/>
      <c r="T46" s="508"/>
      <c r="U46" s="508">
        <v>703.5908900281911</v>
      </c>
      <c r="V46" s="508"/>
      <c r="W46" s="509"/>
      <c r="X46" s="509"/>
      <c r="Y46" s="509"/>
      <c r="Z46" s="508"/>
      <c r="AA46" s="514">
        <v>2.9723185667999998E-2</v>
      </c>
      <c r="AB46" s="512">
        <f t="shared" ref="AB46:AB64" si="30">SUM(AC46:AM46)</f>
        <v>30.162309971808927</v>
      </c>
      <c r="AC46" s="513"/>
      <c r="AD46" s="508"/>
      <c r="AE46" s="508"/>
      <c r="AF46" s="508"/>
      <c r="AG46" s="508"/>
      <c r="AH46" s="508"/>
      <c r="AI46" s="508">
        <v>30.162309971808927</v>
      </c>
      <c r="AJ46" s="508">
        <v>0</v>
      </c>
      <c r="AK46" s="507"/>
      <c r="AL46" s="509"/>
      <c r="AM46" s="508"/>
      <c r="AN46" s="510"/>
      <c r="AO46" s="514"/>
      <c r="AP46" s="512"/>
      <c r="AQ46" s="541">
        <f t="shared" si="13"/>
        <v>733.78292318566798</v>
      </c>
    </row>
    <row r="47" spans="1:45" ht="12.75" customHeight="1">
      <c r="A47" s="599" t="s">
        <v>261</v>
      </c>
      <c r="B47" s="631"/>
      <c r="C47" s="455">
        <f t="shared" si="27"/>
        <v>0</v>
      </c>
      <c r="D47" s="632"/>
      <c r="E47" s="633"/>
      <c r="F47" s="607"/>
      <c r="G47" s="607"/>
      <c r="H47" s="459">
        <f t="shared" si="28"/>
        <v>0</v>
      </c>
      <c r="I47" s="605"/>
      <c r="J47" s="606"/>
      <c r="K47" s="516"/>
      <c r="L47" s="604">
        <f t="shared" si="29"/>
        <v>329.18377939153407</v>
      </c>
      <c r="M47" s="516"/>
      <c r="N47" s="516"/>
      <c r="O47" s="516"/>
      <c r="P47" s="516"/>
      <c r="Q47" s="516"/>
      <c r="R47" s="516"/>
      <c r="S47" s="516"/>
      <c r="T47" s="516"/>
      <c r="U47" s="516">
        <v>329.18377939153407</v>
      </c>
      <c r="V47" s="516"/>
      <c r="W47" s="607"/>
      <c r="X47" s="607"/>
      <c r="Y47" s="607"/>
      <c r="Z47" s="516"/>
      <c r="AA47" s="615"/>
      <c r="AB47" s="608">
        <f t="shared" si="30"/>
        <v>14.111813174984674</v>
      </c>
      <c r="AC47" s="609"/>
      <c r="AD47" s="516"/>
      <c r="AE47" s="516"/>
      <c r="AF47" s="516"/>
      <c r="AG47" s="516"/>
      <c r="AH47" s="516"/>
      <c r="AI47" s="516">
        <v>14.111813174984674</v>
      </c>
      <c r="AJ47" s="516">
        <v>0</v>
      </c>
      <c r="AK47" s="605"/>
      <c r="AL47" s="607"/>
      <c r="AM47" s="516"/>
      <c r="AN47" s="604"/>
      <c r="AO47" s="615"/>
      <c r="AP47" s="608"/>
      <c r="AQ47" s="515">
        <f t="shared" si="13"/>
        <v>343.29559256651874</v>
      </c>
    </row>
    <row r="48" spans="1:45" ht="12.75" customHeight="1">
      <c r="A48" s="610" t="s">
        <v>262</v>
      </c>
      <c r="B48" s="454"/>
      <c r="C48" s="455">
        <f t="shared" si="27"/>
        <v>0</v>
      </c>
      <c r="D48" s="456"/>
      <c r="E48" s="467"/>
      <c r="F48" s="458"/>
      <c r="G48" s="458"/>
      <c r="H48" s="459">
        <f t="shared" si="28"/>
        <v>0</v>
      </c>
      <c r="I48" s="460"/>
      <c r="J48" s="461"/>
      <c r="K48" s="462"/>
      <c r="L48" s="459">
        <f t="shared" si="29"/>
        <v>1988.8117004276846</v>
      </c>
      <c r="M48" s="462"/>
      <c r="N48" s="462"/>
      <c r="O48" s="462"/>
      <c r="P48" s="462">
        <v>674.58043053629058</v>
      </c>
      <c r="Q48" s="462"/>
      <c r="R48" s="462"/>
      <c r="S48" s="462"/>
      <c r="T48" s="462">
        <v>1.8520724281984335</v>
      </c>
      <c r="U48" s="462">
        <v>1312.3791974631956</v>
      </c>
      <c r="V48" s="462"/>
      <c r="W48" s="458"/>
      <c r="X48" s="458"/>
      <c r="Y48" s="458"/>
      <c r="Z48" s="462"/>
      <c r="AA48" s="465"/>
      <c r="AB48" s="463">
        <f t="shared" si="30"/>
        <v>78.598025526444061</v>
      </c>
      <c r="AC48" s="464"/>
      <c r="AD48" s="462"/>
      <c r="AE48" s="462"/>
      <c r="AF48" s="462"/>
      <c r="AG48" s="462"/>
      <c r="AH48" s="462"/>
      <c r="AI48" s="462">
        <v>56.260518314631256</v>
      </c>
      <c r="AJ48" s="462">
        <v>22.33750721181281</v>
      </c>
      <c r="AK48" s="460"/>
      <c r="AL48" s="458"/>
      <c r="AM48" s="462"/>
      <c r="AN48" s="459"/>
      <c r="AO48" s="465">
        <v>1.0652907432262495</v>
      </c>
      <c r="AP48" s="463"/>
      <c r="AQ48" s="466">
        <f t="shared" si="13"/>
        <v>2068.4750166973549</v>
      </c>
    </row>
    <row r="49" spans="1:45" ht="12.75" customHeight="1">
      <c r="A49" s="610" t="s">
        <v>263</v>
      </c>
      <c r="B49" s="454"/>
      <c r="C49" s="455">
        <f t="shared" si="27"/>
        <v>0</v>
      </c>
      <c r="D49" s="456"/>
      <c r="E49" s="467"/>
      <c r="F49" s="458"/>
      <c r="G49" s="458"/>
      <c r="H49" s="459">
        <f t="shared" si="28"/>
        <v>0</v>
      </c>
      <c r="I49" s="460"/>
      <c r="J49" s="461"/>
      <c r="K49" s="462"/>
      <c r="L49" s="459">
        <f t="shared" si="29"/>
        <v>132.19128758585111</v>
      </c>
      <c r="M49" s="462"/>
      <c r="N49" s="462"/>
      <c r="O49" s="462"/>
      <c r="P49" s="462">
        <v>6.5053363986760129</v>
      </c>
      <c r="Q49" s="462"/>
      <c r="R49" s="462"/>
      <c r="S49" s="462"/>
      <c r="T49" s="462"/>
      <c r="U49" s="462">
        <v>125.68595118717511</v>
      </c>
      <c r="V49" s="462"/>
      <c r="W49" s="458"/>
      <c r="X49" s="458"/>
      <c r="Y49" s="458"/>
      <c r="Z49" s="462"/>
      <c r="AA49" s="465"/>
      <c r="AB49" s="463">
        <f t="shared" si="30"/>
        <v>5.6034563359273175</v>
      </c>
      <c r="AC49" s="464"/>
      <c r="AD49" s="462"/>
      <c r="AE49" s="462"/>
      <c r="AF49" s="462"/>
      <c r="AG49" s="462"/>
      <c r="AH49" s="462"/>
      <c r="AI49" s="462">
        <v>5.3880439223102039</v>
      </c>
      <c r="AJ49" s="462">
        <v>0.21541241361711327</v>
      </c>
      <c r="AK49" s="460"/>
      <c r="AL49" s="458"/>
      <c r="AM49" s="462"/>
      <c r="AN49" s="459"/>
      <c r="AO49" s="465"/>
      <c r="AP49" s="463"/>
      <c r="AQ49" s="466">
        <f t="shared" si="13"/>
        <v>137.79474392177843</v>
      </c>
    </row>
    <row r="50" spans="1:45" ht="12.75" customHeight="1">
      <c r="A50" s="610" t="s">
        <v>24</v>
      </c>
      <c r="B50" s="454"/>
      <c r="C50" s="455">
        <f t="shared" si="27"/>
        <v>0</v>
      </c>
      <c r="D50" s="456"/>
      <c r="E50" s="467"/>
      <c r="F50" s="458"/>
      <c r="G50" s="458"/>
      <c r="H50" s="459">
        <f t="shared" si="28"/>
        <v>0</v>
      </c>
      <c r="I50" s="460"/>
      <c r="J50" s="461"/>
      <c r="K50" s="462"/>
      <c r="L50" s="459">
        <f t="shared" si="29"/>
        <v>38.043221783939138</v>
      </c>
      <c r="M50" s="462"/>
      <c r="N50" s="462"/>
      <c r="O50" s="462"/>
      <c r="P50" s="462"/>
      <c r="Q50" s="462"/>
      <c r="R50" s="634"/>
      <c r="S50" s="462"/>
      <c r="T50" s="462"/>
      <c r="U50" s="462">
        <v>38.043221783939138</v>
      </c>
      <c r="V50" s="462"/>
      <c r="W50" s="458"/>
      <c r="X50" s="458"/>
      <c r="Y50" s="458"/>
      <c r="Z50" s="462"/>
      <c r="AA50" s="465"/>
      <c r="AB50" s="463">
        <f t="shared" si="30"/>
        <v>0</v>
      </c>
      <c r="AC50" s="464"/>
      <c r="AD50" s="462"/>
      <c r="AE50" s="462"/>
      <c r="AF50" s="462"/>
      <c r="AG50" s="462"/>
      <c r="AH50" s="462"/>
      <c r="AI50" s="462">
        <v>0</v>
      </c>
      <c r="AJ50" s="462"/>
      <c r="AK50" s="460"/>
      <c r="AL50" s="458"/>
      <c r="AM50" s="462"/>
      <c r="AN50" s="459"/>
      <c r="AO50" s="465">
        <v>4.30809088</v>
      </c>
      <c r="AP50" s="463"/>
      <c r="AQ50" s="466">
        <f t="shared" si="13"/>
        <v>42.35131266393914</v>
      </c>
    </row>
    <row r="51" spans="1:45" ht="12.75" customHeight="1">
      <c r="A51" s="610" t="s">
        <v>264</v>
      </c>
      <c r="B51" s="454"/>
      <c r="C51" s="455">
        <f t="shared" si="27"/>
        <v>0</v>
      </c>
      <c r="D51" s="456"/>
      <c r="E51" s="467"/>
      <c r="F51" s="458"/>
      <c r="G51" s="458"/>
      <c r="H51" s="459">
        <f t="shared" si="28"/>
        <v>0</v>
      </c>
      <c r="I51" s="460"/>
      <c r="J51" s="461"/>
      <c r="K51" s="462"/>
      <c r="L51" s="459">
        <f t="shared" si="29"/>
        <v>5.5768892778871395</v>
      </c>
      <c r="M51" s="462"/>
      <c r="N51" s="462"/>
      <c r="O51" s="462"/>
      <c r="P51" s="462">
        <v>0.66818888888888883</v>
      </c>
      <c r="Q51" s="462"/>
      <c r="R51" s="462">
        <v>4.908700388998251</v>
      </c>
      <c r="S51" s="462"/>
      <c r="T51" s="462"/>
      <c r="U51" s="462"/>
      <c r="V51" s="462"/>
      <c r="W51" s="458"/>
      <c r="X51" s="458"/>
      <c r="Y51" s="458"/>
      <c r="Z51" s="462"/>
      <c r="AA51" s="465"/>
      <c r="AB51" s="463">
        <f t="shared" si="30"/>
        <v>0</v>
      </c>
      <c r="AC51" s="464"/>
      <c r="AD51" s="462"/>
      <c r="AE51" s="462"/>
      <c r="AF51" s="462"/>
      <c r="AG51" s="462"/>
      <c r="AH51" s="462"/>
      <c r="AI51" s="462"/>
      <c r="AJ51" s="462"/>
      <c r="AK51" s="460"/>
      <c r="AL51" s="458"/>
      <c r="AM51" s="462"/>
      <c r="AN51" s="459"/>
      <c r="AO51" s="465"/>
      <c r="AP51" s="463"/>
      <c r="AQ51" s="466">
        <f t="shared" si="13"/>
        <v>5.5768892778871395</v>
      </c>
    </row>
    <row r="52" spans="1:45" ht="12.75" customHeight="1">
      <c r="A52" s="610" t="s">
        <v>265</v>
      </c>
      <c r="B52" s="614"/>
      <c r="C52" s="635">
        <f t="shared" si="27"/>
        <v>0</v>
      </c>
      <c r="D52" s="634"/>
      <c r="E52" s="634"/>
      <c r="F52" s="636"/>
      <c r="G52" s="636"/>
      <c r="H52" s="637">
        <f t="shared" si="28"/>
        <v>0</v>
      </c>
      <c r="I52" s="638"/>
      <c r="J52" s="639"/>
      <c r="K52" s="634"/>
      <c r="L52" s="637">
        <f t="shared" si="29"/>
        <v>1097.9355056907616</v>
      </c>
      <c r="M52" s="634"/>
      <c r="N52" s="634"/>
      <c r="O52" s="634"/>
      <c r="P52" s="516"/>
      <c r="Q52" s="634"/>
      <c r="R52" s="634">
        <v>1097.9355056907616</v>
      </c>
      <c r="S52" s="634"/>
      <c r="T52" s="634"/>
      <c r="U52" s="634"/>
      <c r="V52" s="634"/>
      <c r="W52" s="636"/>
      <c r="X52" s="636"/>
      <c r="Y52" s="636"/>
      <c r="Z52" s="634"/>
      <c r="AA52" s="615"/>
      <c r="AB52" s="640">
        <f t="shared" si="30"/>
        <v>0</v>
      </c>
      <c r="AC52" s="641"/>
      <c r="AD52" s="634"/>
      <c r="AE52" s="634"/>
      <c r="AF52" s="634"/>
      <c r="AG52" s="634"/>
      <c r="AH52" s="634"/>
      <c r="AI52" s="634"/>
      <c r="AJ52" s="634"/>
      <c r="AK52" s="605"/>
      <c r="AL52" s="607"/>
      <c r="AM52" s="634"/>
      <c r="AN52" s="615"/>
      <c r="AO52" s="615"/>
      <c r="AP52" s="640"/>
      <c r="AQ52" s="642">
        <f t="shared" si="13"/>
        <v>1097.9355056907616</v>
      </c>
    </row>
    <row r="53" spans="1:45" ht="12.65" customHeight="1">
      <c r="A53" s="610" t="s">
        <v>204</v>
      </c>
      <c r="B53" s="614"/>
      <c r="C53" s="635">
        <f t="shared" si="27"/>
        <v>0</v>
      </c>
      <c r="D53" s="638"/>
      <c r="E53" s="634"/>
      <c r="F53" s="636"/>
      <c r="G53" s="636"/>
      <c r="H53" s="637">
        <f t="shared" si="28"/>
        <v>0</v>
      </c>
      <c r="I53" s="638"/>
      <c r="J53" s="639"/>
      <c r="K53" s="634"/>
      <c r="L53" s="637">
        <f t="shared" si="29"/>
        <v>176.59351048332516</v>
      </c>
      <c r="M53" s="634"/>
      <c r="N53" s="634"/>
      <c r="O53" s="634"/>
      <c r="P53" s="634">
        <v>0</v>
      </c>
      <c r="Q53" s="634"/>
      <c r="R53" s="634"/>
      <c r="S53" s="634"/>
      <c r="T53" s="634"/>
      <c r="U53" s="634">
        <v>176.59351048332516</v>
      </c>
      <c r="V53" s="634"/>
      <c r="W53" s="636"/>
      <c r="X53" s="636"/>
      <c r="Y53" s="636"/>
      <c r="Z53" s="634"/>
      <c r="AA53" s="615"/>
      <c r="AB53" s="640">
        <f t="shared" si="30"/>
        <v>7.570405299014781</v>
      </c>
      <c r="AC53" s="641"/>
      <c r="AD53" s="634"/>
      <c r="AE53" s="634"/>
      <c r="AF53" s="634"/>
      <c r="AG53" s="634"/>
      <c r="AH53" s="634"/>
      <c r="AI53" s="462">
        <v>7.570405299014781</v>
      </c>
      <c r="AJ53" s="462">
        <v>0</v>
      </c>
      <c r="AK53" s="634"/>
      <c r="AL53" s="634"/>
      <c r="AM53" s="634"/>
      <c r="AN53" s="615"/>
      <c r="AO53" s="465"/>
      <c r="AP53" s="640"/>
      <c r="AQ53" s="642">
        <f t="shared" si="13"/>
        <v>184.16391578233996</v>
      </c>
      <c r="AS53" s="237"/>
    </row>
    <row r="54" spans="1:45" ht="12.75" customHeight="1">
      <c r="A54" s="453" t="s">
        <v>170</v>
      </c>
      <c r="B54" s="454"/>
      <c r="C54" s="635">
        <f t="shared" si="27"/>
        <v>0</v>
      </c>
      <c r="D54" s="638"/>
      <c r="E54" s="634"/>
      <c r="F54" s="636"/>
      <c r="G54" s="636"/>
      <c r="H54" s="637">
        <f t="shared" si="28"/>
        <v>0</v>
      </c>
      <c r="I54" s="638"/>
      <c r="J54" s="639"/>
      <c r="K54" s="634"/>
      <c r="L54" s="637">
        <f t="shared" si="29"/>
        <v>83.913724293678101</v>
      </c>
      <c r="M54" s="634"/>
      <c r="N54" s="634"/>
      <c r="O54" s="634"/>
      <c r="P54" s="634"/>
      <c r="Q54" s="634"/>
      <c r="R54" s="634"/>
      <c r="S54" s="634"/>
      <c r="T54" s="634"/>
      <c r="U54" s="634">
        <v>83.913724293678101</v>
      </c>
      <c r="V54" s="634"/>
      <c r="W54" s="636"/>
      <c r="X54" s="636"/>
      <c r="Y54" s="636"/>
      <c r="Z54" s="634"/>
      <c r="AA54" s="567"/>
      <c r="AB54" s="640">
        <f t="shared" si="30"/>
        <v>0</v>
      </c>
      <c r="AC54" s="641"/>
      <c r="AD54" s="634"/>
      <c r="AE54" s="634"/>
      <c r="AF54" s="634"/>
      <c r="AG54" s="634"/>
      <c r="AH54" s="634"/>
      <c r="AI54" s="634"/>
      <c r="AJ54" s="634"/>
      <c r="AK54" s="634"/>
      <c r="AL54" s="634"/>
      <c r="AM54" s="634"/>
      <c r="AN54" s="567"/>
      <c r="AO54" s="615"/>
      <c r="AP54" s="640"/>
      <c r="AQ54" s="642">
        <f t="shared" si="13"/>
        <v>83.913724293678101</v>
      </c>
      <c r="AS54" s="237"/>
    </row>
    <row r="55" spans="1:45" ht="12.75" customHeight="1">
      <c r="A55" s="517" t="s">
        <v>205</v>
      </c>
      <c r="B55" s="518"/>
      <c r="C55" s="519">
        <f t="shared" si="27"/>
        <v>0</v>
      </c>
      <c r="D55" s="643"/>
      <c r="E55" s="644"/>
      <c r="F55" s="522"/>
      <c r="G55" s="522"/>
      <c r="H55" s="523">
        <f t="shared" si="28"/>
        <v>0</v>
      </c>
      <c r="I55" s="520"/>
      <c r="J55" s="524"/>
      <c r="K55" s="521"/>
      <c r="L55" s="523">
        <f t="shared" si="29"/>
        <v>456.8260488931312</v>
      </c>
      <c r="M55" s="521"/>
      <c r="N55" s="521"/>
      <c r="O55" s="521"/>
      <c r="P55" s="521">
        <v>142.49106809811542</v>
      </c>
      <c r="Q55" s="521"/>
      <c r="R55" s="521"/>
      <c r="S55" s="521">
        <v>0</v>
      </c>
      <c r="T55" s="521"/>
      <c r="U55" s="521">
        <v>314.33498079501578</v>
      </c>
      <c r="V55" s="521"/>
      <c r="W55" s="522"/>
      <c r="X55" s="522"/>
      <c r="Y55" s="522"/>
      <c r="Z55" s="521"/>
      <c r="AA55" s="527">
        <v>22.531112229915806</v>
      </c>
      <c r="AB55" s="525">
        <f t="shared" si="30"/>
        <v>18.193591735516275</v>
      </c>
      <c r="AC55" s="526"/>
      <c r="AD55" s="521"/>
      <c r="AE55" s="521"/>
      <c r="AF55" s="521"/>
      <c r="AG55" s="521"/>
      <c r="AH55" s="521"/>
      <c r="AI55" s="521">
        <v>13.475258506178202</v>
      </c>
      <c r="AJ55" s="521">
        <v>4.7183332293380724</v>
      </c>
      <c r="AK55" s="520"/>
      <c r="AL55" s="522"/>
      <c r="AM55" s="521"/>
      <c r="AN55" s="523"/>
      <c r="AO55" s="527"/>
      <c r="AP55" s="525"/>
      <c r="AQ55" s="528">
        <f t="shared" si="13"/>
        <v>497.55075285856333</v>
      </c>
      <c r="AR55" s="353"/>
      <c r="AS55" s="237"/>
    </row>
    <row r="56" spans="1:45" s="42" customFormat="1" ht="12.75" customHeight="1">
      <c r="A56" s="645" t="s">
        <v>266</v>
      </c>
      <c r="B56" s="646"/>
      <c r="C56" s="647">
        <f t="shared" si="27"/>
        <v>216.79218330365393</v>
      </c>
      <c r="D56" s="648">
        <v>115.30751795563631</v>
      </c>
      <c r="E56" s="457">
        <v>89.647280058277374</v>
      </c>
      <c r="F56" s="649"/>
      <c r="G56" s="649">
        <v>11.837385289740231</v>
      </c>
      <c r="H56" s="650">
        <f t="shared" si="28"/>
        <v>196.53880633</v>
      </c>
      <c r="I56" s="648"/>
      <c r="J56" s="651">
        <v>127.70399999999999</v>
      </c>
      <c r="K56" s="539">
        <v>68.834806329999992</v>
      </c>
      <c r="L56" s="650">
        <f t="shared" si="29"/>
        <v>1254.8255059886615</v>
      </c>
      <c r="M56" s="539"/>
      <c r="N56" s="539"/>
      <c r="O56" s="539"/>
      <c r="P56" s="539">
        <v>0</v>
      </c>
      <c r="Q56" s="539">
        <v>865.67110107427072</v>
      </c>
      <c r="R56" s="539"/>
      <c r="S56" s="539">
        <v>0</v>
      </c>
      <c r="T56" s="539">
        <v>53.841522983216713</v>
      </c>
      <c r="U56" s="539">
        <v>329.909010207883</v>
      </c>
      <c r="V56" s="539">
        <v>5.4038717232911377</v>
      </c>
      <c r="W56" s="649"/>
      <c r="X56" s="649"/>
      <c r="Y56" s="649"/>
      <c r="Z56" s="539"/>
      <c r="AA56" s="650">
        <v>604.09375845912712</v>
      </c>
      <c r="AB56" s="652">
        <f t="shared" si="30"/>
        <v>71.026669556951646</v>
      </c>
      <c r="AC56" s="653"/>
      <c r="AD56" s="539"/>
      <c r="AE56" s="539">
        <v>29.776082158378955</v>
      </c>
      <c r="AF56" s="539"/>
      <c r="AG56" s="539"/>
      <c r="AH56" s="539"/>
      <c r="AI56" s="539"/>
      <c r="AJ56" s="539"/>
      <c r="AK56" s="648"/>
      <c r="AL56" s="649">
        <v>13.379590942008413</v>
      </c>
      <c r="AM56" s="539">
        <v>27.870996456564281</v>
      </c>
      <c r="AN56" s="650"/>
      <c r="AO56" s="650">
        <v>702.94473599999992</v>
      </c>
      <c r="AP56" s="652"/>
      <c r="AQ56" s="540">
        <f t="shared" si="13"/>
        <v>3046.2216596383942</v>
      </c>
      <c r="AR56" s="353"/>
      <c r="AS56" s="41"/>
    </row>
    <row r="57" spans="1:45" s="42" customFormat="1" ht="12.75" customHeight="1">
      <c r="A57" s="645" t="s">
        <v>1069</v>
      </c>
      <c r="B57" s="646"/>
      <c r="C57" s="647">
        <f>C58+C65</f>
        <v>0.51992180451127823</v>
      </c>
      <c r="D57" s="539">
        <f t="shared" ref="D57:AP57" si="31">D58+D65</f>
        <v>0.51992180451127823</v>
      </c>
      <c r="E57" s="539">
        <f t="shared" si="31"/>
        <v>0</v>
      </c>
      <c r="F57" s="649">
        <f t="shared" si="31"/>
        <v>0</v>
      </c>
      <c r="G57" s="649">
        <f t="shared" si="31"/>
        <v>0</v>
      </c>
      <c r="H57" s="650">
        <f t="shared" si="31"/>
        <v>0</v>
      </c>
      <c r="I57" s="648">
        <f t="shared" si="31"/>
        <v>0</v>
      </c>
      <c r="J57" s="648">
        <f t="shared" si="31"/>
        <v>0</v>
      </c>
      <c r="K57" s="648">
        <f t="shared" si="31"/>
        <v>0</v>
      </c>
      <c r="L57" s="650">
        <f t="shared" si="31"/>
        <v>240.86725727408077</v>
      </c>
      <c r="M57" s="539">
        <f t="shared" si="31"/>
        <v>0</v>
      </c>
      <c r="N57" s="539">
        <f t="shared" si="31"/>
        <v>0</v>
      </c>
      <c r="O57" s="539">
        <f t="shared" si="31"/>
        <v>0</v>
      </c>
      <c r="P57" s="539">
        <f t="shared" si="31"/>
        <v>0</v>
      </c>
      <c r="Q57" s="539">
        <f t="shared" si="31"/>
        <v>62.827000000000005</v>
      </c>
      <c r="R57" s="539">
        <f t="shared" si="31"/>
        <v>0</v>
      </c>
      <c r="S57" s="539">
        <f t="shared" si="31"/>
        <v>0.64284746861564912</v>
      </c>
      <c r="T57" s="539">
        <f t="shared" si="31"/>
        <v>70.524409805465098</v>
      </c>
      <c r="U57" s="539">
        <f t="shared" si="31"/>
        <v>106.87300000000002</v>
      </c>
      <c r="V57" s="539">
        <f t="shared" si="31"/>
        <v>0</v>
      </c>
      <c r="W57" s="649">
        <f t="shared" si="31"/>
        <v>0</v>
      </c>
      <c r="X57" s="649">
        <f t="shared" si="31"/>
        <v>0</v>
      </c>
      <c r="Y57" s="649">
        <f t="shared" si="31"/>
        <v>0</v>
      </c>
      <c r="Z57" s="648">
        <f t="shared" si="31"/>
        <v>0</v>
      </c>
      <c r="AA57" s="650">
        <f t="shared" si="31"/>
        <v>328.6198962047896</v>
      </c>
      <c r="AB57" s="652">
        <f t="shared" si="31"/>
        <v>39.433814247868156</v>
      </c>
      <c r="AC57" s="653">
        <f t="shared" si="31"/>
        <v>0</v>
      </c>
      <c r="AD57" s="539">
        <f t="shared" si="31"/>
        <v>0</v>
      </c>
      <c r="AE57" s="539">
        <f t="shared" si="31"/>
        <v>17.99312324724</v>
      </c>
      <c r="AF57" s="539">
        <f t="shared" si="31"/>
        <v>0</v>
      </c>
      <c r="AG57" s="539">
        <f t="shared" si="31"/>
        <v>0</v>
      </c>
      <c r="AH57" s="539">
        <f t="shared" si="31"/>
        <v>5.621744734795584</v>
      </c>
      <c r="AI57" s="539">
        <f t="shared" si="31"/>
        <v>0</v>
      </c>
      <c r="AJ57" s="539">
        <f t="shared" si="31"/>
        <v>0</v>
      </c>
      <c r="AK57" s="539">
        <f t="shared" si="31"/>
        <v>0</v>
      </c>
      <c r="AL57" s="539">
        <f t="shared" si="31"/>
        <v>0.16649466165720572</v>
      </c>
      <c r="AM57" s="648">
        <f t="shared" si="31"/>
        <v>15.65245160417537</v>
      </c>
      <c r="AN57" s="650">
        <f t="shared" si="31"/>
        <v>0</v>
      </c>
      <c r="AO57" s="650">
        <f t="shared" si="31"/>
        <v>1078.743765043014</v>
      </c>
      <c r="AP57" s="652">
        <f t="shared" si="31"/>
        <v>0</v>
      </c>
      <c r="AQ57" s="654">
        <f t="shared" si="13"/>
        <v>1688.184654574264</v>
      </c>
      <c r="AR57" s="38"/>
      <c r="AS57" s="41"/>
    </row>
    <row r="58" spans="1:45" ht="12.75" customHeight="1">
      <c r="A58" s="645" t="s">
        <v>1070</v>
      </c>
      <c r="B58" s="646"/>
      <c r="C58" s="647">
        <f t="shared" si="27"/>
        <v>0.5149225563909775</v>
      </c>
      <c r="D58" s="653">
        <v>0.5149225563909775</v>
      </c>
      <c r="E58" s="652">
        <v>0</v>
      </c>
      <c r="F58" s="652">
        <f>SUM(F59:F64)</f>
        <v>0</v>
      </c>
      <c r="G58" s="655">
        <v>0</v>
      </c>
      <c r="H58" s="650">
        <f t="shared" si="28"/>
        <v>0</v>
      </c>
      <c r="I58" s="648">
        <f>SUM(I59:I64)</f>
        <v>0</v>
      </c>
      <c r="J58" s="656">
        <f>SUM(J59:J64)</f>
        <v>0</v>
      </c>
      <c r="K58" s="648">
        <f>SUM(K59:K64)</f>
        <v>0</v>
      </c>
      <c r="L58" s="650">
        <f t="shared" si="29"/>
        <v>109.16310972047087</v>
      </c>
      <c r="M58" s="539">
        <f t="shared" ref="M58:AN58" si="32">SUM(M59:M64)</f>
        <v>0</v>
      </c>
      <c r="N58" s="649">
        <f t="shared" si="32"/>
        <v>0</v>
      </c>
      <c r="O58" s="649">
        <f t="shared" si="32"/>
        <v>0</v>
      </c>
      <c r="P58" s="652">
        <f t="shared" si="32"/>
        <v>0</v>
      </c>
      <c r="Q58" s="652">
        <v>15.841000000000001</v>
      </c>
      <c r="R58" s="652">
        <f t="shared" si="32"/>
        <v>0</v>
      </c>
      <c r="S58" s="652">
        <v>0</v>
      </c>
      <c r="T58" s="652">
        <v>41.074109720470858</v>
      </c>
      <c r="U58" s="652">
        <v>52.248000000000012</v>
      </c>
      <c r="V58" s="652">
        <f t="shared" si="32"/>
        <v>0</v>
      </c>
      <c r="W58" s="652">
        <f t="shared" si="32"/>
        <v>0</v>
      </c>
      <c r="X58" s="652">
        <f t="shared" si="32"/>
        <v>0</v>
      </c>
      <c r="Y58" s="649">
        <f t="shared" si="32"/>
        <v>0</v>
      </c>
      <c r="Z58" s="648">
        <f t="shared" si="32"/>
        <v>0</v>
      </c>
      <c r="AA58" s="650">
        <v>206.51565457653467</v>
      </c>
      <c r="AB58" s="652">
        <f t="shared" si="30"/>
        <v>20.523795887314584</v>
      </c>
      <c r="AC58" s="653">
        <f t="shared" si="32"/>
        <v>0</v>
      </c>
      <c r="AD58" s="539">
        <f t="shared" si="32"/>
        <v>0</v>
      </c>
      <c r="AE58" s="539">
        <f t="shared" si="32"/>
        <v>3.9004188670820072</v>
      </c>
      <c r="AF58" s="539"/>
      <c r="AG58" s="539">
        <f t="shared" si="32"/>
        <v>0</v>
      </c>
      <c r="AH58" s="539">
        <f t="shared" si="32"/>
        <v>0.80443075440000011</v>
      </c>
      <c r="AI58" s="539">
        <f t="shared" si="32"/>
        <v>0</v>
      </c>
      <c r="AJ58" s="539">
        <f t="shared" si="32"/>
        <v>0</v>
      </c>
      <c r="AK58" s="539"/>
      <c r="AL58" s="539">
        <v>0.16649466165720572</v>
      </c>
      <c r="AM58" s="649">
        <v>15.65245160417537</v>
      </c>
      <c r="AN58" s="650">
        <f t="shared" si="32"/>
        <v>0</v>
      </c>
      <c r="AO58" s="650">
        <v>828.90452168344279</v>
      </c>
      <c r="AP58" s="652">
        <f t="shared" ref="AP58" si="33">SUM(AP59:AP64)</f>
        <v>0</v>
      </c>
      <c r="AQ58" s="654">
        <f t="shared" si="13"/>
        <v>1165.6220044241538</v>
      </c>
    </row>
    <row r="59" spans="1:45" ht="12.75" customHeight="1">
      <c r="A59" s="453" t="s">
        <v>1071</v>
      </c>
      <c r="B59" s="657" t="s">
        <v>1072</v>
      </c>
      <c r="C59" s="506">
        <f t="shared" si="27"/>
        <v>3.9993984962406011E-3</v>
      </c>
      <c r="D59" s="464">
        <v>3.9993984962406011E-3</v>
      </c>
      <c r="E59" s="512"/>
      <c r="F59" s="512"/>
      <c r="G59" s="555"/>
      <c r="H59" s="510">
        <f t="shared" si="28"/>
        <v>0</v>
      </c>
      <c r="I59" s="630"/>
      <c r="J59" s="658"/>
      <c r="K59" s="630"/>
      <c r="L59" s="510">
        <f t="shared" si="29"/>
        <v>29.110393287676398</v>
      </c>
      <c r="M59" s="557"/>
      <c r="N59" s="659"/>
      <c r="O59" s="659"/>
      <c r="P59" s="512"/>
      <c r="Q59" s="612">
        <v>6.548</v>
      </c>
      <c r="R59" s="512"/>
      <c r="S59" s="612">
        <v>0</v>
      </c>
      <c r="T59" s="612">
        <v>11.487393287676401</v>
      </c>
      <c r="U59" s="612">
        <v>11.074999999999999</v>
      </c>
      <c r="V59" s="612">
        <v>0</v>
      </c>
      <c r="W59" s="512"/>
      <c r="X59" s="512"/>
      <c r="Y59" s="659"/>
      <c r="Z59" s="630"/>
      <c r="AA59" s="465">
        <v>52.670839129321678</v>
      </c>
      <c r="AB59" s="512">
        <f t="shared" si="30"/>
        <v>1.2953271877604666</v>
      </c>
      <c r="AC59" s="660"/>
      <c r="AD59" s="557"/>
      <c r="AE59" s="508">
        <v>1.2953271877604666</v>
      </c>
      <c r="AF59" s="508"/>
      <c r="AG59" s="508"/>
      <c r="AH59" s="508">
        <v>0</v>
      </c>
      <c r="AI59" s="508"/>
      <c r="AJ59" s="508"/>
      <c r="AK59" s="508"/>
      <c r="AL59" s="508">
        <v>0</v>
      </c>
      <c r="AM59" s="509">
        <v>0</v>
      </c>
      <c r="AN59" s="510"/>
      <c r="AO59" s="465">
        <v>225.7085564993871</v>
      </c>
      <c r="AP59" s="512"/>
      <c r="AQ59" s="541">
        <f t="shared" si="13"/>
        <v>308.78911550264189</v>
      </c>
    </row>
    <row r="60" spans="1:45" ht="12.75" customHeight="1">
      <c r="A60" s="453" t="s">
        <v>1073</v>
      </c>
      <c r="B60" s="657" t="s">
        <v>1074</v>
      </c>
      <c r="C60" s="455">
        <f t="shared" si="27"/>
        <v>8.9986466165413535E-3</v>
      </c>
      <c r="D60" s="464">
        <v>8.9986466165413535E-3</v>
      </c>
      <c r="E60" s="463"/>
      <c r="F60" s="463"/>
      <c r="G60" s="661"/>
      <c r="H60" s="459">
        <f t="shared" si="28"/>
        <v>0</v>
      </c>
      <c r="I60" s="456"/>
      <c r="J60" s="662"/>
      <c r="K60" s="456"/>
      <c r="L60" s="459">
        <f t="shared" si="29"/>
        <v>24.503931093823979</v>
      </c>
      <c r="M60" s="467"/>
      <c r="N60" s="457"/>
      <c r="O60" s="457"/>
      <c r="P60" s="463"/>
      <c r="Q60" s="612">
        <v>1.2709999999999999</v>
      </c>
      <c r="R60" s="463"/>
      <c r="S60" s="612">
        <v>0</v>
      </c>
      <c r="T60" s="612">
        <v>1.9979310938239756</v>
      </c>
      <c r="U60" s="612">
        <v>21.235000000000003</v>
      </c>
      <c r="V60" s="612">
        <v>0</v>
      </c>
      <c r="W60" s="463"/>
      <c r="X60" s="463"/>
      <c r="Y60" s="457"/>
      <c r="Z60" s="456"/>
      <c r="AA60" s="465">
        <v>23.743479725066276</v>
      </c>
      <c r="AB60" s="463">
        <f t="shared" si="30"/>
        <v>1.138556689715082E-2</v>
      </c>
      <c r="AC60" s="663"/>
      <c r="AD60" s="467"/>
      <c r="AE60" s="462">
        <v>1.138556689715082E-2</v>
      </c>
      <c r="AF60" s="462"/>
      <c r="AG60" s="462"/>
      <c r="AH60" s="462">
        <v>0</v>
      </c>
      <c r="AI60" s="462"/>
      <c r="AJ60" s="462"/>
      <c r="AK60" s="462"/>
      <c r="AL60" s="462">
        <v>0</v>
      </c>
      <c r="AM60" s="458">
        <v>0</v>
      </c>
      <c r="AN60" s="459"/>
      <c r="AO60" s="465">
        <v>81.932675558202874</v>
      </c>
      <c r="AP60" s="463"/>
      <c r="AQ60" s="466">
        <f t="shared" si="13"/>
        <v>130.20047059060681</v>
      </c>
    </row>
    <row r="61" spans="1:45" ht="12.75" customHeight="1">
      <c r="A61" s="453" t="s">
        <v>1075</v>
      </c>
      <c r="B61" s="657" t="s">
        <v>1076</v>
      </c>
      <c r="C61" s="455">
        <f t="shared" si="27"/>
        <v>0.42993533834586467</v>
      </c>
      <c r="D61" s="464">
        <v>0.42993533834586467</v>
      </c>
      <c r="E61" s="463"/>
      <c r="F61" s="463"/>
      <c r="G61" s="661"/>
      <c r="H61" s="459">
        <f t="shared" si="28"/>
        <v>0</v>
      </c>
      <c r="I61" s="456"/>
      <c r="J61" s="662"/>
      <c r="K61" s="456"/>
      <c r="L61" s="459">
        <f t="shared" si="29"/>
        <v>27.815960601382685</v>
      </c>
      <c r="M61" s="467"/>
      <c r="N61" s="457"/>
      <c r="O61" s="457"/>
      <c r="P61" s="463"/>
      <c r="Q61" s="612">
        <v>3.399</v>
      </c>
      <c r="R61" s="463"/>
      <c r="S61" s="612">
        <v>0</v>
      </c>
      <c r="T61" s="612">
        <v>19.454960601382684</v>
      </c>
      <c r="U61" s="612">
        <v>4.9619999999999997</v>
      </c>
      <c r="V61" s="612">
        <v>0</v>
      </c>
      <c r="W61" s="463"/>
      <c r="X61" s="463"/>
      <c r="Y61" s="457"/>
      <c r="Z61" s="456"/>
      <c r="AA61" s="465">
        <v>30.235657033103141</v>
      </c>
      <c r="AB61" s="463">
        <f t="shared" si="30"/>
        <v>0.86179983283049288</v>
      </c>
      <c r="AC61" s="663"/>
      <c r="AD61" s="467"/>
      <c r="AE61" s="462">
        <v>0.86179983283049288</v>
      </c>
      <c r="AF61" s="462"/>
      <c r="AG61" s="462"/>
      <c r="AH61" s="462">
        <v>0</v>
      </c>
      <c r="AI61" s="462"/>
      <c r="AJ61" s="462"/>
      <c r="AK61" s="462"/>
      <c r="AL61" s="462">
        <v>0</v>
      </c>
      <c r="AM61" s="458">
        <v>0</v>
      </c>
      <c r="AN61" s="459"/>
      <c r="AO61" s="465">
        <v>126.36748353090987</v>
      </c>
      <c r="AP61" s="463"/>
      <c r="AQ61" s="466">
        <f t="shared" si="13"/>
        <v>185.71083633657204</v>
      </c>
    </row>
    <row r="62" spans="1:45" ht="12.75" customHeight="1">
      <c r="A62" s="453" t="s">
        <v>1077</v>
      </c>
      <c r="B62" s="657" t="s">
        <v>1078</v>
      </c>
      <c r="C62" s="455">
        <f t="shared" si="27"/>
        <v>6.9989473684210534E-3</v>
      </c>
      <c r="D62" s="464">
        <v>6.9989473684210534E-3</v>
      </c>
      <c r="E62" s="463"/>
      <c r="F62" s="463"/>
      <c r="G62" s="661"/>
      <c r="H62" s="459">
        <f t="shared" si="28"/>
        <v>0</v>
      </c>
      <c r="I62" s="456"/>
      <c r="J62" s="662"/>
      <c r="K62" s="456"/>
      <c r="L62" s="459">
        <f t="shared" si="29"/>
        <v>2.6967648223282072</v>
      </c>
      <c r="M62" s="467"/>
      <c r="N62" s="457"/>
      <c r="O62" s="457"/>
      <c r="P62" s="463"/>
      <c r="Q62" s="612">
        <v>0.36299999999999999</v>
      </c>
      <c r="R62" s="463"/>
      <c r="S62" s="612">
        <v>0</v>
      </c>
      <c r="T62" s="612">
        <v>0.71476482232820748</v>
      </c>
      <c r="U62" s="612">
        <v>1.619</v>
      </c>
      <c r="V62" s="612">
        <v>0</v>
      </c>
      <c r="W62" s="463"/>
      <c r="X62" s="463"/>
      <c r="Y62" s="457"/>
      <c r="Z62" s="456"/>
      <c r="AA62" s="465">
        <v>12.942534033472208</v>
      </c>
      <c r="AB62" s="463">
        <f t="shared" si="30"/>
        <v>4.6418080426845656E-2</v>
      </c>
      <c r="AC62" s="663"/>
      <c r="AD62" s="467"/>
      <c r="AE62" s="462">
        <v>4.6418080426845656E-2</v>
      </c>
      <c r="AF62" s="462"/>
      <c r="AG62" s="462"/>
      <c r="AH62" s="462">
        <v>0</v>
      </c>
      <c r="AI62" s="462"/>
      <c r="AJ62" s="462"/>
      <c r="AK62" s="462"/>
      <c r="AL62" s="462">
        <v>0</v>
      </c>
      <c r="AM62" s="458">
        <v>0</v>
      </c>
      <c r="AN62" s="459"/>
      <c r="AO62" s="465">
        <v>234.42875082725587</v>
      </c>
      <c r="AP62" s="463"/>
      <c r="AQ62" s="466">
        <f t="shared" si="13"/>
        <v>250.12146671085156</v>
      </c>
    </row>
    <row r="63" spans="1:45" ht="12.75" customHeight="1">
      <c r="A63" s="453" t="s">
        <v>1079</v>
      </c>
      <c r="B63" s="657" t="s">
        <v>1080</v>
      </c>
      <c r="C63" s="455">
        <f t="shared" si="27"/>
        <v>5.799127819548873E-2</v>
      </c>
      <c r="D63" s="641">
        <v>5.799127819548873E-2</v>
      </c>
      <c r="E63" s="463"/>
      <c r="F63" s="463"/>
      <c r="G63" s="661"/>
      <c r="H63" s="459">
        <f t="shared" si="28"/>
        <v>0</v>
      </c>
      <c r="I63" s="456"/>
      <c r="J63" s="662"/>
      <c r="K63" s="456"/>
      <c r="L63" s="459">
        <f t="shared" si="29"/>
        <v>3.8680994311273493</v>
      </c>
      <c r="M63" s="467"/>
      <c r="N63" s="457"/>
      <c r="O63" s="457"/>
      <c r="P63" s="463"/>
      <c r="Q63" s="664">
        <v>0.68400000000000005</v>
      </c>
      <c r="R63" s="463"/>
      <c r="S63" s="664">
        <v>0</v>
      </c>
      <c r="T63" s="664">
        <v>0.16909943112734929</v>
      </c>
      <c r="U63" s="664">
        <v>3.0150000000000001</v>
      </c>
      <c r="V63" s="664">
        <v>0</v>
      </c>
      <c r="W63" s="463"/>
      <c r="X63" s="463"/>
      <c r="Y63" s="457"/>
      <c r="Z63" s="456"/>
      <c r="AA63" s="665">
        <v>11.636733155824563</v>
      </c>
      <c r="AB63" s="463">
        <f t="shared" si="30"/>
        <v>0.34769769678222129</v>
      </c>
      <c r="AC63" s="663"/>
      <c r="AD63" s="467"/>
      <c r="AE63" s="462">
        <v>0.34769769678222129</v>
      </c>
      <c r="AF63" s="462"/>
      <c r="AG63" s="462"/>
      <c r="AH63" s="462">
        <v>0</v>
      </c>
      <c r="AI63" s="462"/>
      <c r="AJ63" s="462"/>
      <c r="AK63" s="462"/>
      <c r="AL63" s="462">
        <v>0</v>
      </c>
      <c r="AM63" s="458">
        <v>0</v>
      </c>
      <c r="AN63" s="459"/>
      <c r="AO63" s="665">
        <v>42.659809837330151</v>
      </c>
      <c r="AP63" s="463"/>
      <c r="AQ63" s="466">
        <f t="shared" si="13"/>
        <v>58.570331399259771</v>
      </c>
    </row>
    <row r="64" spans="1:45" ht="12.75" customHeight="1">
      <c r="A64" s="517" t="s">
        <v>1081</v>
      </c>
      <c r="B64" s="666"/>
      <c r="C64" s="519">
        <f t="shared" si="27"/>
        <v>6.9989473684210534E-3</v>
      </c>
      <c r="D64" s="641">
        <v>6.9989473684210534E-3</v>
      </c>
      <c r="E64" s="525"/>
      <c r="F64" s="525"/>
      <c r="G64" s="667"/>
      <c r="H64" s="523">
        <f t="shared" si="28"/>
        <v>0</v>
      </c>
      <c r="I64" s="643"/>
      <c r="J64" s="668"/>
      <c r="K64" s="643"/>
      <c r="L64" s="523">
        <f t="shared" si="29"/>
        <v>21.167960484132237</v>
      </c>
      <c r="M64" s="644"/>
      <c r="N64" s="669"/>
      <c r="O64" s="669"/>
      <c r="P64" s="525"/>
      <c r="Q64" s="664">
        <v>3.5760000000000001</v>
      </c>
      <c r="R64" s="525"/>
      <c r="S64" s="664">
        <v>0</v>
      </c>
      <c r="T64" s="664">
        <v>7.2499604841322363</v>
      </c>
      <c r="U64" s="664">
        <v>10.342000000000001</v>
      </c>
      <c r="V64" s="664">
        <v>0</v>
      </c>
      <c r="W64" s="525"/>
      <c r="X64" s="525"/>
      <c r="Y64" s="669"/>
      <c r="Z64" s="643"/>
      <c r="AA64" s="665">
        <v>75.286411499746805</v>
      </c>
      <c r="AB64" s="525">
        <f t="shared" si="30"/>
        <v>17.961167522617405</v>
      </c>
      <c r="AC64" s="670"/>
      <c r="AD64" s="644"/>
      <c r="AE64" s="521">
        <v>1.3377905023848295</v>
      </c>
      <c r="AF64" s="521"/>
      <c r="AG64" s="521"/>
      <c r="AH64" s="521">
        <v>0.80443075440000011</v>
      </c>
      <c r="AI64" s="521"/>
      <c r="AJ64" s="521"/>
      <c r="AK64" s="521"/>
      <c r="AL64" s="521">
        <v>0.16649466165720572</v>
      </c>
      <c r="AM64" s="522">
        <v>15.65245160417537</v>
      </c>
      <c r="AN64" s="523"/>
      <c r="AO64" s="665">
        <v>117.80724543035701</v>
      </c>
      <c r="AP64" s="525"/>
      <c r="AQ64" s="528">
        <f t="shared" si="13"/>
        <v>232.22978388422189</v>
      </c>
    </row>
    <row r="65" spans="1:45" ht="12.75" customHeight="1">
      <c r="A65" s="645" t="s">
        <v>1082</v>
      </c>
      <c r="B65" s="646"/>
      <c r="C65" s="519">
        <f>SUM(D65:G65)</f>
        <v>4.9992481203007515E-3</v>
      </c>
      <c r="D65" s="653">
        <f>SUM(D66:D69)</f>
        <v>4.9992481203007515E-3</v>
      </c>
      <c r="E65" s="618"/>
      <c r="F65" s="618"/>
      <c r="G65" s="619"/>
      <c r="H65" s="523">
        <f>SUM(I65:K65)</f>
        <v>0</v>
      </c>
      <c r="I65" s="520"/>
      <c r="J65" s="524">
        <v>0</v>
      </c>
      <c r="K65" s="521">
        <v>0</v>
      </c>
      <c r="L65" s="523">
        <f>SUM(M65:Z65)</f>
        <v>131.70414755360989</v>
      </c>
      <c r="M65" s="521"/>
      <c r="N65" s="522"/>
      <c r="O65" s="522"/>
      <c r="P65" s="618"/>
      <c r="Q65" s="652">
        <v>46.986000000000004</v>
      </c>
      <c r="R65" s="618"/>
      <c r="S65" s="652">
        <v>0.64284746861564912</v>
      </c>
      <c r="T65" s="652">
        <v>29.45030008499424</v>
      </c>
      <c r="U65" s="652">
        <v>54.625</v>
      </c>
      <c r="V65" s="652">
        <f>SUM(V66:V69)</f>
        <v>0</v>
      </c>
      <c r="W65" s="618"/>
      <c r="X65" s="618"/>
      <c r="Y65" s="522"/>
      <c r="Z65" s="521"/>
      <c r="AA65" s="650">
        <v>122.10424162825494</v>
      </c>
      <c r="AB65" s="525">
        <f>SUM(AC65:AM65)</f>
        <v>18.910018360553575</v>
      </c>
      <c r="AC65" s="526"/>
      <c r="AD65" s="521"/>
      <c r="AE65" s="521">
        <f>SUM(AE66:AE69)</f>
        <v>14.092704380157992</v>
      </c>
      <c r="AF65" s="521"/>
      <c r="AG65" s="521"/>
      <c r="AH65" s="521">
        <v>4.8173139803955838</v>
      </c>
      <c r="AI65" s="521"/>
      <c r="AJ65" s="521"/>
      <c r="AK65" s="521"/>
      <c r="AL65" s="521"/>
      <c r="AM65" s="522"/>
      <c r="AN65" s="523"/>
      <c r="AO65" s="650">
        <v>249.83924335957121</v>
      </c>
      <c r="AP65" s="525"/>
      <c r="AQ65" s="671">
        <f t="shared" si="13"/>
        <v>522.5626501501099</v>
      </c>
    </row>
    <row r="66" spans="1:45" ht="12.75" customHeight="1">
      <c r="A66" s="504" t="s">
        <v>1083</v>
      </c>
      <c r="B66" s="672" t="s">
        <v>1084</v>
      </c>
      <c r="C66" s="506">
        <f t="shared" ref="C66:C69" si="34">SUM(D66:G66)</f>
        <v>2.9995488721804514E-3</v>
      </c>
      <c r="D66" s="513">
        <v>2.9995488721804514E-3</v>
      </c>
      <c r="E66" s="558"/>
      <c r="F66" s="558"/>
      <c r="G66" s="673"/>
      <c r="H66" s="510">
        <f t="shared" ref="H66:H69" si="35">SUM(I66:K66)</f>
        <v>0</v>
      </c>
      <c r="I66" s="556"/>
      <c r="J66" s="511"/>
      <c r="K66" s="674"/>
      <c r="L66" s="510">
        <f t="shared" ref="L66:L69" si="36">SUM(M66:Z66)</f>
        <v>4.8361472478110468</v>
      </c>
      <c r="M66" s="556"/>
      <c r="N66" s="558"/>
      <c r="O66" s="509"/>
      <c r="P66" s="558"/>
      <c r="Q66" s="558">
        <v>0.13</v>
      </c>
      <c r="R66" s="558"/>
      <c r="S66" s="558">
        <v>3.1863567217628209E-3</v>
      </c>
      <c r="T66" s="558">
        <v>1.1339608910892836</v>
      </c>
      <c r="U66" s="558">
        <v>3.569</v>
      </c>
      <c r="V66" s="558">
        <v>0</v>
      </c>
      <c r="W66" s="558"/>
      <c r="X66" s="558"/>
      <c r="Y66" s="509"/>
      <c r="Z66" s="508"/>
      <c r="AA66" s="514">
        <v>6.2855711462293291</v>
      </c>
      <c r="AB66" s="512">
        <f t="shared" ref="AB66:AB69" si="37">SUM(AC66:AM66)</f>
        <v>4.8181897932338265</v>
      </c>
      <c r="AC66" s="513"/>
      <c r="AD66" s="508"/>
      <c r="AE66" s="508">
        <v>8.7581283824237082E-4</v>
      </c>
      <c r="AF66" s="508"/>
      <c r="AG66" s="508"/>
      <c r="AH66" s="508">
        <v>4.8173139803955838</v>
      </c>
      <c r="AI66" s="508"/>
      <c r="AJ66" s="508"/>
      <c r="AK66" s="508"/>
      <c r="AL66" s="508"/>
      <c r="AM66" s="509"/>
      <c r="AN66" s="510"/>
      <c r="AO66" s="514">
        <v>62.066112125563578</v>
      </c>
      <c r="AP66" s="512"/>
      <c r="AQ66" s="541">
        <f t="shared" si="13"/>
        <v>78.009019861709959</v>
      </c>
    </row>
    <row r="67" spans="1:45" ht="12.75" customHeight="1">
      <c r="A67" s="675" t="s">
        <v>1085</v>
      </c>
      <c r="B67" s="676">
        <v>84</v>
      </c>
      <c r="C67" s="455">
        <f t="shared" si="34"/>
        <v>1.9996992481203005E-3</v>
      </c>
      <c r="D67" s="609">
        <v>1.9996992481203005E-3</v>
      </c>
      <c r="E67" s="612"/>
      <c r="F67" s="612"/>
      <c r="G67" s="613"/>
      <c r="H67" s="459">
        <f t="shared" si="35"/>
        <v>0</v>
      </c>
      <c r="I67" s="677"/>
      <c r="J67" s="461"/>
      <c r="K67" s="678"/>
      <c r="L67" s="459">
        <f t="shared" si="36"/>
        <v>37.49597693290648</v>
      </c>
      <c r="M67" s="677"/>
      <c r="N67" s="612"/>
      <c r="O67" s="458"/>
      <c r="P67" s="612"/>
      <c r="Q67" s="602">
        <v>6.9249999999999998</v>
      </c>
      <c r="R67" s="612"/>
      <c r="S67" s="602">
        <v>0.36191701764689377</v>
      </c>
      <c r="T67" s="602">
        <v>7.4190599152595853</v>
      </c>
      <c r="U67" s="602">
        <v>22.79</v>
      </c>
      <c r="V67" s="602">
        <v>0</v>
      </c>
      <c r="W67" s="612"/>
      <c r="X67" s="612"/>
      <c r="Y67" s="458"/>
      <c r="Z67" s="462"/>
      <c r="AA67" s="615">
        <v>43.318633321580478</v>
      </c>
      <c r="AB67" s="463">
        <f t="shared" si="37"/>
        <v>3.0136719763919984</v>
      </c>
      <c r="AC67" s="464"/>
      <c r="AD67" s="462"/>
      <c r="AE67" s="462">
        <v>3.0136719763919984</v>
      </c>
      <c r="AF67" s="462"/>
      <c r="AG67" s="462"/>
      <c r="AH67" s="462">
        <v>0</v>
      </c>
      <c r="AI67" s="462"/>
      <c r="AJ67" s="462"/>
      <c r="AK67" s="462"/>
      <c r="AL67" s="462"/>
      <c r="AM67" s="458"/>
      <c r="AN67" s="459"/>
      <c r="AO67" s="615">
        <v>90.275166794474018</v>
      </c>
      <c r="AP67" s="463"/>
      <c r="AQ67" s="466">
        <f t="shared" si="13"/>
        <v>174.1054487246011</v>
      </c>
    </row>
    <row r="68" spans="1:45" ht="12.75" customHeight="1">
      <c r="A68" s="453" t="s">
        <v>1086</v>
      </c>
      <c r="B68" s="657">
        <v>85</v>
      </c>
      <c r="C68" s="455">
        <f t="shared" si="34"/>
        <v>0</v>
      </c>
      <c r="D68" s="609">
        <v>0</v>
      </c>
      <c r="E68" s="612"/>
      <c r="F68" s="612"/>
      <c r="G68" s="613"/>
      <c r="H68" s="459">
        <f t="shared" si="35"/>
        <v>0</v>
      </c>
      <c r="I68" s="677"/>
      <c r="J68" s="461"/>
      <c r="K68" s="678"/>
      <c r="L68" s="459">
        <f t="shared" si="36"/>
        <v>63.764873205839493</v>
      </c>
      <c r="M68" s="677"/>
      <c r="N68" s="612"/>
      <c r="O68" s="458"/>
      <c r="P68" s="612"/>
      <c r="Q68" s="602">
        <v>27.067</v>
      </c>
      <c r="R68" s="612"/>
      <c r="S68" s="602">
        <v>5.416806426996796E-2</v>
      </c>
      <c r="T68" s="602">
        <v>17.705705141569517</v>
      </c>
      <c r="U68" s="602">
        <v>18.937999999999999</v>
      </c>
      <c r="V68" s="602">
        <v>0</v>
      </c>
      <c r="W68" s="612"/>
      <c r="X68" s="612"/>
      <c r="Y68" s="458"/>
      <c r="Z68" s="462"/>
      <c r="AA68" s="615">
        <v>27.252039348994288</v>
      </c>
      <c r="AB68" s="463">
        <f t="shared" si="37"/>
        <v>9.8108554139910407</v>
      </c>
      <c r="AC68" s="464"/>
      <c r="AD68" s="462"/>
      <c r="AE68" s="462">
        <v>9.8108554139910407</v>
      </c>
      <c r="AF68" s="462"/>
      <c r="AG68" s="462"/>
      <c r="AH68" s="462">
        <v>0</v>
      </c>
      <c r="AI68" s="462"/>
      <c r="AJ68" s="462"/>
      <c r="AK68" s="462"/>
      <c r="AL68" s="462"/>
      <c r="AM68" s="458"/>
      <c r="AN68" s="459"/>
      <c r="AO68" s="615">
        <v>58.093005834167748</v>
      </c>
      <c r="AP68" s="463"/>
      <c r="AQ68" s="466">
        <f t="shared" si="13"/>
        <v>158.92077380299256</v>
      </c>
    </row>
    <row r="69" spans="1:45" ht="12.75" customHeight="1">
      <c r="A69" s="517" t="s">
        <v>1087</v>
      </c>
      <c r="B69" s="666" t="s">
        <v>1088</v>
      </c>
      <c r="C69" s="635">
        <f t="shared" si="34"/>
        <v>0</v>
      </c>
      <c r="D69" s="526">
        <v>0</v>
      </c>
      <c r="E69" s="618"/>
      <c r="F69" s="618"/>
      <c r="G69" s="619"/>
      <c r="H69" s="637">
        <f t="shared" si="35"/>
        <v>0</v>
      </c>
      <c r="I69" s="679"/>
      <c r="J69" s="524"/>
      <c r="K69" s="680"/>
      <c r="L69" s="637">
        <f t="shared" si="36"/>
        <v>25.607150167052879</v>
      </c>
      <c r="M69" s="679"/>
      <c r="N69" s="618"/>
      <c r="O69" s="522"/>
      <c r="P69" s="618"/>
      <c r="Q69" s="618">
        <v>12.864000000000001</v>
      </c>
      <c r="R69" s="618"/>
      <c r="S69" s="618">
        <v>0.22357602997702461</v>
      </c>
      <c r="T69" s="618">
        <v>3.191574137075853</v>
      </c>
      <c r="U69" s="618">
        <v>9.3279999999999994</v>
      </c>
      <c r="V69" s="618">
        <v>0</v>
      </c>
      <c r="W69" s="618"/>
      <c r="X69" s="618"/>
      <c r="Y69" s="522"/>
      <c r="Z69" s="521"/>
      <c r="AA69" s="527">
        <v>45.247997811450865</v>
      </c>
      <c r="AB69" s="640">
        <f t="shared" si="37"/>
        <v>1.2673011769367108</v>
      </c>
      <c r="AC69" s="641"/>
      <c r="AD69" s="634"/>
      <c r="AE69" s="634">
        <v>1.2673011769367108</v>
      </c>
      <c r="AF69" s="634"/>
      <c r="AG69" s="634"/>
      <c r="AH69" s="634">
        <v>0</v>
      </c>
      <c r="AI69" s="634"/>
      <c r="AJ69" s="634"/>
      <c r="AK69" s="634"/>
      <c r="AL69" s="634"/>
      <c r="AM69" s="636"/>
      <c r="AN69" s="637"/>
      <c r="AO69" s="527">
        <v>39.40495860536587</v>
      </c>
      <c r="AP69" s="640"/>
      <c r="AQ69" s="642">
        <f t="shared" si="13"/>
        <v>111.52740776080631</v>
      </c>
    </row>
    <row r="70" spans="1:45" s="42" customFormat="1" ht="12.75" customHeight="1">
      <c r="A70" s="543" t="s">
        <v>267</v>
      </c>
      <c r="B70" s="544"/>
      <c r="C70" s="545">
        <f>SUM(D70:G70)</f>
        <v>0</v>
      </c>
      <c r="D70" s="681">
        <v>0</v>
      </c>
      <c r="E70" s="682"/>
      <c r="F70" s="683"/>
      <c r="G70" s="683"/>
      <c r="H70" s="549">
        <f>SUM(I70:K70)</f>
        <v>0</v>
      </c>
      <c r="I70" s="681"/>
      <c r="J70" s="684"/>
      <c r="K70" s="682"/>
      <c r="L70" s="549">
        <f>SUM(M70:Z70)</f>
        <v>175.46549158593075</v>
      </c>
      <c r="M70" s="682"/>
      <c r="N70" s="682"/>
      <c r="O70" s="682"/>
      <c r="P70" s="682">
        <v>0</v>
      </c>
      <c r="Q70" s="682">
        <v>0</v>
      </c>
      <c r="R70" s="682"/>
      <c r="S70" s="682"/>
      <c r="T70" s="368">
        <v>0</v>
      </c>
      <c r="U70" s="682">
        <v>175.46549158593075</v>
      </c>
      <c r="V70" s="508"/>
      <c r="W70" s="683"/>
      <c r="X70" s="683"/>
      <c r="Y70" s="683"/>
      <c r="Z70" s="682"/>
      <c r="AA70" s="549">
        <v>0</v>
      </c>
      <c r="AB70" s="550">
        <f>SUM(AC70:AM70)</f>
        <v>0</v>
      </c>
      <c r="AC70" s="685"/>
      <c r="AD70" s="682"/>
      <c r="AE70" s="682"/>
      <c r="AF70" s="682"/>
      <c r="AG70" s="682"/>
      <c r="AH70" s="682"/>
      <c r="AI70" s="682"/>
      <c r="AJ70" s="682"/>
      <c r="AK70" s="681"/>
      <c r="AL70" s="683"/>
      <c r="AM70" s="682"/>
      <c r="AN70" s="549"/>
      <c r="AO70" s="549">
        <v>47.988</v>
      </c>
      <c r="AP70" s="550"/>
      <c r="AQ70" s="540">
        <f t="shared" si="13"/>
        <v>223.45349158593075</v>
      </c>
      <c r="AR70" s="38"/>
      <c r="AS70" s="41"/>
    </row>
    <row r="71" spans="1:45" s="42" customFormat="1" ht="12.75" customHeight="1" thickBot="1">
      <c r="A71" s="686" t="s">
        <v>268</v>
      </c>
      <c r="B71" s="518"/>
      <c r="C71" s="519">
        <f>SUM(D71:G71)</f>
        <v>0</v>
      </c>
      <c r="D71" s="520"/>
      <c r="E71" s="521"/>
      <c r="F71" s="522"/>
      <c r="G71" s="522"/>
      <c r="H71" s="523">
        <f>SUM(I71:K71)</f>
        <v>0</v>
      </c>
      <c r="I71" s="520"/>
      <c r="J71" s="524"/>
      <c r="K71" s="521"/>
      <c r="L71" s="523">
        <f>SUM(M71:Z71)</f>
        <v>27.249865733664667</v>
      </c>
      <c r="M71" s="521"/>
      <c r="N71" s="521"/>
      <c r="O71" s="521"/>
      <c r="P71" s="521"/>
      <c r="Q71" s="521"/>
      <c r="R71" s="521"/>
      <c r="S71" s="521"/>
      <c r="T71" s="521"/>
      <c r="U71" s="644">
        <v>27.249865733664667</v>
      </c>
      <c r="V71" s="521"/>
      <c r="W71" s="522"/>
      <c r="X71" s="522"/>
      <c r="Y71" s="522"/>
      <c r="Z71" s="521"/>
      <c r="AA71" s="523"/>
      <c r="AB71" s="525">
        <f>SUM(AC71:AM71)</f>
        <v>0</v>
      </c>
      <c r="AC71" s="526"/>
      <c r="AD71" s="521"/>
      <c r="AE71" s="521"/>
      <c r="AF71" s="521"/>
      <c r="AG71" s="521"/>
      <c r="AH71" s="521"/>
      <c r="AI71" s="521"/>
      <c r="AJ71" s="521"/>
      <c r="AK71" s="520"/>
      <c r="AL71" s="522"/>
      <c r="AM71" s="521"/>
      <c r="AN71" s="523"/>
      <c r="AO71" s="527"/>
      <c r="AP71" s="525"/>
      <c r="AQ71" s="671">
        <f t="shared" si="13"/>
        <v>27.249865733664667</v>
      </c>
      <c r="AR71" s="38"/>
      <c r="AS71" s="41"/>
    </row>
    <row r="72" spans="1:45" s="42" customFormat="1" ht="12.75" customHeight="1" thickBot="1">
      <c r="A72" s="573" t="s">
        <v>269</v>
      </c>
      <c r="B72" s="574"/>
      <c r="C72" s="575">
        <f t="shared" ref="C72:AP72" si="38">C26-C27-C29</f>
        <v>-2.5795347028326319</v>
      </c>
      <c r="D72" s="576">
        <f t="shared" si="38"/>
        <v>0.17716668219679832</v>
      </c>
      <c r="E72" s="577">
        <f t="shared" si="38"/>
        <v>-3.4486883993195221</v>
      </c>
      <c r="F72" s="581">
        <f t="shared" si="38"/>
        <v>0</v>
      </c>
      <c r="G72" s="581">
        <f t="shared" si="38"/>
        <v>0.69246574229020652</v>
      </c>
      <c r="H72" s="578">
        <f t="shared" si="38"/>
        <v>1.9457250152908045</v>
      </c>
      <c r="I72" s="576">
        <f t="shared" si="38"/>
        <v>-0.45741265470912973</v>
      </c>
      <c r="J72" s="579">
        <f t="shared" si="38"/>
        <v>0</v>
      </c>
      <c r="K72" s="577">
        <f t="shared" si="38"/>
        <v>2.4031376700000067</v>
      </c>
      <c r="L72" s="578">
        <f t="shared" si="38"/>
        <v>2.3431242304332045</v>
      </c>
      <c r="M72" s="577">
        <f t="shared" si="38"/>
        <v>0</v>
      </c>
      <c r="N72" s="577">
        <f t="shared" si="38"/>
        <v>-0.14794174855289199</v>
      </c>
      <c r="O72" s="577">
        <f t="shared" si="38"/>
        <v>-5.2567080980734033</v>
      </c>
      <c r="P72" s="577">
        <f t="shared" si="38"/>
        <v>-25.023756688637718</v>
      </c>
      <c r="Q72" s="577">
        <f t="shared" si="38"/>
        <v>14.717063728640028</v>
      </c>
      <c r="R72" s="577">
        <f t="shared" si="38"/>
        <v>4.1043924247198902</v>
      </c>
      <c r="S72" s="577">
        <f t="shared" si="38"/>
        <v>8.0001198650984477</v>
      </c>
      <c r="T72" s="577">
        <f t="shared" si="38"/>
        <v>6.5570336698137908</v>
      </c>
      <c r="U72" s="577">
        <f t="shared" si="38"/>
        <v>-8.9389207362023626</v>
      </c>
      <c r="V72" s="577">
        <f t="shared" si="38"/>
        <v>0.82532907951215861</v>
      </c>
      <c r="W72" s="581">
        <f t="shared" si="38"/>
        <v>7.506512734116022</v>
      </c>
      <c r="X72" s="581">
        <f t="shared" si="38"/>
        <v>0</v>
      </c>
      <c r="Y72" s="581">
        <f t="shared" si="38"/>
        <v>0</v>
      </c>
      <c r="Z72" s="577">
        <f t="shared" si="38"/>
        <v>0</v>
      </c>
      <c r="AA72" s="578">
        <f t="shared" si="38"/>
        <v>-40.274710307198575</v>
      </c>
      <c r="AB72" s="580">
        <f t="shared" si="38"/>
        <v>-2.4161461805547901</v>
      </c>
      <c r="AC72" s="687">
        <f t="shared" si="38"/>
        <v>0</v>
      </c>
      <c r="AD72" s="577">
        <f t="shared" si="38"/>
        <v>0</v>
      </c>
      <c r="AE72" s="577">
        <f t="shared" si="38"/>
        <v>-4.7196692573067764</v>
      </c>
      <c r="AF72" s="577">
        <f t="shared" si="38"/>
        <v>0</v>
      </c>
      <c r="AG72" s="577">
        <f t="shared" si="38"/>
        <v>0</v>
      </c>
      <c r="AH72" s="577">
        <f t="shared" si="38"/>
        <v>0</v>
      </c>
      <c r="AI72" s="577">
        <f t="shared" si="38"/>
        <v>1.6583711868479725</v>
      </c>
      <c r="AJ72" s="577">
        <f t="shared" si="38"/>
        <v>0.64515188990400674</v>
      </c>
      <c r="AK72" s="576">
        <f t="shared" si="38"/>
        <v>0</v>
      </c>
      <c r="AL72" s="581">
        <f t="shared" si="38"/>
        <v>0</v>
      </c>
      <c r="AM72" s="577">
        <f t="shared" si="38"/>
        <v>0</v>
      </c>
      <c r="AN72" s="578">
        <f t="shared" si="38"/>
        <v>0</v>
      </c>
      <c r="AO72" s="578">
        <f t="shared" si="38"/>
        <v>-35.693844343489218</v>
      </c>
      <c r="AP72" s="580">
        <f t="shared" si="38"/>
        <v>0</v>
      </c>
      <c r="AQ72" s="582">
        <f t="shared" si="13"/>
        <v>-76.675386288351206</v>
      </c>
      <c r="AR72" s="38"/>
      <c r="AS72" s="41"/>
    </row>
    <row r="73" spans="1:45" ht="12.75" customHeight="1">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row>
    <row r="74" spans="1:45" s="42" customFormat="1" ht="15" customHeight="1">
      <c r="A74" s="559" t="s">
        <v>1144</v>
      </c>
      <c r="B74" s="537"/>
      <c r="C74" s="537"/>
      <c r="D74" s="537"/>
      <c r="E74" s="537"/>
      <c r="F74" s="537"/>
      <c r="G74" s="537"/>
      <c r="H74" s="537"/>
      <c r="I74" s="537"/>
      <c r="J74" s="537"/>
      <c r="K74" s="537"/>
      <c r="L74" s="688"/>
      <c r="M74" s="537"/>
      <c r="N74" s="537"/>
      <c r="Q74" s="537"/>
      <c r="R74" s="537"/>
      <c r="S74" s="537"/>
      <c r="T74" s="537"/>
      <c r="U74" s="537"/>
      <c r="V74" s="537"/>
      <c r="W74" s="529"/>
      <c r="Y74" s="537"/>
      <c r="Z74" s="537"/>
      <c r="AA74" s="537"/>
      <c r="AB74" s="537"/>
      <c r="AC74" s="537"/>
      <c r="AD74" s="537"/>
      <c r="AE74" s="537"/>
      <c r="AF74" s="537"/>
      <c r="AG74" s="537"/>
      <c r="AH74" s="537"/>
      <c r="AI74" s="537"/>
      <c r="AJ74" s="537"/>
      <c r="AK74" s="537"/>
      <c r="AL74" s="537"/>
      <c r="AM74" s="537"/>
      <c r="AN74" s="537"/>
      <c r="AO74" s="537"/>
      <c r="AP74" s="537"/>
      <c r="AQ74" s="537"/>
      <c r="AS74" s="41"/>
    </row>
    <row r="75" spans="1:45" ht="12.75" customHeight="1">
      <c r="A75" s="689" t="s">
        <v>1145</v>
      </c>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row>
    <row r="76" spans="1:45" ht="12.75" customHeight="1">
      <c r="A76" s="690" t="s">
        <v>313</v>
      </c>
      <c r="B76" s="691"/>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row>
    <row r="77" spans="1:45" ht="12.75" customHeight="1">
      <c r="A77" s="692" t="s">
        <v>314</v>
      </c>
      <c r="B77" s="689"/>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row>
    <row r="78" spans="1:45" ht="12.75" customHeight="1">
      <c r="A78" s="88" t="s">
        <v>315</v>
      </c>
      <c r="B78" s="689"/>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row>
    <row r="79" spans="1:45" ht="12.75" customHeight="1">
      <c r="A79" s="693" t="s">
        <v>270</v>
      </c>
      <c r="B79" s="89"/>
      <c r="C79" s="89"/>
      <c r="D79" s="89"/>
      <c r="E79" s="694"/>
      <c r="F79" s="695"/>
      <c r="G79" s="695"/>
      <c r="H79" s="696"/>
      <c r="I79" s="695"/>
      <c r="J79" s="695"/>
      <c r="K79" s="695"/>
      <c r="L79" s="696"/>
      <c r="M79" s="695"/>
      <c r="N79" s="695"/>
      <c r="O79" s="695"/>
      <c r="P79" s="695"/>
      <c r="Q79" s="695"/>
      <c r="R79" s="695"/>
      <c r="S79" s="697"/>
      <c r="T79"/>
      <c r="U79" s="697"/>
      <c r="V79" s="697"/>
      <c r="W79" s="695"/>
      <c r="X79" s="695"/>
      <c r="Y79" s="695"/>
      <c r="Z79" s="695"/>
      <c r="AA79" s="696"/>
      <c r="AB79" s="698"/>
      <c r="AC79" s="695"/>
      <c r="AD79" s="695"/>
      <c r="AE79" s="695"/>
      <c r="AF79" s="695"/>
      <c r="AG79" s="695"/>
      <c r="AH79" s="695"/>
      <c r="AI79" s="695"/>
      <c r="AJ79" s="695"/>
      <c r="AK79" s="695"/>
      <c r="AL79" s="695"/>
      <c r="AM79" s="695"/>
      <c r="AN79" s="695"/>
      <c r="AO79" s="696"/>
      <c r="AP79" s="698"/>
      <c r="AQ79" s="695"/>
    </row>
    <row r="80" spans="1:45" ht="12.75" customHeight="1">
      <c r="A80" s="693" t="s">
        <v>271</v>
      </c>
      <c r="B80" s="89"/>
      <c r="C80" s="89"/>
      <c r="D80" s="89"/>
      <c r="E80" s="694"/>
      <c r="F80" s="695"/>
      <c r="G80" s="695"/>
      <c r="H80" s="696"/>
      <c r="I80" s="695"/>
      <c r="J80" s="695"/>
      <c r="K80" s="695"/>
      <c r="L80" s="696"/>
      <c r="M80" s="695"/>
      <c r="N80" s="695"/>
      <c r="O80" s="695"/>
      <c r="P80" s="695"/>
      <c r="Q80" s="695"/>
      <c r="R80" s="695"/>
      <c r="S80" s="697"/>
      <c r="T80"/>
      <c r="U80" s="697"/>
      <c r="V80" s="697"/>
      <c r="W80" s="695"/>
      <c r="X80" s="695"/>
      <c r="Y80" s="695"/>
      <c r="Z80" s="695"/>
      <c r="AA80" s="696"/>
      <c r="AB80" s="698"/>
      <c r="AC80" s="695"/>
      <c r="AD80" s="695"/>
      <c r="AE80" s="695"/>
      <c r="AF80" s="695"/>
      <c r="AG80" s="695"/>
      <c r="AH80" s="695"/>
      <c r="AI80" s="695"/>
      <c r="AJ80" s="695"/>
      <c r="AK80" s="695"/>
      <c r="AL80" s="695"/>
      <c r="AM80" s="695"/>
      <c r="AN80" s="695"/>
      <c r="AO80" s="696"/>
      <c r="AP80" s="698"/>
      <c r="AQ80" s="695"/>
    </row>
  </sheetData>
  <pageMargins left="0.19685039370078741" right="0.19685039370078741" top="0.59055118110236227" bottom="0.78740157480314965" header="0.31496062992125984" footer="0.19685039370078741"/>
  <pageSetup paperSize="9" scale="39" fitToHeight="0" orientation="landscape" cellComments="asDisplayed" r:id="rId1"/>
  <headerFooter alignWithMargins="0">
    <oddHeader>&amp;C&amp;"Myriad Pro,Regular"&amp;14Ireland's Energy Balance &amp;A</oddHeader>
    <oddFooter>&amp;L&amp;G&amp;RPage &amp;P of &amp;N</oddFooter>
  </headerFooter>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DB594-B4FD-497C-BE7D-BED82F83EB9E}">
  <sheetPr codeName="Sheet5"/>
  <dimension ref="A3:AD37"/>
  <sheetViews>
    <sheetView zoomScaleNormal="100" workbookViewId="0">
      <selection activeCell="G26" sqref="G26"/>
    </sheetView>
  </sheetViews>
  <sheetFormatPr defaultColWidth="9.1796875" defaultRowHeight="14.5"/>
  <cols>
    <col min="1" max="1" width="12.1796875" customWidth="1"/>
    <col min="2" max="2" width="11.7265625" customWidth="1"/>
    <col min="3" max="3" width="3.1796875" bestFit="1" customWidth="1"/>
    <col min="4" max="4" width="8.54296875" bestFit="1" customWidth="1"/>
    <col min="5" max="5" width="6.453125" bestFit="1" customWidth="1"/>
    <col min="6" max="6" width="4.81640625" bestFit="1" customWidth="1"/>
    <col min="7" max="7" width="5.7265625" bestFit="1" customWidth="1"/>
    <col min="8" max="8" width="5.81640625" bestFit="1" customWidth="1"/>
    <col min="9" max="9" width="5.453125" bestFit="1" customWidth="1"/>
    <col min="10" max="11" width="5.7265625" bestFit="1" customWidth="1"/>
    <col min="12" max="12" width="6.54296875" bestFit="1" customWidth="1"/>
    <col min="13" max="13" width="6.1796875" bestFit="1" customWidth="1"/>
    <col min="14" max="14" width="6.7265625" bestFit="1" customWidth="1"/>
    <col min="15" max="15" width="6.54296875" bestFit="1" customWidth="1"/>
    <col min="16" max="16" width="7.26953125" bestFit="1" customWidth="1"/>
    <col min="17" max="17" width="5.7265625" bestFit="1" customWidth="1"/>
    <col min="18" max="18" width="6.1796875" bestFit="1" customWidth="1"/>
    <col min="19" max="19" width="5.7265625" bestFit="1" customWidth="1"/>
    <col min="20" max="20" width="5.54296875" bestFit="1" customWidth="1"/>
    <col min="21" max="21" width="5.81640625" bestFit="1" customWidth="1"/>
    <col min="22" max="22" width="6.7265625" bestFit="1" customWidth="1"/>
    <col min="23" max="23" width="4.81640625" bestFit="1" customWidth="1"/>
    <col min="24" max="24" width="7.54296875" customWidth="1"/>
    <col min="25" max="25" width="6.7265625" bestFit="1" customWidth="1"/>
    <col min="26" max="26" width="6.1796875" bestFit="1" customWidth="1"/>
    <col min="27" max="28" width="6" bestFit="1" customWidth="1"/>
    <col min="29" max="29" width="5.7265625" bestFit="1" customWidth="1"/>
    <col min="30" max="30" width="6.7265625" bestFit="1" customWidth="1"/>
  </cols>
  <sheetData>
    <row r="3" spans="1:30">
      <c r="C3" s="308" t="str" cm="1">
        <f t="array" ref="C3">IF(LEFT(INDEX(C5:C7,$A$4),1)&lt;&gt;"*",INDEX(C5:C7,$A$4),"")</f>
        <v>IE</v>
      </c>
      <c r="D3" s="308" t="str" cm="1">
        <f t="array" ref="D3">IF(LEFT(INDEX(D5:D7,$A$4),1)&lt;&gt;"*",INDEX(D5:D7,$A$4),"")</f>
        <v/>
      </c>
      <c r="E3" s="308" t="str" cm="1">
        <f t="array" ref="E3">IF(LEFT(INDEX(E5:E7,$A$4),1)&lt;&gt;"*",INDEX(E5:E7,$A$4),"")</f>
        <v>IE-CW</v>
      </c>
      <c r="F3" s="308" t="str" cm="1">
        <f t="array" ref="F3">IF(LEFT(INDEX(F5:F7,$A$4),1)&lt;&gt;"*",INDEX(F5:F7,$A$4),"")</f>
        <v>IE-D</v>
      </c>
      <c r="G3" s="308" t="str" cm="1">
        <f t="array" ref="G3">IF(LEFT(INDEX(G5:G7,$A$4),1)&lt;&gt;"*",INDEX(G5:G7,$A$4),"")</f>
        <v>IE-KE</v>
      </c>
      <c r="H3" s="308" t="str" cm="1">
        <f t="array" ref="H3">IF(LEFT(INDEX(H5:H7,$A$4),1)&lt;&gt;"*",INDEX(H5:H7,$A$4),"")</f>
        <v>IE-KK</v>
      </c>
      <c r="I3" s="308" t="str" cm="1">
        <f t="array" ref="I3">IF(LEFT(INDEX(I5:I7,$A$4),1)&lt;&gt;"*",INDEX(I5:I7,$A$4),"")</f>
        <v>IE-LS</v>
      </c>
      <c r="J3" s="308" t="str" cm="1">
        <f t="array" ref="J3">IF(LEFT(INDEX(J5:J7,$A$4),1)&lt;&gt;"*",INDEX(J5:J7,$A$4),"")</f>
        <v>IE-LD</v>
      </c>
      <c r="K3" s="308" t="str" cm="1">
        <f t="array" ref="K3">IF(LEFT(INDEX(K5:K7,$A$4),1)&lt;&gt;"*",INDEX(K5:K7,$A$4),"")</f>
        <v>IE-LH</v>
      </c>
      <c r="L3" s="308" t="str" cm="1">
        <f t="array" ref="L3">IF(LEFT(INDEX(L5:L7,$A$4),1)&lt;&gt;"*",INDEX(L5:L7,$A$4),"")</f>
        <v>IE-MH</v>
      </c>
      <c r="M3" s="308" t="str" cm="1">
        <f t="array" ref="M3">IF(LEFT(INDEX(M5:M7,$A$4),1)&lt;&gt;"*",INDEX(M5:M7,$A$4),"")</f>
        <v>IE-OY</v>
      </c>
      <c r="N3" s="308" t="str" cm="1">
        <f t="array" ref="N3">IF(LEFT(INDEX(N5:N7,$A$4),1)&lt;&gt;"*",INDEX(N5:N7,$A$4),"")</f>
        <v>IE-WH</v>
      </c>
      <c r="O3" s="308" t="str" cm="1">
        <f t="array" ref="O3">IF(LEFT(INDEX(O5:O7,$A$4),1)&lt;&gt;"*",INDEX(O5:O7,$A$4),"")</f>
        <v>IE-WX</v>
      </c>
      <c r="P3" s="308" t="str" cm="1">
        <f t="array" ref="P3">IF(LEFT(INDEX(P5:P7,$A$4),1)&lt;&gt;"*",INDEX(P5:P7,$A$4),"")</f>
        <v>IE-WW</v>
      </c>
      <c r="Q3" s="308" t="str" cm="1">
        <f t="array" ref="Q3">IF(LEFT(INDEX(Q5:Q7,$A$4),1)&lt;&gt;"*",INDEX(Q5:Q7,$A$4),"")</f>
        <v>IE-CE</v>
      </c>
      <c r="R3" s="308" t="str" cm="1">
        <f t="array" ref="R3">IF(LEFT(INDEX(R5:R7,$A$4),1)&lt;&gt;"*",INDEX(R5:R7,$A$4),"")</f>
        <v>IE-CO</v>
      </c>
      <c r="S3" s="308" t="str" cm="1">
        <f t="array" ref="S3">IF(LEFT(INDEX(S5:S7,$A$4),1)&lt;&gt;"*",INDEX(S5:S7,$A$4),"")</f>
        <v>IE-KY</v>
      </c>
      <c r="T3" s="308" t="str" cm="1">
        <f t="array" ref="T3">IF(LEFT(INDEX(T5:T7,$A$4),1)&lt;&gt;"*",INDEX(T5:T7,$A$4),"")</f>
        <v>IE-LK</v>
      </c>
      <c r="U3" s="308" t="str" cm="1">
        <f t="array" ref="U3">IF(LEFT(INDEX(U5:U7,$A$4),1)&lt;&gt;"*",INDEX(U5:U7,$A$4),"")</f>
        <v>IE-TA</v>
      </c>
      <c r="V3" s="308" t="str" cm="1">
        <f t="array" ref="V3">IF(LEFT(INDEX(V5:V7,$A$4),1)&lt;&gt;"*",INDEX(V5:V7,$A$4),"")</f>
        <v>IE-WD</v>
      </c>
      <c r="W3" s="308" t="str" cm="1">
        <f t="array" ref="W3">IF(LEFT(INDEX(W5:W7,$A$4),1)&lt;&gt;"*",INDEX(W5:W7,$A$4),"")</f>
        <v>IE-G</v>
      </c>
      <c r="X3" s="308" t="str" cm="1">
        <f t="array" ref="X3">IF(LEFT(INDEX(X5:X7,$A$4),1)&lt;&gt;"*",INDEX(X5:X7,$A$4),"")</f>
        <v>IE-LM</v>
      </c>
      <c r="Y3" s="308" t="str" cm="1">
        <f t="array" ref="Y3">IF(LEFT(INDEX(Y5:Y7,$A$4),1)&lt;&gt;"*",INDEX(Y5:Y7,$A$4),"")</f>
        <v>IE-MO</v>
      </c>
      <c r="Z3" s="308" t="str" cm="1">
        <f t="array" ref="Z3">IF(LEFT(INDEX(Z5:Z7,$A$4),1)&lt;&gt;"*",INDEX(Z5:Z7,$A$4),"")</f>
        <v>IE-RN</v>
      </c>
      <c r="AA3" s="308" t="str" cm="1">
        <f t="array" ref="AA3">IF(LEFT(INDEX(AA5:AA7,$A$4),1)&lt;&gt;"*",INDEX(AA5:AA7,$A$4),"")</f>
        <v>IE-SO</v>
      </c>
      <c r="AB3" s="308" t="str" cm="1">
        <f t="array" ref="AB3">IF(LEFT(INDEX(AB5:AB7,$A$4),1)&lt;&gt;"*",INDEX(AB5:AB7,$A$4),"")</f>
        <v>IE-CN</v>
      </c>
      <c r="AC3" s="308" t="str" cm="1">
        <f t="array" ref="AC3">IF(LEFT(INDEX(AC5:AC7,$A$4),1)&lt;&gt;"*",INDEX(AC5:AC7,$A$4),"")</f>
        <v>IE-DL</v>
      </c>
      <c r="AD3" s="308" t="str" cm="1">
        <f t="array" ref="AD3">IF(LEFT(INDEX(AD5:AD7,$A$4),1)&lt;&gt;"*",INDEX(AD5:AD7,$A$4),"")</f>
        <v>IE-MN</v>
      </c>
    </row>
    <row r="4" spans="1:30">
      <c r="A4">
        <v>1</v>
      </c>
    </row>
    <row r="5" spans="1:30">
      <c r="A5" t="s">
        <v>898</v>
      </c>
      <c r="C5" s="82" t="s">
        <v>897</v>
      </c>
      <c r="D5" s="82" t="s">
        <v>1092</v>
      </c>
      <c r="E5" s="308" t="str">
        <f>Regions!A11</f>
        <v>IE-CW</v>
      </c>
      <c r="F5" s="308" t="str">
        <f>Regions!A16</f>
        <v>IE-D</v>
      </c>
      <c r="G5" s="308" t="str">
        <f>Regions!A19</f>
        <v>IE-KE</v>
      </c>
      <c r="H5" s="308" t="str">
        <f>Regions!A20</f>
        <v>IE-KK</v>
      </c>
      <c r="I5" s="308" t="str">
        <f>Regions!A21</f>
        <v>IE-LS</v>
      </c>
      <c r="J5" s="308" t="str">
        <f>Regions!A24</f>
        <v>IE-LD</v>
      </c>
      <c r="K5" s="308" t="str">
        <f>Regions!A25</f>
        <v>IE-LH</v>
      </c>
      <c r="L5" s="308" t="str">
        <f>Regions!A27</f>
        <v>IE-MH</v>
      </c>
      <c r="M5" s="308" t="str">
        <f>Regions!A29</f>
        <v>IE-OY</v>
      </c>
      <c r="N5" s="308" t="str">
        <f>Regions!A34</f>
        <v>IE-WH</v>
      </c>
      <c r="O5" s="308" t="str">
        <f>Regions!A35</f>
        <v>IE-WX</v>
      </c>
      <c r="P5" s="308" t="str">
        <f>Regions!A36</f>
        <v>IE-WW</v>
      </c>
      <c r="Q5" s="308" t="str">
        <f>Regions!A13</f>
        <v>IE-CE</v>
      </c>
      <c r="R5" s="308" t="str">
        <f>Regions!A14</f>
        <v>IE-CO</v>
      </c>
      <c r="S5" s="308" t="str">
        <f>Regions!A18</f>
        <v>IE-KY</v>
      </c>
      <c r="T5" s="308" t="str">
        <f>Regions!A23</f>
        <v>IE-LK</v>
      </c>
      <c r="U5" s="308" t="str">
        <f>Regions!A32</f>
        <v>IE-TA</v>
      </c>
      <c r="V5" s="308" t="str">
        <f>Regions!A33</f>
        <v>IE-WD</v>
      </c>
      <c r="W5" s="308" t="str">
        <f>Regions!A17</f>
        <v>IE-G</v>
      </c>
      <c r="X5" s="308" t="str">
        <f>Regions!A22</f>
        <v>IE-LM</v>
      </c>
      <c r="Y5" s="308" t="str">
        <f>Regions!A26</f>
        <v>IE-MO</v>
      </c>
      <c r="Z5" s="308" t="str">
        <f>Regions!A30</f>
        <v>IE-RN</v>
      </c>
      <c r="AA5" s="308" t="str">
        <f>Regions!A31</f>
        <v>IE-SO</v>
      </c>
      <c r="AB5" s="308" t="str">
        <f>Regions!A12</f>
        <v>IE-CN</v>
      </c>
      <c r="AC5" s="308" t="str">
        <f>Regions!A15</f>
        <v>IE-DL</v>
      </c>
      <c r="AD5" s="308" t="str">
        <f>Regions!A28</f>
        <v>IE-MN</v>
      </c>
    </row>
    <row r="6" spans="1:30">
      <c r="A6" t="s">
        <v>829</v>
      </c>
      <c r="C6" s="308" t="str">
        <f>C5</f>
        <v>IE</v>
      </c>
      <c r="D6" s="308" t="str">
        <f>IF(LEFT(D5,1)&lt;&gt;"*","*"&amp;D5,D5)</f>
        <v>*National</v>
      </c>
      <c r="E6" s="308" t="str">
        <f t="shared" ref="E6:AD6" si="0">IF(LEFT(E5,1)&lt;&gt;"*","*"&amp;E5,E5)</f>
        <v>*IE-CW</v>
      </c>
      <c r="F6" s="308" t="str">
        <f t="shared" si="0"/>
        <v>*IE-D</v>
      </c>
      <c r="G6" s="308" t="str">
        <f t="shared" si="0"/>
        <v>*IE-KE</v>
      </c>
      <c r="H6" s="308" t="str">
        <f t="shared" si="0"/>
        <v>*IE-KK</v>
      </c>
      <c r="I6" s="308" t="str">
        <f t="shared" si="0"/>
        <v>*IE-LS</v>
      </c>
      <c r="J6" s="308" t="str">
        <f t="shared" si="0"/>
        <v>*IE-LD</v>
      </c>
      <c r="K6" s="308" t="str">
        <f t="shared" si="0"/>
        <v>*IE-LH</v>
      </c>
      <c r="L6" s="308" t="str">
        <f t="shared" si="0"/>
        <v>*IE-MH</v>
      </c>
      <c r="M6" s="308" t="str">
        <f t="shared" si="0"/>
        <v>*IE-OY</v>
      </c>
      <c r="N6" s="308" t="str">
        <f t="shared" si="0"/>
        <v>*IE-WH</v>
      </c>
      <c r="O6" s="308" t="str">
        <f t="shared" si="0"/>
        <v>*IE-WX</v>
      </c>
      <c r="P6" s="308" t="str">
        <f t="shared" si="0"/>
        <v>*IE-WW</v>
      </c>
      <c r="Q6" s="308" t="str">
        <f t="shared" si="0"/>
        <v>*IE-CE</v>
      </c>
      <c r="R6" s="308" t="str">
        <f t="shared" si="0"/>
        <v>*IE-CO</v>
      </c>
      <c r="S6" s="308" t="str">
        <f t="shared" si="0"/>
        <v>*IE-KY</v>
      </c>
      <c r="T6" s="308" t="str">
        <f t="shared" si="0"/>
        <v>*IE-LK</v>
      </c>
      <c r="U6" s="308" t="str">
        <f t="shared" si="0"/>
        <v>*IE-TA</v>
      </c>
      <c r="V6" s="308" t="str">
        <f t="shared" si="0"/>
        <v>*IE-WD</v>
      </c>
      <c r="W6" s="308" t="str">
        <f t="shared" si="0"/>
        <v>*IE-G</v>
      </c>
      <c r="X6" s="308" t="str">
        <f t="shared" si="0"/>
        <v>*IE-LM</v>
      </c>
      <c r="Y6" s="308" t="str">
        <f t="shared" si="0"/>
        <v>*IE-MO</v>
      </c>
      <c r="Z6" s="308" t="str">
        <f t="shared" si="0"/>
        <v>*IE-RN</v>
      </c>
      <c r="AA6" s="308" t="str">
        <f t="shared" si="0"/>
        <v>*IE-SO</v>
      </c>
      <c r="AB6" s="308" t="str">
        <f t="shared" si="0"/>
        <v>*IE-CN</v>
      </c>
      <c r="AC6" s="308" t="str">
        <f t="shared" si="0"/>
        <v>*IE-DL</v>
      </c>
      <c r="AD6" s="308" t="str">
        <f t="shared" si="0"/>
        <v>*IE-MN</v>
      </c>
    </row>
    <row r="7" spans="1:30">
      <c r="A7" t="s">
        <v>830</v>
      </c>
      <c r="C7" s="308" t="str">
        <f>"*"&amp;C5</f>
        <v>*IE</v>
      </c>
      <c r="D7" s="308" t="str">
        <f>D5</f>
        <v>*National</v>
      </c>
      <c r="E7" s="308" t="str">
        <f t="shared" ref="E7:AD7" si="1">E5</f>
        <v>IE-CW</v>
      </c>
      <c r="F7" s="308" t="str">
        <f t="shared" si="1"/>
        <v>IE-D</v>
      </c>
      <c r="G7" s="308" t="str">
        <f t="shared" si="1"/>
        <v>IE-KE</v>
      </c>
      <c r="H7" s="308" t="str">
        <f t="shared" si="1"/>
        <v>IE-KK</v>
      </c>
      <c r="I7" s="308" t="str">
        <f t="shared" si="1"/>
        <v>IE-LS</v>
      </c>
      <c r="J7" s="308" t="str">
        <f t="shared" si="1"/>
        <v>IE-LD</v>
      </c>
      <c r="K7" s="308" t="str">
        <f t="shared" si="1"/>
        <v>IE-LH</v>
      </c>
      <c r="L7" s="308" t="str">
        <f t="shared" si="1"/>
        <v>IE-MH</v>
      </c>
      <c r="M7" s="308" t="str">
        <f t="shared" si="1"/>
        <v>IE-OY</v>
      </c>
      <c r="N7" s="308" t="str">
        <f t="shared" si="1"/>
        <v>IE-WH</v>
      </c>
      <c r="O7" s="308" t="str">
        <f t="shared" si="1"/>
        <v>IE-WX</v>
      </c>
      <c r="P7" s="308" t="str">
        <f t="shared" si="1"/>
        <v>IE-WW</v>
      </c>
      <c r="Q7" s="308" t="str">
        <f t="shared" si="1"/>
        <v>IE-CE</v>
      </c>
      <c r="R7" s="308" t="str">
        <f t="shared" si="1"/>
        <v>IE-CO</v>
      </c>
      <c r="S7" s="308" t="str">
        <f t="shared" si="1"/>
        <v>IE-KY</v>
      </c>
      <c r="T7" s="308" t="str">
        <f t="shared" si="1"/>
        <v>IE-LK</v>
      </c>
      <c r="U7" s="308" t="str">
        <f t="shared" si="1"/>
        <v>IE-TA</v>
      </c>
      <c r="V7" s="308" t="str">
        <f t="shared" si="1"/>
        <v>IE-WD</v>
      </c>
      <c r="W7" s="308" t="str">
        <f t="shared" si="1"/>
        <v>IE-G</v>
      </c>
      <c r="X7" s="308" t="str">
        <f t="shared" si="1"/>
        <v>IE-LM</v>
      </c>
      <c r="Y7" s="308" t="str">
        <f t="shared" si="1"/>
        <v>IE-MO</v>
      </c>
      <c r="Z7" s="308" t="str">
        <f t="shared" si="1"/>
        <v>IE-RN</v>
      </c>
      <c r="AA7" s="308" t="str">
        <f t="shared" si="1"/>
        <v>IE-SO</v>
      </c>
      <c r="AB7" s="308" t="str">
        <f t="shared" si="1"/>
        <v>IE-CN</v>
      </c>
      <c r="AC7" s="308" t="str">
        <f t="shared" si="1"/>
        <v>IE-DL</v>
      </c>
      <c r="AD7" s="308" t="str">
        <f t="shared" si="1"/>
        <v>IE-MN</v>
      </c>
    </row>
    <row r="10" spans="1:30" ht="15" thickBot="1">
      <c r="A10" s="281" t="s">
        <v>826</v>
      </c>
      <c r="B10" s="281" t="s">
        <v>827</v>
      </c>
    </row>
    <row r="11" spans="1:30">
      <c r="A11" s="71" t="s">
        <v>800</v>
      </c>
      <c r="B11" s="71" t="s">
        <v>344</v>
      </c>
    </row>
    <row r="12" spans="1:30">
      <c r="A12" s="90" t="s">
        <v>801</v>
      </c>
      <c r="B12" s="90" t="s">
        <v>367</v>
      </c>
    </row>
    <row r="13" spans="1:30">
      <c r="A13" s="90" t="s">
        <v>802</v>
      </c>
      <c r="B13" s="90" t="s">
        <v>356</v>
      </c>
    </row>
    <row r="14" spans="1:30">
      <c r="A14" s="90" t="s">
        <v>803</v>
      </c>
      <c r="B14" s="90" t="s">
        <v>357</v>
      </c>
    </row>
    <row r="15" spans="1:30">
      <c r="A15" s="90" t="s">
        <v>804</v>
      </c>
      <c r="B15" s="90" t="s">
        <v>368</v>
      </c>
    </row>
    <row r="16" spans="1:30">
      <c r="A16" s="90" t="s">
        <v>805</v>
      </c>
      <c r="B16" s="90" t="s">
        <v>345</v>
      </c>
    </row>
    <row r="17" spans="1:2">
      <c r="A17" s="90" t="s">
        <v>806</v>
      </c>
      <c r="B17" s="90" t="s">
        <v>362</v>
      </c>
    </row>
    <row r="18" spans="1:2">
      <c r="A18" s="90" t="s">
        <v>807</v>
      </c>
      <c r="B18" s="90" t="s">
        <v>358</v>
      </c>
    </row>
    <row r="19" spans="1:2">
      <c r="A19" s="90" t="s">
        <v>808</v>
      </c>
      <c r="B19" s="90" t="s">
        <v>346</v>
      </c>
    </row>
    <row r="20" spans="1:2">
      <c r="A20" s="90" t="s">
        <v>809</v>
      </c>
      <c r="B20" s="90" t="s">
        <v>347</v>
      </c>
    </row>
    <row r="21" spans="1:2">
      <c r="A21" s="90" t="s">
        <v>810</v>
      </c>
      <c r="B21" s="90" t="s">
        <v>348</v>
      </c>
    </row>
    <row r="22" spans="1:2">
      <c r="A22" s="90" t="s">
        <v>811</v>
      </c>
      <c r="B22" s="90" t="s">
        <v>363</v>
      </c>
    </row>
    <row r="23" spans="1:2">
      <c r="A23" s="90" t="s">
        <v>812</v>
      </c>
      <c r="B23" s="90" t="s">
        <v>359</v>
      </c>
    </row>
    <row r="24" spans="1:2">
      <c r="A24" s="90" t="s">
        <v>813</v>
      </c>
      <c r="B24" s="90" t="s">
        <v>349</v>
      </c>
    </row>
    <row r="25" spans="1:2">
      <c r="A25" s="90" t="s">
        <v>814</v>
      </c>
      <c r="B25" s="90" t="s">
        <v>350</v>
      </c>
    </row>
    <row r="26" spans="1:2">
      <c r="A26" s="90" t="s">
        <v>815</v>
      </c>
      <c r="B26" s="90" t="s">
        <v>364</v>
      </c>
    </row>
    <row r="27" spans="1:2">
      <c r="A27" s="90" t="s">
        <v>816</v>
      </c>
      <c r="B27" s="90" t="s">
        <v>351</v>
      </c>
    </row>
    <row r="28" spans="1:2">
      <c r="A28" s="90" t="s">
        <v>817</v>
      </c>
      <c r="B28" s="90" t="s">
        <v>369</v>
      </c>
    </row>
    <row r="29" spans="1:2">
      <c r="A29" s="90" t="s">
        <v>818</v>
      </c>
      <c r="B29" s="90" t="s">
        <v>352</v>
      </c>
    </row>
    <row r="30" spans="1:2">
      <c r="A30" s="90" t="s">
        <v>819</v>
      </c>
      <c r="B30" s="90" t="s">
        <v>365</v>
      </c>
    </row>
    <row r="31" spans="1:2">
      <c r="A31" s="90" t="s">
        <v>820</v>
      </c>
      <c r="B31" s="90" t="s">
        <v>366</v>
      </c>
    </row>
    <row r="32" spans="1:2">
      <c r="A32" s="90" t="s">
        <v>821</v>
      </c>
      <c r="B32" s="90" t="s">
        <v>360</v>
      </c>
    </row>
    <row r="33" spans="1:2">
      <c r="A33" s="90" t="s">
        <v>822</v>
      </c>
      <c r="B33" s="90" t="s">
        <v>361</v>
      </c>
    </row>
    <row r="34" spans="1:2">
      <c r="A34" s="90" t="s">
        <v>823</v>
      </c>
      <c r="B34" s="90" t="s">
        <v>353</v>
      </c>
    </row>
    <row r="35" spans="1:2">
      <c r="A35" s="90" t="s">
        <v>824</v>
      </c>
      <c r="B35" s="90" t="s">
        <v>354</v>
      </c>
    </row>
    <row r="36" spans="1:2">
      <c r="A36" s="90" t="s">
        <v>825</v>
      </c>
      <c r="B36" s="90" t="s">
        <v>355</v>
      </c>
    </row>
    <row r="37" spans="1:2">
      <c r="A37" s="280" t="s">
        <v>828</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65921" r:id="rId4" name="Drop Down 1">
              <controlPr defaultSize="0" autoLine="0" autoPict="0">
                <anchor moveWithCells="1">
                  <from>
                    <xdr:col>0</xdr:col>
                    <xdr:colOff>0</xdr:colOff>
                    <xdr:row>2</xdr:row>
                    <xdr:rowOff>0</xdr:rowOff>
                  </from>
                  <to>
                    <xdr:col>1</xdr:col>
                    <xdr:colOff>19050</xdr:colOff>
                    <xdr:row>3</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K115"/>
  <sheetViews>
    <sheetView zoomScale="85" zoomScaleNormal="85" workbookViewId="0">
      <selection activeCell="G22" sqref="G22:I22"/>
    </sheetView>
  </sheetViews>
  <sheetFormatPr defaultRowHeight="14.5"/>
  <cols>
    <col min="1" max="2" width="16.26953125" customWidth="1"/>
    <col min="3" max="3" width="12" bestFit="1" customWidth="1"/>
    <col min="4" max="4" width="51.81640625" bestFit="1" customWidth="1"/>
    <col min="5" max="6" width="8.81640625" customWidth="1"/>
    <col min="7" max="7" width="10.7265625" customWidth="1"/>
    <col min="8" max="8" width="11" customWidth="1"/>
    <col min="9" max="9" width="10.453125" customWidth="1"/>
    <col min="12" max="12" width="26" bestFit="1" customWidth="1"/>
    <col min="13" max="13" width="60.26953125" bestFit="1" customWidth="1"/>
  </cols>
  <sheetData>
    <row r="1" spans="1:9" ht="21">
      <c r="A1" s="20" t="s">
        <v>91</v>
      </c>
      <c r="B1" s="20"/>
      <c r="C1" s="19"/>
    </row>
    <row r="3" spans="1:9">
      <c r="A3" s="122" t="s">
        <v>58</v>
      </c>
      <c r="B3" s="122"/>
      <c r="C3" s="37"/>
      <c r="D3" s="37"/>
      <c r="E3" s="34"/>
      <c r="F3" s="37"/>
      <c r="G3" s="37"/>
      <c r="H3" s="37"/>
      <c r="I3" s="37"/>
    </row>
    <row r="4" spans="1:9">
      <c r="A4" s="123" t="s">
        <v>60</v>
      </c>
      <c r="B4" s="123" t="s">
        <v>768</v>
      </c>
      <c r="C4" s="123" t="s">
        <v>61</v>
      </c>
      <c r="D4" s="123" t="s">
        <v>62</v>
      </c>
      <c r="E4" s="123" t="s">
        <v>63</v>
      </c>
      <c r="F4" s="123" t="s">
        <v>64</v>
      </c>
      <c r="G4" s="123" t="s">
        <v>65</v>
      </c>
      <c r="H4" s="123" t="s">
        <v>66</v>
      </c>
      <c r="I4" s="123" t="s">
        <v>67</v>
      </c>
    </row>
    <row r="5" spans="1:9" ht="29">
      <c r="A5" s="155" t="s">
        <v>440</v>
      </c>
      <c r="B5" s="155" t="s">
        <v>768</v>
      </c>
      <c r="C5" s="155" t="s">
        <v>441</v>
      </c>
      <c r="D5" s="155" t="s">
        <v>442</v>
      </c>
      <c r="E5" s="155" t="s">
        <v>63</v>
      </c>
      <c r="F5" s="155" t="s">
        <v>443</v>
      </c>
      <c r="G5" s="155" t="s">
        <v>444</v>
      </c>
      <c r="H5" s="155" t="s">
        <v>445</v>
      </c>
      <c r="I5" s="155" t="s">
        <v>446</v>
      </c>
    </row>
    <row r="6" spans="1:9">
      <c r="A6" s="37" t="s">
        <v>83</v>
      </c>
      <c r="B6" s="37" t="str">
        <f>_xlfn.TEXTJOIN(",",TRUE,Regions!$C$3:'Regions'!$AD$3)</f>
        <v>IE,IE-CW,IE-D,IE-KE,IE-KK,IE-LS,IE-LD,IE-LH,IE-MH,IE-OY,IE-WH,IE-WX,IE-WW,IE-CE,IE-CO,IE-KY,IE-LK,IE-TA,IE-WD,IE-G,IE-LM,IE-MO,IE-RN,IE-SO,IE-CN,IE-DL,IE-MN</v>
      </c>
      <c r="C6" s="318" t="s">
        <v>450</v>
      </c>
      <c r="D6" s="318" t="s">
        <v>920</v>
      </c>
      <c r="E6" s="37" t="s">
        <v>86</v>
      </c>
      <c r="F6" s="37"/>
      <c r="G6" s="37"/>
      <c r="H6" s="37"/>
      <c r="I6" s="37"/>
    </row>
    <row r="7" spans="1:9">
      <c r="A7" s="37"/>
      <c r="B7" s="37" t="str">
        <f>_xlfn.TEXTJOIN(",",TRUE,Regions!$C$3:'Regions'!$AD$3)</f>
        <v>IE,IE-CW,IE-D,IE-KE,IE-KK,IE-LS,IE-LD,IE-LH,IE-MH,IE-OY,IE-WH,IE-WX,IE-WW,IE-CE,IE-CO,IE-KY,IE-LK,IE-TA,IE-WD,IE-G,IE-LM,IE-MO,IE-RN,IE-SO,IE-CN,IE-DL,IE-MN</v>
      </c>
      <c r="C7" s="318" t="s">
        <v>449</v>
      </c>
      <c r="D7" s="318" t="s">
        <v>921</v>
      </c>
      <c r="E7" s="37" t="s">
        <v>86</v>
      </c>
      <c r="F7" s="37"/>
      <c r="G7" s="37"/>
      <c r="H7" s="37"/>
      <c r="I7" s="37"/>
    </row>
    <row r="8" spans="1:9">
      <c r="B8" s="37" t="str">
        <f>_xlfn.TEXTJOIN(",",TRUE,Regions!$C$3:'Regions'!$AD$3)</f>
        <v>IE,IE-CW,IE-D,IE-KE,IE-KK,IE-LS,IE-LD,IE-LH,IE-MH,IE-OY,IE-WH,IE-WX,IE-WW,IE-CE,IE-CO,IE-KY,IE-LK,IE-TA,IE-WD,IE-G,IE-LM,IE-MO,IE-RN,IE-SO,IE-CN,IE-DL,IE-MN</v>
      </c>
      <c r="C8" s="318" t="s">
        <v>81</v>
      </c>
      <c r="D8" s="318" t="s">
        <v>922</v>
      </c>
      <c r="E8" s="37" t="s">
        <v>86</v>
      </c>
      <c r="F8" s="37" t="s">
        <v>1153</v>
      </c>
      <c r="G8" s="37"/>
      <c r="H8" s="37"/>
      <c r="I8" s="37"/>
    </row>
    <row r="9" spans="1:9">
      <c r="A9" s="37"/>
      <c r="B9" s="37" t="str">
        <f>_xlfn.TEXTJOIN(",",TRUE,Regions!$C$3:'Regions'!$AD$3)</f>
        <v>IE,IE-CW,IE-D,IE-KE,IE-KK,IE-LS,IE-LD,IE-LH,IE-MH,IE-OY,IE-WH,IE-WX,IE-WW,IE-CE,IE-CO,IE-KY,IE-LK,IE-TA,IE-WD,IE-G,IE-LM,IE-MO,IE-RN,IE-SO,IE-CN,IE-DL,IE-MN</v>
      </c>
      <c r="C9" s="318" t="s">
        <v>84</v>
      </c>
      <c r="D9" s="318" t="s">
        <v>923</v>
      </c>
      <c r="E9" s="37" t="s">
        <v>86</v>
      </c>
      <c r="F9" s="37" t="s">
        <v>1153</v>
      </c>
      <c r="G9" s="37"/>
      <c r="H9" s="37"/>
      <c r="I9" s="37"/>
    </row>
    <row r="10" spans="1:9">
      <c r="A10" s="37"/>
      <c r="B10" s="37" t="str">
        <f>_xlfn.TEXTJOIN(",",TRUE,Regions!$C$3:'Regions'!$AD$3)</f>
        <v>IE,IE-CW,IE-D,IE-KE,IE-KK,IE-LS,IE-LD,IE-LH,IE-MH,IE-OY,IE-WH,IE-WX,IE-WW,IE-CE,IE-CO,IE-KY,IE-LK,IE-TA,IE-WD,IE-G,IE-LM,IE-MO,IE-RN,IE-SO,IE-CN,IE-DL,IE-MN</v>
      </c>
      <c r="C10" s="318" t="s">
        <v>208</v>
      </c>
      <c r="D10" s="318" t="s">
        <v>924</v>
      </c>
      <c r="E10" s="37" t="s">
        <v>86</v>
      </c>
      <c r="F10" s="37" t="s">
        <v>1153</v>
      </c>
      <c r="G10" s="37"/>
      <c r="H10" s="37"/>
      <c r="I10" s="37"/>
    </row>
    <row r="11" spans="1:9">
      <c r="A11" s="37"/>
      <c r="B11" s="37" t="str">
        <f>_xlfn.TEXTJOIN(",",TRUE,Regions!$C$3:'Regions'!$AD$3)</f>
        <v>IE,IE-CW,IE-D,IE-KE,IE-KK,IE-LS,IE-LD,IE-LH,IE-MH,IE-OY,IE-WH,IE-WX,IE-WW,IE-CE,IE-CO,IE-KY,IE-LK,IE-TA,IE-WD,IE-G,IE-LM,IE-MO,IE-RN,IE-SO,IE-CN,IE-DL,IE-MN</v>
      </c>
      <c r="C11" s="318" t="s">
        <v>209</v>
      </c>
      <c r="D11" s="318" t="s">
        <v>925</v>
      </c>
      <c r="E11" s="37" t="s">
        <v>86</v>
      </c>
      <c r="F11" s="37" t="s">
        <v>1153</v>
      </c>
      <c r="G11" s="37"/>
      <c r="H11" s="37"/>
      <c r="I11" s="37"/>
    </row>
    <row r="12" spans="1:9">
      <c r="B12" s="37" t="str">
        <f>_xlfn.TEXTJOIN(",",TRUE,Regions!$C$3:'Regions'!$AD$3)</f>
        <v>IE,IE-CW,IE-D,IE-KE,IE-KK,IE-LS,IE-LD,IE-LH,IE-MH,IE-OY,IE-WH,IE-WX,IE-WW,IE-CE,IE-CO,IE-KY,IE-LK,IE-TA,IE-WD,IE-G,IE-LM,IE-MO,IE-RN,IE-SO,IE-CN,IE-DL,IE-MN</v>
      </c>
      <c r="C12" s="318" t="s">
        <v>1040</v>
      </c>
      <c r="D12" s="318" t="s">
        <v>1037</v>
      </c>
      <c r="E12" s="37" t="s">
        <v>86</v>
      </c>
      <c r="F12" s="37" t="s">
        <v>1153</v>
      </c>
    </row>
    <row r="13" spans="1:9">
      <c r="A13" s="37"/>
      <c r="B13" s="37" t="str">
        <f>_xlfn.TEXTJOIN(",",TRUE,Regions!$C$3:'Regions'!$AD$3)</f>
        <v>IE,IE-CW,IE-D,IE-KE,IE-KK,IE-LS,IE-LD,IE-LH,IE-MH,IE-OY,IE-WH,IE-WX,IE-WW,IE-CE,IE-CO,IE-KY,IE-LK,IE-TA,IE-WD,IE-G,IE-LM,IE-MO,IE-RN,IE-SO,IE-CN,IE-DL,IE-MN</v>
      </c>
      <c r="C13" s="318" t="s">
        <v>447</v>
      </c>
      <c r="D13" s="318" t="s">
        <v>926</v>
      </c>
      <c r="E13" s="37" t="s">
        <v>86</v>
      </c>
      <c r="F13" s="37" t="s">
        <v>1153</v>
      </c>
      <c r="G13" s="37"/>
      <c r="H13" s="37"/>
      <c r="I13" s="37"/>
    </row>
    <row r="14" spans="1:9">
      <c r="A14" s="37"/>
      <c r="B14" s="37" t="str">
        <f>_xlfn.TEXTJOIN(",",TRUE,Regions!$C$3:'Regions'!$AD$3)</f>
        <v>IE,IE-CW,IE-D,IE-KE,IE-KK,IE-LS,IE-LD,IE-LH,IE-MH,IE-OY,IE-WH,IE-WX,IE-WW,IE-CE,IE-CO,IE-KY,IE-LK,IE-TA,IE-WD,IE-G,IE-LM,IE-MO,IE-RN,IE-SO,IE-CN,IE-DL,IE-MN</v>
      </c>
      <c r="C14" s="318" t="s">
        <v>448</v>
      </c>
      <c r="D14" s="318" t="s">
        <v>927</v>
      </c>
      <c r="E14" s="37" t="s">
        <v>86</v>
      </c>
      <c r="F14" s="37" t="s">
        <v>1153</v>
      </c>
      <c r="G14" s="37"/>
      <c r="H14" s="37"/>
      <c r="I14" s="37"/>
    </row>
    <row r="15" spans="1:9">
      <c r="A15" s="37"/>
      <c r="B15" s="37" t="str">
        <f>_xlfn.TEXTJOIN(",",TRUE,Regions!$C$3:'Regions'!$AD$3)</f>
        <v>IE,IE-CW,IE-D,IE-KE,IE-KK,IE-LS,IE-LD,IE-LH,IE-MH,IE-OY,IE-WH,IE-WX,IE-WW,IE-CE,IE-CO,IE-KY,IE-LK,IE-TA,IE-WD,IE-G,IE-LM,IE-MO,IE-RN,IE-SO,IE-CN,IE-DL,IE-MN</v>
      </c>
      <c r="C15" s="318" t="s">
        <v>85</v>
      </c>
      <c r="D15" s="318" t="s">
        <v>928</v>
      </c>
      <c r="E15" s="37" t="s">
        <v>86</v>
      </c>
      <c r="F15" s="37" t="s">
        <v>1153</v>
      </c>
      <c r="G15" s="37" t="s">
        <v>88</v>
      </c>
      <c r="H15" s="37"/>
      <c r="I15" s="37" t="s">
        <v>87</v>
      </c>
    </row>
    <row r="16" spans="1:9">
      <c r="B16" s="37" t="str">
        <f>_xlfn.TEXTJOIN(",",TRUE,Regions!$C$3:'Regions'!$AD$3)</f>
        <v>IE,IE-CW,IE-D,IE-KE,IE-KK,IE-LS,IE-LD,IE-LH,IE-MH,IE-OY,IE-WH,IE-WX,IE-WW,IE-CE,IE-CO,IE-KY,IE-LK,IE-TA,IE-WD,IE-G,IE-LM,IE-MO,IE-RN,IE-SO,IE-CN,IE-DL,IE-MN</v>
      </c>
      <c r="C16" s="318" t="s">
        <v>784</v>
      </c>
      <c r="D16" s="318" t="s">
        <v>929</v>
      </c>
      <c r="E16" s="37" t="s">
        <v>86</v>
      </c>
      <c r="F16" s="37" t="s">
        <v>1153</v>
      </c>
      <c r="G16" s="37"/>
    </row>
    <row r="17" spans="1:10">
      <c r="B17" s="37" t="str">
        <f>_xlfn.TEXTJOIN(",",TRUE,Regions!$C$3:'Regions'!$AD$3)</f>
        <v>IE,IE-CW,IE-D,IE-KE,IE-KK,IE-LS,IE-LD,IE-LH,IE-MH,IE-OY,IE-WH,IE-WX,IE-WW,IE-CE,IE-CO,IE-KY,IE-LK,IE-TA,IE-WD,IE-G,IE-LM,IE-MO,IE-RN,IE-SO,IE-CN,IE-DL,IE-MN</v>
      </c>
      <c r="C17" s="318" t="s">
        <v>1114</v>
      </c>
      <c r="D17" s="318" t="s">
        <v>930</v>
      </c>
      <c r="E17" s="37" t="s">
        <v>86</v>
      </c>
      <c r="F17" s="37" t="s">
        <v>1153</v>
      </c>
      <c r="G17" s="37"/>
    </row>
    <row r="18" spans="1:10">
      <c r="B18" s="37" t="str">
        <f>_xlfn.TEXTJOIN(",",TRUE,Regions!$C$3:'Regions'!$AD$3)</f>
        <v>IE,IE-CW,IE-D,IE-KE,IE-KK,IE-LS,IE-LD,IE-LH,IE-MH,IE-OY,IE-WH,IE-WX,IE-WW,IE-CE,IE-CO,IE-KY,IE-LK,IE-TA,IE-WD,IE-G,IE-LM,IE-MO,IE-RN,IE-SO,IE-CN,IE-DL,IE-MN</v>
      </c>
      <c r="C18" s="318" t="s">
        <v>92</v>
      </c>
      <c r="D18" s="318" t="s">
        <v>931</v>
      </c>
      <c r="E18" t="s">
        <v>86</v>
      </c>
      <c r="F18" s="37" t="s">
        <v>1153</v>
      </c>
    </row>
    <row r="19" spans="1:10">
      <c r="B19" s="711" t="str">
        <f>B18</f>
        <v>IE,IE-CW,IE-D,IE-KE,IE-KK,IE-LS,IE-LD,IE-LH,IE-MH,IE-OY,IE-WH,IE-WX,IE-WW,IE-CE,IE-CO,IE-KY,IE-LK,IE-TA,IE-WD,IE-G,IE-LM,IE-MO,IE-RN,IE-SO,IE-CN,IE-DL,IE-MN</v>
      </c>
      <c r="C19" s="724" t="s">
        <v>1163</v>
      </c>
      <c r="D19" s="724" t="s">
        <v>1164</v>
      </c>
      <c r="E19" s="712" t="s">
        <v>86</v>
      </c>
      <c r="F19" s="711" t="s">
        <v>1153</v>
      </c>
    </row>
    <row r="20" spans="1:10">
      <c r="B20" s="711" t="str">
        <f t="shared" ref="B20:B24" si="0">B19</f>
        <v>IE,IE-CW,IE-D,IE-KE,IE-KK,IE-LS,IE-LD,IE-LH,IE-MH,IE-OY,IE-WH,IE-WX,IE-WW,IE-CE,IE-CO,IE-KY,IE-LK,IE-TA,IE-WD,IE-G,IE-LM,IE-MO,IE-RN,IE-SO,IE-CN,IE-DL,IE-MN</v>
      </c>
      <c r="C20" s="724" t="s">
        <v>1200</v>
      </c>
      <c r="D20" s="724" t="s">
        <v>1205</v>
      </c>
      <c r="E20" s="712" t="s">
        <v>86</v>
      </c>
      <c r="F20" s="711" t="s">
        <v>1153</v>
      </c>
    </row>
    <row r="21" spans="1:10">
      <c r="B21" s="711" t="str">
        <f t="shared" si="0"/>
        <v>IE,IE-CW,IE-D,IE-KE,IE-KK,IE-LS,IE-LD,IE-LH,IE-MH,IE-OY,IE-WH,IE-WX,IE-WW,IE-CE,IE-CO,IE-KY,IE-LK,IE-TA,IE-WD,IE-G,IE-LM,IE-MO,IE-RN,IE-SO,IE-CN,IE-DL,IE-MN</v>
      </c>
      <c r="C21" s="724" t="s">
        <v>1201</v>
      </c>
      <c r="D21" s="724" t="s">
        <v>1206</v>
      </c>
      <c r="E21" s="712" t="s">
        <v>86</v>
      </c>
      <c r="F21" s="711" t="s">
        <v>1153</v>
      </c>
    </row>
    <row r="22" spans="1:10">
      <c r="B22" s="711" t="str">
        <f t="shared" si="0"/>
        <v>IE,IE-CW,IE-D,IE-KE,IE-KK,IE-LS,IE-LD,IE-LH,IE-MH,IE-OY,IE-WH,IE-WX,IE-WW,IE-CE,IE-CO,IE-KY,IE-LK,IE-TA,IE-WD,IE-G,IE-LM,IE-MO,IE-RN,IE-SO,IE-CN,IE-DL,IE-MN</v>
      </c>
      <c r="C22" s="724" t="s">
        <v>1202</v>
      </c>
      <c r="D22" s="724" t="s">
        <v>1207</v>
      </c>
      <c r="E22" s="712" t="s">
        <v>86</v>
      </c>
      <c r="F22" s="711" t="s">
        <v>1153</v>
      </c>
      <c r="G22" s="711"/>
      <c r="H22" s="711"/>
      <c r="I22" s="711"/>
    </row>
    <row r="23" spans="1:10">
      <c r="B23" s="711" t="str">
        <f t="shared" si="0"/>
        <v>IE,IE-CW,IE-D,IE-KE,IE-KK,IE-LS,IE-LD,IE-LH,IE-MH,IE-OY,IE-WH,IE-WX,IE-WW,IE-CE,IE-CO,IE-KY,IE-LK,IE-TA,IE-WD,IE-G,IE-LM,IE-MO,IE-RN,IE-SO,IE-CN,IE-DL,IE-MN</v>
      </c>
      <c r="C23" s="724" t="s">
        <v>1203</v>
      </c>
      <c r="D23" s="724" t="s">
        <v>1208</v>
      </c>
      <c r="E23" s="712" t="s">
        <v>86</v>
      </c>
      <c r="F23" s="711" t="s">
        <v>1153</v>
      </c>
    </row>
    <row r="24" spans="1:10">
      <c r="A24" s="79"/>
      <c r="B24" s="713" t="str">
        <f t="shared" si="0"/>
        <v>IE,IE-CW,IE-D,IE-KE,IE-KK,IE-LS,IE-LD,IE-LH,IE-MH,IE-OY,IE-WH,IE-WX,IE-WW,IE-CE,IE-CO,IE-KY,IE-LK,IE-TA,IE-WD,IE-G,IE-LM,IE-MO,IE-RN,IE-SO,IE-CN,IE-DL,IE-MN</v>
      </c>
      <c r="C24" s="715" t="s">
        <v>1204</v>
      </c>
      <c r="D24" s="715" t="s">
        <v>1209</v>
      </c>
      <c r="E24" s="714" t="s">
        <v>86</v>
      </c>
      <c r="F24" s="713" t="s">
        <v>1153</v>
      </c>
      <c r="G24" s="79"/>
      <c r="H24" s="79"/>
      <c r="I24" s="79"/>
    </row>
    <row r="25" spans="1:10">
      <c r="A25" s="37" t="s">
        <v>89</v>
      </c>
      <c r="B25" s="37" t="str">
        <f>_xlfn.TEXTJOIN(",",TRUE,Regions!$C$3:'Regions'!$AD$3)</f>
        <v>IE,IE-CW,IE-D,IE-KE,IE-KK,IE-LS,IE-LD,IE-LH,IE-MH,IE-OY,IE-WH,IE-WX,IE-WW,IE-CE,IE-CO,IE-KY,IE-LK,IE-TA,IE-WD,IE-G,IE-LM,IE-MO,IE-RN,IE-SO,IE-CN,IE-DL,IE-MN</v>
      </c>
      <c r="C25" s="37" t="s">
        <v>882</v>
      </c>
      <c r="D25" s="22" t="s">
        <v>887</v>
      </c>
      <c r="E25" t="s">
        <v>792</v>
      </c>
      <c r="F25" s="37"/>
      <c r="G25" s="37"/>
      <c r="H25" s="37"/>
      <c r="I25" s="37"/>
      <c r="J25" s="37"/>
    </row>
    <row r="26" spans="1:10">
      <c r="A26" s="37"/>
      <c r="B26" s="37" t="str">
        <f>_xlfn.TEXTJOIN(",",TRUE,Regions!$C$3:'Regions'!$AD$3)</f>
        <v>IE,IE-CW,IE-D,IE-KE,IE-KK,IE-LS,IE-LD,IE-LH,IE-MH,IE-OY,IE-WH,IE-WX,IE-WW,IE-CE,IE-CO,IE-KY,IE-LK,IE-TA,IE-WD,IE-G,IE-LM,IE-MO,IE-RN,IE-SO,IE-CN,IE-DL,IE-MN</v>
      </c>
      <c r="C26" s="37" t="s">
        <v>883</v>
      </c>
      <c r="D26" s="22" t="s">
        <v>885</v>
      </c>
      <c r="E26" t="s">
        <v>792</v>
      </c>
      <c r="F26" s="37"/>
      <c r="G26" s="37"/>
      <c r="H26" s="37"/>
      <c r="I26" s="37"/>
      <c r="J26" s="37"/>
    </row>
    <row r="27" spans="1:10">
      <c r="A27" s="37"/>
      <c r="B27" s="37" t="str">
        <f>_xlfn.TEXTJOIN(",",TRUE,Regions!$C$3:'Regions'!$AD$3)</f>
        <v>IE,IE-CW,IE-D,IE-KE,IE-KK,IE-LS,IE-LD,IE-LH,IE-MH,IE-OY,IE-WH,IE-WX,IE-WW,IE-CE,IE-CO,IE-KY,IE-LK,IE-TA,IE-WD,IE-G,IE-LM,IE-MO,IE-RN,IE-SO,IE-CN,IE-DL,IE-MN</v>
      </c>
      <c r="C27" s="37" t="s">
        <v>884</v>
      </c>
      <c r="D27" s="22" t="s">
        <v>886</v>
      </c>
      <c r="E27" t="s">
        <v>792</v>
      </c>
      <c r="F27" s="37"/>
      <c r="G27" s="37"/>
      <c r="H27" s="37"/>
      <c r="I27" s="37"/>
      <c r="J27" s="37"/>
    </row>
    <row r="28" spans="1:10">
      <c r="B28" s="37" t="str">
        <f>_xlfn.TEXTJOIN(",",TRUE,Regions!$C$3:'Regions'!$AD$3)</f>
        <v>IE,IE-CW,IE-D,IE-KE,IE-KK,IE-LS,IE-LD,IE-LH,IE-MH,IE-OY,IE-WH,IE-WX,IE-WW,IE-CE,IE-CO,IE-KY,IE-LK,IE-TA,IE-WD,IE-G,IE-LM,IE-MO,IE-RN,IE-SO,IE-CN,IE-DL,IE-MN</v>
      </c>
      <c r="C28" s="37" t="s">
        <v>1034</v>
      </c>
      <c r="D28" s="37" t="s">
        <v>776</v>
      </c>
      <c r="E28" t="s">
        <v>899</v>
      </c>
      <c r="F28" s="37"/>
      <c r="G28" s="37"/>
      <c r="H28" s="37"/>
      <c r="I28" s="37"/>
      <c r="J28" s="37"/>
    </row>
    <row r="29" spans="1:10">
      <c r="B29" s="37" t="str">
        <f>_xlfn.TEXTJOIN(",",TRUE,Regions!$C$3:'Regions'!$AD$3)</f>
        <v>IE,IE-CW,IE-D,IE-KE,IE-KK,IE-LS,IE-LD,IE-LH,IE-MH,IE-OY,IE-WH,IE-WX,IE-WW,IE-CE,IE-CO,IE-KY,IE-LK,IE-TA,IE-WD,IE-G,IE-LM,IE-MO,IE-RN,IE-SO,IE-CN,IE-DL,IE-MN</v>
      </c>
      <c r="C29" s="37" t="s">
        <v>708</v>
      </c>
      <c r="D29" s="37" t="s">
        <v>775</v>
      </c>
      <c r="E29" t="s">
        <v>86</v>
      </c>
      <c r="F29" s="37"/>
      <c r="G29" s="37"/>
      <c r="H29" s="37"/>
      <c r="I29" s="37"/>
    </row>
    <row r="30" spans="1:10">
      <c r="B30" s="37" t="str">
        <f>_xlfn.TEXTJOIN(",",TRUE,Regions!$C$3:'Regions'!$AD$3)</f>
        <v>IE,IE-CW,IE-D,IE-KE,IE-KK,IE-LS,IE-LD,IE-LH,IE-MH,IE-OY,IE-WH,IE-WX,IE-WW,IE-CE,IE-CO,IE-KY,IE-LK,IE-TA,IE-WD,IE-G,IE-LM,IE-MO,IE-RN,IE-SO,IE-CN,IE-DL,IE-MN</v>
      </c>
      <c r="C30" t="s">
        <v>206</v>
      </c>
      <c r="D30" t="s">
        <v>774</v>
      </c>
      <c r="E30" t="s">
        <v>86</v>
      </c>
      <c r="F30" s="37"/>
      <c r="G30" s="37"/>
      <c r="H30" s="37"/>
      <c r="I30" s="37"/>
    </row>
    <row r="31" spans="1:10">
      <c r="B31" s="37" t="str">
        <f>_xlfn.TEXTJOIN(",",TRUE,Regions!$C$3:'Regions'!$AD$3)</f>
        <v>IE,IE-CW,IE-D,IE-KE,IE-KK,IE-LS,IE-LD,IE-LH,IE-MH,IE-OY,IE-WH,IE-WX,IE-WW,IE-CE,IE-CO,IE-KY,IE-LK,IE-TA,IE-WD,IE-G,IE-LM,IE-MO,IE-RN,IE-SO,IE-CN,IE-DL,IE-MN</v>
      </c>
      <c r="C31" t="s">
        <v>207</v>
      </c>
      <c r="D31" t="s">
        <v>773</v>
      </c>
      <c r="E31" t="s">
        <v>86</v>
      </c>
      <c r="F31" s="37"/>
      <c r="G31" s="37"/>
      <c r="H31" s="37"/>
      <c r="I31" s="37"/>
    </row>
    <row r="32" spans="1:10">
      <c r="B32" s="37" t="str">
        <f>_xlfn.TEXTJOIN(",",TRUE,Regions!$C$3:'Regions'!$AD$3)</f>
        <v>IE,IE-CW,IE-D,IE-KE,IE-KK,IE-LS,IE-LD,IE-LH,IE-MH,IE-OY,IE-WH,IE-WX,IE-WW,IE-CE,IE-CO,IE-KY,IE-LK,IE-TA,IE-WD,IE-G,IE-LM,IE-MO,IE-RN,IE-SO,IE-CN,IE-DL,IE-MN</v>
      </c>
      <c r="C32" t="s">
        <v>715</v>
      </c>
      <c r="D32" t="s">
        <v>772</v>
      </c>
      <c r="E32" t="s">
        <v>86</v>
      </c>
      <c r="F32" s="37"/>
      <c r="G32" s="37"/>
      <c r="H32" s="37"/>
      <c r="I32" s="37"/>
    </row>
    <row r="33" spans="1:9">
      <c r="B33" s="37" t="str">
        <f>_xlfn.TEXTJOIN(",",TRUE,Regions!$C$3:'Regions'!$AD$3)</f>
        <v>IE,IE-CW,IE-D,IE-KE,IE-KK,IE-LS,IE-LD,IE-LH,IE-MH,IE-OY,IE-WH,IE-WX,IE-WW,IE-CE,IE-CO,IE-KY,IE-LK,IE-TA,IE-WD,IE-G,IE-LM,IE-MO,IE-RN,IE-SO,IE-CN,IE-DL,IE-MN</v>
      </c>
      <c r="C33" t="s">
        <v>716</v>
      </c>
      <c r="D33" t="s">
        <v>771</v>
      </c>
      <c r="E33" t="s">
        <v>86</v>
      </c>
      <c r="F33" s="37"/>
      <c r="G33" s="37"/>
      <c r="H33" s="37"/>
      <c r="I33" s="37"/>
    </row>
    <row r="34" spans="1:9">
      <c r="B34" s="711" t="str">
        <f>_xlfn.TEXTJOIN(",",TRUE,Regions!$C$3:'Regions'!$AD$3)</f>
        <v>IE,IE-CW,IE-D,IE-KE,IE-KK,IE-LS,IE-LD,IE-LH,IE-MH,IE-OY,IE-WH,IE-WX,IE-WW,IE-CE,IE-CO,IE-KY,IE-LK,IE-TA,IE-WD,IE-G,IE-LM,IE-MO,IE-RN,IE-SO,IE-CN,IE-DL,IE-MN</v>
      </c>
      <c r="C34" s="712" t="s">
        <v>1156</v>
      </c>
      <c r="D34" s="712" t="s">
        <v>1157</v>
      </c>
      <c r="E34" s="712" t="s">
        <v>792</v>
      </c>
      <c r="F34" s="37"/>
      <c r="G34" s="37"/>
      <c r="H34" s="37"/>
      <c r="I34" s="37"/>
    </row>
    <row r="35" spans="1:9">
      <c r="B35" s="711" t="str">
        <f>_xlfn.TEXTJOIN(",",TRUE,Regions!$C$3:'Regions'!$AD$3)</f>
        <v>IE,IE-CW,IE-D,IE-KE,IE-KK,IE-LS,IE-LD,IE-LH,IE-MH,IE-OY,IE-WH,IE-WX,IE-WW,IE-CE,IE-CO,IE-KY,IE-LK,IE-TA,IE-WD,IE-G,IE-LM,IE-MO,IE-RN,IE-SO,IE-CN,IE-DL,IE-MN</v>
      </c>
      <c r="C35" s="712" t="s">
        <v>1158</v>
      </c>
      <c r="D35" s="712" t="s">
        <v>1159</v>
      </c>
      <c r="E35" s="712" t="s">
        <v>792</v>
      </c>
      <c r="F35" s="37"/>
      <c r="G35" s="37"/>
      <c r="H35" s="37"/>
      <c r="I35" s="37"/>
    </row>
    <row r="36" spans="1:9">
      <c r="A36" s="79"/>
      <c r="B36" s="713" t="str">
        <f>_xlfn.TEXTJOIN(",",TRUE,Regions!$C$3:'Regions'!$AD$3)</f>
        <v>IE,IE-CW,IE-D,IE-KE,IE-KK,IE-LS,IE-LD,IE-LH,IE-MH,IE-OY,IE-WH,IE-WX,IE-WW,IE-CE,IE-CO,IE-KY,IE-LK,IE-TA,IE-WD,IE-G,IE-LM,IE-MO,IE-RN,IE-SO,IE-CN,IE-DL,IE-MN</v>
      </c>
      <c r="C36" s="714" t="s">
        <v>1160</v>
      </c>
      <c r="D36" s="714" t="s">
        <v>1161</v>
      </c>
      <c r="E36" s="714" t="s">
        <v>792</v>
      </c>
      <c r="F36" s="124"/>
      <c r="G36" s="124"/>
      <c r="H36" s="124"/>
      <c r="I36" s="124"/>
    </row>
    <row r="37" spans="1:9">
      <c r="A37" t="s">
        <v>100</v>
      </c>
      <c r="B37" s="37" t="str">
        <f>_xlfn.TEXTJOIN(",",TRUE,Regions!$C$3:'Regions'!$AD$3)</f>
        <v>IE,IE-CW,IE-D,IE-KE,IE-KK,IE-LS,IE-LD,IE-LH,IE-MH,IE-OY,IE-WH,IE-WX,IE-WW,IE-CE,IE-CO,IE-KY,IE-LK,IE-TA,IE-WD,IE-G,IE-LM,IE-MO,IE-RN,IE-SO,IE-CN,IE-DL,IE-MN</v>
      </c>
      <c r="C37" s="23" t="s">
        <v>95</v>
      </c>
      <c r="D37" s="37" t="s">
        <v>216</v>
      </c>
      <c r="E37" t="s">
        <v>104</v>
      </c>
      <c r="F37" s="37"/>
      <c r="G37" s="37"/>
      <c r="H37" s="37"/>
      <c r="I37" s="37"/>
    </row>
    <row r="38" spans="1:9">
      <c r="B38" s="37" t="str">
        <f>_xlfn.TEXTJOIN(",",TRUE,Regions!$C$3:'Regions'!$AD$3)</f>
        <v>IE,IE-CW,IE-D,IE-KE,IE-KK,IE-LS,IE-LD,IE-LH,IE-MH,IE-OY,IE-WH,IE-WX,IE-WW,IE-CE,IE-CO,IE-KY,IE-LK,IE-TA,IE-WD,IE-G,IE-LM,IE-MO,IE-RN,IE-SO,IE-CN,IE-DL,IE-MN</v>
      </c>
      <c r="C38" s="23" t="s">
        <v>96</v>
      </c>
      <c r="D38" s="37" t="s">
        <v>101</v>
      </c>
      <c r="E38" t="s">
        <v>104</v>
      </c>
      <c r="F38" s="37"/>
      <c r="G38" s="37"/>
      <c r="H38" s="37"/>
      <c r="I38" s="37"/>
    </row>
    <row r="39" spans="1:9">
      <c r="B39" s="37" t="str">
        <f>_xlfn.TEXTJOIN(",",TRUE,Regions!$C$3:'Regions'!$AD$3)</f>
        <v>IE,IE-CW,IE-D,IE-KE,IE-KK,IE-LS,IE-LD,IE-LH,IE-MH,IE-OY,IE-WH,IE-WX,IE-WW,IE-CE,IE-CO,IE-KY,IE-LK,IE-TA,IE-WD,IE-G,IE-LM,IE-MO,IE-RN,IE-SO,IE-CN,IE-DL,IE-MN</v>
      </c>
      <c r="C39" s="23" t="s">
        <v>97</v>
      </c>
      <c r="D39" s="37" t="s">
        <v>102</v>
      </c>
      <c r="E39" t="s">
        <v>104</v>
      </c>
      <c r="F39" s="37"/>
      <c r="G39" s="37"/>
      <c r="H39" s="37"/>
      <c r="I39" s="37"/>
    </row>
    <row r="40" spans="1:9">
      <c r="B40" s="37" t="str">
        <f>_xlfn.TEXTJOIN(",",TRUE,Regions!$C$3:'Regions'!$AD$3)</f>
        <v>IE,IE-CW,IE-D,IE-KE,IE-KK,IE-LS,IE-LD,IE-LH,IE-MH,IE-OY,IE-WH,IE-WX,IE-WW,IE-CE,IE-CO,IE-KY,IE-LK,IE-TA,IE-WD,IE-G,IE-LM,IE-MO,IE-RN,IE-SO,IE-CN,IE-DL,IE-MN</v>
      </c>
      <c r="C40" s="23" t="s">
        <v>98</v>
      </c>
      <c r="D40" s="37" t="s">
        <v>103</v>
      </c>
      <c r="E40" t="s">
        <v>104</v>
      </c>
      <c r="F40" s="37"/>
      <c r="G40" s="37"/>
      <c r="H40" s="37"/>
      <c r="I40" s="37"/>
    </row>
    <row r="41" spans="1:9">
      <c r="B41" s="37" t="str">
        <f>_xlfn.TEXTJOIN(",",TRUE,Regions!$C$3:'Regions'!$AD$3)</f>
        <v>IE,IE-CW,IE-D,IE-KE,IE-KK,IE-LS,IE-LD,IE-LH,IE-MH,IE-OY,IE-WH,IE-WX,IE-WW,IE-CE,IE-CO,IE-KY,IE-LK,IE-TA,IE-WD,IE-G,IE-LM,IE-MO,IE-RN,IE-SO,IE-CN,IE-DL,IE-MN</v>
      </c>
      <c r="C41" s="37" t="s">
        <v>108</v>
      </c>
      <c r="D41" s="37" t="s">
        <v>211</v>
      </c>
      <c r="E41" t="s">
        <v>104</v>
      </c>
      <c r="F41" s="37"/>
      <c r="G41" s="37"/>
      <c r="H41" s="37"/>
      <c r="I41" s="37"/>
    </row>
    <row r="42" spans="1:9" ht="15" thickBot="1">
      <c r="A42" s="125"/>
      <c r="B42" s="126" t="str">
        <f>_xlfn.TEXTJOIN(",",TRUE,Regions!$C$3:'Regions'!$AD$3)</f>
        <v>IE,IE-CW,IE-D,IE-KE,IE-KK,IE-LS,IE-LD,IE-LH,IE-MH,IE-OY,IE-WH,IE-WX,IE-WW,IE-CE,IE-CO,IE-KY,IE-LK,IE-TA,IE-WD,IE-G,IE-LM,IE-MO,IE-RN,IE-SO,IE-CN,IE-DL,IE-MN</v>
      </c>
      <c r="C42" s="126" t="s">
        <v>109</v>
      </c>
      <c r="D42" s="126" t="s">
        <v>212</v>
      </c>
      <c r="E42" s="125" t="s">
        <v>104</v>
      </c>
      <c r="F42" s="126"/>
      <c r="G42" s="126"/>
      <c r="H42" s="126"/>
      <c r="I42" s="126"/>
    </row>
    <row r="43" spans="1:9">
      <c r="A43" t="s">
        <v>100</v>
      </c>
      <c r="B43" s="37" t="str">
        <f>_xlfn.TEXTJOIN(",",TRUE,Regions!$C$3:'Regions'!$AD$3)</f>
        <v>IE,IE-CW,IE-D,IE-KE,IE-KK,IE-LS,IE-LD,IE-LH,IE-MH,IE-OY,IE-WH,IE-WX,IE-WW,IE-CE,IE-CO,IE-KY,IE-LK,IE-TA,IE-WD,IE-G,IE-LM,IE-MO,IE-RN,IE-SO,IE-CN,IE-DL,IE-MN</v>
      </c>
      <c r="C43" s="37" t="s">
        <v>1154</v>
      </c>
      <c r="D43" s="37" t="s">
        <v>1155</v>
      </c>
      <c r="E43" t="s">
        <v>104</v>
      </c>
      <c r="F43" s="37"/>
      <c r="G43" s="37"/>
      <c r="H43" s="37"/>
      <c r="I43" s="37"/>
    </row>
    <row r="44" spans="1:9">
      <c r="B44" s="37"/>
      <c r="C44" s="23"/>
      <c r="D44" s="37"/>
      <c r="F44" s="37"/>
      <c r="G44" s="37"/>
      <c r="H44" s="37"/>
      <c r="I44" s="37"/>
    </row>
    <row r="45" spans="1:9">
      <c r="A45" s="103" t="s">
        <v>710</v>
      </c>
      <c r="B45" s="103"/>
      <c r="H45" s="37"/>
      <c r="I45" s="37"/>
    </row>
    <row r="46" spans="1:9">
      <c r="A46" s="103" t="s">
        <v>711</v>
      </c>
      <c r="B46" s="103"/>
    </row>
    <row r="47" spans="1:9">
      <c r="A47" s="103" t="s">
        <v>709</v>
      </c>
      <c r="B47" s="103"/>
    </row>
    <row r="48" spans="1:9">
      <c r="A48" s="103" t="s">
        <v>712</v>
      </c>
      <c r="B48" s="103"/>
    </row>
    <row r="71" spans="10:10">
      <c r="J71" s="37"/>
    </row>
    <row r="74" spans="10:10">
      <c r="J74" s="37"/>
    </row>
    <row r="75" spans="10:10">
      <c r="J75" s="37"/>
    </row>
    <row r="103" spans="11:11">
      <c r="K103" s="37"/>
    </row>
    <row r="104" spans="11:11">
      <c r="K104" s="37"/>
    </row>
    <row r="105" spans="11:11">
      <c r="K105" s="37"/>
    </row>
    <row r="106" spans="11:11">
      <c r="K106" s="37"/>
    </row>
    <row r="107" spans="11:11">
      <c r="K107" s="37"/>
    </row>
    <row r="108" spans="11:11">
      <c r="K108" s="37"/>
    </row>
    <row r="109" spans="11:11">
      <c r="K109" s="37"/>
    </row>
    <row r="110" spans="11:11">
      <c r="K110" s="37"/>
    </row>
    <row r="111" spans="11:11">
      <c r="K111" s="37"/>
    </row>
    <row r="112" spans="11:11">
      <c r="K112" s="37"/>
    </row>
    <row r="113" spans="11:11">
      <c r="K113" s="37"/>
    </row>
    <row r="114" spans="11:11">
      <c r="K114" s="37"/>
    </row>
    <row r="115" spans="11:11">
      <c r="K115" s="37"/>
    </row>
  </sheetData>
  <phoneticPr fontId="3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878F-3B8A-447F-BD94-D90FE493D716}">
  <sheetPr codeName="Sheet3"/>
  <dimension ref="B2:J69"/>
  <sheetViews>
    <sheetView topLeftCell="A40" zoomScaleNormal="100" workbookViewId="0">
      <selection activeCell="D78" sqref="D78:D84"/>
    </sheetView>
  </sheetViews>
  <sheetFormatPr defaultRowHeight="14.5"/>
  <cols>
    <col min="3" max="3" width="11.26953125" customWidth="1"/>
    <col min="4" max="4" width="19.1796875" bestFit="1" customWidth="1"/>
    <col min="5" max="5" width="49.1796875" bestFit="1" customWidth="1"/>
  </cols>
  <sheetData>
    <row r="2" spans="2:10">
      <c r="B2" s="21" t="s">
        <v>59</v>
      </c>
      <c r="C2" s="21"/>
      <c r="D2" s="264"/>
      <c r="E2" s="264"/>
      <c r="F2" s="264"/>
      <c r="G2" s="264"/>
      <c r="H2" s="264"/>
      <c r="I2" s="264"/>
      <c r="J2" s="264"/>
    </row>
    <row r="3" spans="2:10">
      <c r="B3" s="370" t="s">
        <v>68</v>
      </c>
      <c r="C3" s="371" t="s">
        <v>768</v>
      </c>
      <c r="D3" s="370" t="s">
        <v>69</v>
      </c>
      <c r="E3" s="370" t="s">
        <v>70</v>
      </c>
      <c r="F3" s="370" t="s">
        <v>71</v>
      </c>
      <c r="G3" s="370" t="s">
        <v>72</v>
      </c>
      <c r="H3" s="370" t="s">
        <v>73</v>
      </c>
      <c r="I3" s="370" t="s">
        <v>74</v>
      </c>
      <c r="J3" s="370" t="s">
        <v>0</v>
      </c>
    </row>
    <row r="4" spans="2:10">
      <c r="B4" s="371" t="s">
        <v>633</v>
      </c>
      <c r="C4" s="371"/>
      <c r="D4" s="371"/>
      <c r="E4" s="371"/>
      <c r="F4" s="371"/>
      <c r="G4" s="371"/>
      <c r="H4" s="371"/>
      <c r="I4" s="371"/>
      <c r="J4" s="371"/>
    </row>
    <row r="5" spans="2:10">
      <c r="B5" s="372" t="s">
        <v>632</v>
      </c>
      <c r="C5" s="372"/>
      <c r="D5" s="372"/>
      <c r="E5" s="372"/>
      <c r="F5" s="372"/>
      <c r="G5" s="372"/>
      <c r="H5" s="372"/>
      <c r="I5" s="372"/>
      <c r="J5" s="372"/>
    </row>
    <row r="6" spans="2:10">
      <c r="B6" s="276" t="s">
        <v>777</v>
      </c>
      <c r="C6" s="276" t="str">
        <f>_xlfn.TEXTJOIN(",",TRUE,Regions!$C$3:'Regions'!$AD$3)</f>
        <v>IE,IE-CW,IE-D,IE-KE,IE-KK,IE-LS,IE-LD,IE-LH,IE-MH,IE-OY,IE-WH,IE-WX,IE-WW,IE-CE,IE-CO,IE-KY,IE-LK,IE-TA,IE-WD,IE-G,IE-LM,IE-MO,IE-RN,IE-SO,IE-CN,IE-DL,IE-MN</v>
      </c>
      <c r="D6" s="1" t="s">
        <v>932</v>
      </c>
      <c r="E6" s="1" t="s">
        <v>933</v>
      </c>
      <c r="F6" s="276" t="s">
        <v>792</v>
      </c>
      <c r="G6" s="276" t="s">
        <v>1089</v>
      </c>
      <c r="H6" s="276"/>
      <c r="I6" s="276"/>
      <c r="J6" s="276"/>
    </row>
    <row r="7" spans="2:10">
      <c r="B7" s="276" t="s">
        <v>777</v>
      </c>
      <c r="C7" s="276" t="str">
        <f>_xlfn.TEXTJOIN(",",TRUE,Regions!$C$3:'Regions'!$AD$3)</f>
        <v>IE,IE-CW,IE-D,IE-KE,IE-KK,IE-LS,IE-LD,IE-LH,IE-MH,IE-OY,IE-WH,IE-WX,IE-WW,IE-CE,IE-CO,IE-KY,IE-LK,IE-TA,IE-WD,IE-G,IE-LM,IE-MO,IE-RN,IE-SO,IE-CN,IE-DL,IE-MN</v>
      </c>
      <c r="D7" s="1" t="s">
        <v>934</v>
      </c>
      <c r="E7" s="1" t="s">
        <v>935</v>
      </c>
      <c r="F7" s="276" t="s">
        <v>792</v>
      </c>
      <c r="G7" s="276" t="s">
        <v>1089</v>
      </c>
      <c r="H7" s="276"/>
      <c r="I7" s="276"/>
      <c r="J7" s="276"/>
    </row>
    <row r="8" spans="2:10">
      <c r="B8" s="372" t="s">
        <v>508</v>
      </c>
      <c r="C8" s="372"/>
      <c r="D8" s="372"/>
      <c r="E8" s="372"/>
      <c r="F8" s="372"/>
      <c r="G8" s="372"/>
      <c r="H8" s="372"/>
      <c r="I8" s="372"/>
      <c r="J8" s="372"/>
    </row>
    <row r="9" spans="2:10">
      <c r="B9" s="276" t="s">
        <v>777</v>
      </c>
      <c r="C9" s="276" t="str">
        <f>_xlfn.TEXTJOIN(",",TRUE,Regions!$C$3:'Regions'!$AD$3)</f>
        <v>IE,IE-CW,IE-D,IE-KE,IE-KK,IE-LS,IE-LD,IE-LH,IE-MH,IE-OY,IE-WH,IE-WX,IE-WW,IE-CE,IE-CO,IE-KY,IE-LK,IE-TA,IE-WD,IE-G,IE-LM,IE-MO,IE-RN,IE-SO,IE-CN,IE-DL,IE-MN</v>
      </c>
      <c r="D9" s="1" t="s">
        <v>936</v>
      </c>
      <c r="E9" s="1" t="s">
        <v>937</v>
      </c>
      <c r="F9" s="276" t="s">
        <v>792</v>
      </c>
      <c r="G9" s="276" t="s">
        <v>1089</v>
      </c>
      <c r="H9" s="276"/>
      <c r="I9" s="276"/>
      <c r="J9" s="276"/>
    </row>
    <row r="10" spans="2:10">
      <c r="B10" s="372" t="s">
        <v>509</v>
      </c>
      <c r="C10" s="372"/>
      <c r="D10" s="372"/>
      <c r="E10" s="372"/>
      <c r="F10" s="373"/>
      <c r="G10" s="372"/>
      <c r="H10" s="372"/>
      <c r="I10" s="372"/>
      <c r="J10" s="372"/>
    </row>
    <row r="11" spans="2:10">
      <c r="B11" s="276" t="s">
        <v>777</v>
      </c>
      <c r="C11" s="276" t="str">
        <f>_xlfn.TEXTJOIN(",",TRUE,Regions!$C$3:'Regions'!$AD$3)</f>
        <v>IE,IE-CW,IE-D,IE-KE,IE-KK,IE-LS,IE-LD,IE-LH,IE-MH,IE-OY,IE-WH,IE-WX,IE-WW,IE-CE,IE-CO,IE-KY,IE-LK,IE-TA,IE-WD,IE-G,IE-LM,IE-MO,IE-RN,IE-SO,IE-CN,IE-DL,IE-MN</v>
      </c>
      <c r="D11" s="1" t="s">
        <v>938</v>
      </c>
      <c r="E11" s="1" t="s">
        <v>939</v>
      </c>
      <c r="F11" s="276" t="s">
        <v>792</v>
      </c>
      <c r="G11" s="276" t="s">
        <v>1089</v>
      </c>
      <c r="H11" s="276"/>
      <c r="I11" s="276"/>
      <c r="J11" s="276"/>
    </row>
    <row r="12" spans="2:10">
      <c r="B12" s="276" t="s">
        <v>777</v>
      </c>
      <c r="C12" s="276" t="str">
        <f>_xlfn.TEXTJOIN(",",TRUE,Regions!$C$3:'Regions'!$AD$3)</f>
        <v>IE,IE-CW,IE-D,IE-KE,IE-KK,IE-LS,IE-LD,IE-LH,IE-MH,IE-OY,IE-WH,IE-WX,IE-WW,IE-CE,IE-CO,IE-KY,IE-LK,IE-TA,IE-WD,IE-G,IE-LM,IE-MO,IE-RN,IE-SO,IE-CN,IE-DL,IE-MN</v>
      </c>
      <c r="D12" s="1" t="s">
        <v>940</v>
      </c>
      <c r="E12" s="1" t="s">
        <v>941</v>
      </c>
      <c r="F12" s="276" t="s">
        <v>792</v>
      </c>
      <c r="G12" s="276" t="s">
        <v>1089</v>
      </c>
      <c r="H12" s="276"/>
      <c r="I12" s="276"/>
      <c r="J12" s="276"/>
    </row>
    <row r="13" spans="2:10">
      <c r="B13" s="276" t="s">
        <v>777</v>
      </c>
      <c r="C13" s="276" t="str">
        <f>_xlfn.TEXTJOIN(",",TRUE,Regions!$C$3:'Regions'!$AD$3)</f>
        <v>IE,IE-CW,IE-D,IE-KE,IE-KK,IE-LS,IE-LD,IE-LH,IE-MH,IE-OY,IE-WH,IE-WX,IE-WW,IE-CE,IE-CO,IE-KY,IE-LK,IE-TA,IE-WD,IE-G,IE-LM,IE-MO,IE-RN,IE-SO,IE-CN,IE-DL,IE-MN</v>
      </c>
      <c r="D13" s="1" t="s">
        <v>942</v>
      </c>
      <c r="E13" s="1" t="s">
        <v>943</v>
      </c>
      <c r="F13" s="276" t="s">
        <v>792</v>
      </c>
      <c r="G13" s="276" t="s">
        <v>1089</v>
      </c>
      <c r="H13" s="276"/>
      <c r="I13" s="276"/>
      <c r="J13" s="276"/>
    </row>
    <row r="14" spans="2:10">
      <c r="B14" s="276" t="s">
        <v>777</v>
      </c>
      <c r="C14" s="276" t="str">
        <f>_xlfn.TEXTJOIN(",",TRUE,Regions!$C$3:'Regions'!$AD$3)</f>
        <v>IE,IE-CW,IE-D,IE-KE,IE-KK,IE-LS,IE-LD,IE-LH,IE-MH,IE-OY,IE-WH,IE-WX,IE-WW,IE-CE,IE-CO,IE-KY,IE-LK,IE-TA,IE-WD,IE-G,IE-LM,IE-MO,IE-RN,IE-SO,IE-CN,IE-DL,IE-MN</v>
      </c>
      <c r="D14" s="1" t="s">
        <v>944</v>
      </c>
      <c r="E14" s="1" t="s">
        <v>945</v>
      </c>
      <c r="F14" s="276" t="s">
        <v>792</v>
      </c>
      <c r="G14" s="276" t="s">
        <v>1089</v>
      </c>
      <c r="H14" s="276"/>
      <c r="I14" s="276"/>
      <c r="J14" s="276"/>
    </row>
    <row r="15" spans="2:10">
      <c r="B15" s="276" t="s">
        <v>777</v>
      </c>
      <c r="C15" s="276" t="str">
        <f>_xlfn.TEXTJOIN(",",TRUE,Regions!$C$3:'Regions'!$AD$3)</f>
        <v>IE,IE-CW,IE-D,IE-KE,IE-KK,IE-LS,IE-LD,IE-LH,IE-MH,IE-OY,IE-WH,IE-WX,IE-WW,IE-CE,IE-CO,IE-KY,IE-LK,IE-TA,IE-WD,IE-G,IE-LM,IE-MO,IE-RN,IE-SO,IE-CN,IE-DL,IE-MN</v>
      </c>
      <c r="D15" s="1" t="s">
        <v>946</v>
      </c>
      <c r="E15" s="1" t="s">
        <v>947</v>
      </c>
      <c r="F15" s="276" t="s">
        <v>792</v>
      </c>
      <c r="G15" s="276" t="s">
        <v>1089</v>
      </c>
      <c r="H15" s="276"/>
      <c r="I15" s="276"/>
      <c r="J15" s="276"/>
    </row>
    <row r="16" spans="2:10">
      <c r="B16" s="276" t="s">
        <v>777</v>
      </c>
      <c r="C16" s="276" t="str">
        <f>_xlfn.TEXTJOIN(",",TRUE,Regions!$C$3:'Regions'!$AD$3)</f>
        <v>IE,IE-CW,IE-D,IE-KE,IE-KK,IE-LS,IE-LD,IE-LH,IE-MH,IE-OY,IE-WH,IE-WX,IE-WW,IE-CE,IE-CO,IE-KY,IE-LK,IE-TA,IE-WD,IE-G,IE-LM,IE-MO,IE-RN,IE-SO,IE-CN,IE-DL,IE-MN</v>
      </c>
      <c r="D16" s="1" t="s">
        <v>948</v>
      </c>
      <c r="E16" s="1" t="s">
        <v>949</v>
      </c>
      <c r="F16" s="276" t="s">
        <v>792</v>
      </c>
      <c r="G16" s="276" t="s">
        <v>1089</v>
      </c>
      <c r="H16" s="276"/>
      <c r="I16" s="276"/>
      <c r="J16" s="276"/>
    </row>
    <row r="17" spans="2:10">
      <c r="B17" s="276" t="s">
        <v>777</v>
      </c>
      <c r="C17" s="276" t="str">
        <f>_xlfn.TEXTJOIN(",",TRUE,Regions!$C$3:'Regions'!$AD$3)</f>
        <v>IE,IE-CW,IE-D,IE-KE,IE-KK,IE-LS,IE-LD,IE-LH,IE-MH,IE-OY,IE-WH,IE-WX,IE-WW,IE-CE,IE-CO,IE-KY,IE-LK,IE-TA,IE-WD,IE-G,IE-LM,IE-MO,IE-RN,IE-SO,IE-CN,IE-DL,IE-MN</v>
      </c>
      <c r="D17" s="1" t="s">
        <v>950</v>
      </c>
      <c r="E17" s="1" t="s">
        <v>951</v>
      </c>
      <c r="F17" s="276" t="s">
        <v>792</v>
      </c>
      <c r="G17" s="276" t="s">
        <v>1089</v>
      </c>
      <c r="H17" s="276"/>
      <c r="I17" s="276"/>
      <c r="J17" s="276"/>
    </row>
    <row r="18" spans="2:10">
      <c r="B18" s="276" t="s">
        <v>777</v>
      </c>
      <c r="C18" s="276" t="str">
        <f>_xlfn.TEXTJOIN(",",TRUE,Regions!$C$3:'Regions'!$AD$3)</f>
        <v>IE,IE-CW,IE-D,IE-KE,IE-KK,IE-LS,IE-LD,IE-LH,IE-MH,IE-OY,IE-WH,IE-WX,IE-WW,IE-CE,IE-CO,IE-KY,IE-LK,IE-TA,IE-WD,IE-G,IE-LM,IE-MO,IE-RN,IE-SO,IE-CN,IE-DL,IE-MN</v>
      </c>
      <c r="D18" s="1" t="s">
        <v>952</v>
      </c>
      <c r="E18" s="1" t="s">
        <v>953</v>
      </c>
      <c r="F18" s="276" t="s">
        <v>792</v>
      </c>
      <c r="G18" s="276" t="s">
        <v>1089</v>
      </c>
      <c r="H18" s="276"/>
      <c r="I18" s="276"/>
      <c r="J18" s="276"/>
    </row>
    <row r="19" spans="2:10">
      <c r="B19" s="276" t="s">
        <v>777</v>
      </c>
      <c r="C19" s="276" t="str">
        <f>_xlfn.TEXTJOIN(",",TRUE,Regions!$C$3:'Regions'!$AD$3)</f>
        <v>IE,IE-CW,IE-D,IE-KE,IE-KK,IE-LS,IE-LD,IE-LH,IE-MH,IE-OY,IE-WH,IE-WX,IE-WW,IE-CE,IE-CO,IE-KY,IE-LK,IE-TA,IE-WD,IE-G,IE-LM,IE-MO,IE-RN,IE-SO,IE-CN,IE-DL,IE-MN</v>
      </c>
      <c r="D19" s="1" t="s">
        <v>954</v>
      </c>
      <c r="E19" s="1" t="s">
        <v>955</v>
      </c>
      <c r="F19" s="276" t="s">
        <v>792</v>
      </c>
      <c r="G19" s="276" t="s">
        <v>1089</v>
      </c>
      <c r="H19" s="276"/>
      <c r="I19" s="276"/>
      <c r="J19" s="276"/>
    </row>
    <row r="20" spans="2:10">
      <c r="B20" s="372" t="s">
        <v>524</v>
      </c>
      <c r="C20" s="372"/>
      <c r="D20" s="372"/>
      <c r="E20" s="372"/>
      <c r="F20" s="373"/>
      <c r="G20" s="372"/>
      <c r="H20" s="372"/>
      <c r="I20" s="372"/>
      <c r="J20" s="372"/>
    </row>
    <row r="21" spans="2:10">
      <c r="B21" s="276" t="s">
        <v>777</v>
      </c>
      <c r="C21" s="276" t="str">
        <f>_xlfn.TEXTJOIN(",",TRUE,Regions!$C$3:'Regions'!$AD$3)</f>
        <v>IE,IE-CW,IE-D,IE-KE,IE-KK,IE-LS,IE-LD,IE-LH,IE-MH,IE-OY,IE-WH,IE-WX,IE-WW,IE-CE,IE-CO,IE-KY,IE-LK,IE-TA,IE-WD,IE-G,IE-LM,IE-MO,IE-RN,IE-SO,IE-CN,IE-DL,IE-MN</v>
      </c>
      <c r="D21" s="1" t="s">
        <v>956</v>
      </c>
      <c r="E21" s="1" t="s">
        <v>957</v>
      </c>
      <c r="F21" s="276" t="s">
        <v>792</v>
      </c>
      <c r="G21" s="276" t="s">
        <v>1089</v>
      </c>
      <c r="H21" s="276"/>
      <c r="I21" s="276"/>
      <c r="J21" s="276"/>
    </row>
    <row r="22" spans="2:10">
      <c r="B22" s="276" t="s">
        <v>777</v>
      </c>
      <c r="C22" s="276" t="str">
        <f>_xlfn.TEXTJOIN(",",TRUE,Regions!$C$3:'Regions'!$AD$3)</f>
        <v>IE,IE-CW,IE-D,IE-KE,IE-KK,IE-LS,IE-LD,IE-LH,IE-MH,IE-OY,IE-WH,IE-WX,IE-WW,IE-CE,IE-CO,IE-KY,IE-LK,IE-TA,IE-WD,IE-G,IE-LM,IE-MO,IE-RN,IE-SO,IE-CN,IE-DL,IE-MN</v>
      </c>
      <c r="D22" s="1" t="s">
        <v>958</v>
      </c>
      <c r="E22" s="1" t="s">
        <v>959</v>
      </c>
      <c r="F22" s="276" t="s">
        <v>792</v>
      </c>
      <c r="G22" s="276" t="s">
        <v>1089</v>
      </c>
      <c r="H22" s="276"/>
      <c r="I22" s="276"/>
      <c r="J22" s="276"/>
    </row>
    <row r="23" spans="2:10">
      <c r="B23" s="276" t="s">
        <v>777</v>
      </c>
      <c r="C23" s="276" t="str">
        <f>_xlfn.TEXTJOIN(",",TRUE,Regions!$C$3:'Regions'!$AD$3)</f>
        <v>IE,IE-CW,IE-D,IE-KE,IE-KK,IE-LS,IE-LD,IE-LH,IE-MH,IE-OY,IE-WH,IE-WX,IE-WW,IE-CE,IE-CO,IE-KY,IE-LK,IE-TA,IE-WD,IE-G,IE-LM,IE-MO,IE-RN,IE-SO,IE-CN,IE-DL,IE-MN</v>
      </c>
      <c r="D23" s="1" t="s">
        <v>960</v>
      </c>
      <c r="E23" s="1" t="s">
        <v>961</v>
      </c>
      <c r="F23" s="276" t="s">
        <v>792</v>
      </c>
      <c r="G23" s="276" t="s">
        <v>1089</v>
      </c>
      <c r="H23" s="276"/>
      <c r="I23" s="276"/>
      <c r="J23" s="276"/>
    </row>
    <row r="24" spans="2:10">
      <c r="B24" s="372" t="s">
        <v>560</v>
      </c>
      <c r="C24" s="372"/>
      <c r="D24" s="372"/>
      <c r="E24" s="372"/>
      <c r="F24" s="373"/>
      <c r="G24" s="372"/>
      <c r="H24" s="372"/>
      <c r="I24" s="372"/>
      <c r="J24" s="372"/>
    </row>
    <row r="25" spans="2:10">
      <c r="B25" s="276" t="s">
        <v>777</v>
      </c>
      <c r="C25" s="276" t="str">
        <f>_xlfn.TEXTJOIN(",",TRUE,Regions!$C$3:'Regions'!$AD$3)</f>
        <v>IE,IE-CW,IE-D,IE-KE,IE-KK,IE-LS,IE-LD,IE-LH,IE-MH,IE-OY,IE-WH,IE-WX,IE-WW,IE-CE,IE-CO,IE-KY,IE-LK,IE-TA,IE-WD,IE-G,IE-LM,IE-MO,IE-RN,IE-SO,IE-CN,IE-DL,IE-MN</v>
      </c>
      <c r="D25" s="1" t="s">
        <v>962</v>
      </c>
      <c r="E25" s="1" t="s">
        <v>963</v>
      </c>
      <c r="F25" s="276" t="s">
        <v>792</v>
      </c>
      <c r="G25" s="276" t="s">
        <v>1089</v>
      </c>
      <c r="H25" s="276"/>
      <c r="I25" s="276"/>
      <c r="J25" s="276"/>
    </row>
    <row r="26" spans="2:10">
      <c r="B26" s="372" t="s">
        <v>113</v>
      </c>
      <c r="C26" s="372"/>
      <c r="D26" s="372"/>
      <c r="E26" s="372"/>
      <c r="F26" s="373"/>
      <c r="G26" s="372"/>
      <c r="H26" s="372"/>
      <c r="I26" s="372"/>
      <c r="J26" s="372"/>
    </row>
    <row r="27" spans="2:10">
      <c r="B27" s="276" t="s">
        <v>777</v>
      </c>
      <c r="C27" s="276" t="str">
        <f>_xlfn.TEXTJOIN(",",TRUE,Regions!$C$3:'Regions'!$AD$3)</f>
        <v>IE,IE-CW,IE-D,IE-KE,IE-KK,IE-LS,IE-LD,IE-LH,IE-MH,IE-OY,IE-WH,IE-WX,IE-WW,IE-CE,IE-CO,IE-KY,IE-LK,IE-TA,IE-WD,IE-G,IE-LM,IE-MO,IE-RN,IE-SO,IE-CN,IE-DL,IE-MN</v>
      </c>
      <c r="D27" s="1" t="s">
        <v>1035</v>
      </c>
      <c r="E27" s="1" t="s">
        <v>964</v>
      </c>
      <c r="F27" s="276" t="s">
        <v>792</v>
      </c>
      <c r="G27" s="276" t="s">
        <v>1089</v>
      </c>
      <c r="H27" s="276"/>
      <c r="I27" s="276"/>
      <c r="J27" s="276"/>
    </row>
    <row r="28" spans="2:10">
      <c r="B28" s="276" t="s">
        <v>777</v>
      </c>
      <c r="C28" s="276" t="str">
        <f>_xlfn.TEXTJOIN(",",TRUE,Regions!$C$3:'Regions'!$AD$3)</f>
        <v>IE,IE-CW,IE-D,IE-KE,IE-KK,IE-LS,IE-LD,IE-LH,IE-MH,IE-OY,IE-WH,IE-WX,IE-WW,IE-CE,IE-CO,IE-KY,IE-LK,IE-TA,IE-WD,IE-G,IE-LM,IE-MO,IE-RN,IE-SO,IE-CN,IE-DL,IE-MN</v>
      </c>
      <c r="D28" s="1" t="s">
        <v>1036</v>
      </c>
      <c r="E28" s="1" t="s">
        <v>965</v>
      </c>
      <c r="F28" s="276" t="s">
        <v>792</v>
      </c>
      <c r="G28" s="276" t="s">
        <v>1089</v>
      </c>
      <c r="H28" s="276"/>
      <c r="I28" s="276"/>
      <c r="J28" s="276"/>
    </row>
    <row r="29" spans="2:10">
      <c r="B29" s="276" t="s">
        <v>777</v>
      </c>
      <c r="C29" s="276" t="str">
        <f>_xlfn.TEXTJOIN(",",TRUE,Regions!$C$3:'Regions'!$AD$3)</f>
        <v>IE,IE-CW,IE-D,IE-KE,IE-KK,IE-LS,IE-LD,IE-LH,IE-MH,IE-OY,IE-WH,IE-WX,IE-WW,IE-CE,IE-CO,IE-KY,IE-LK,IE-TA,IE-WD,IE-G,IE-LM,IE-MO,IE-RN,IE-SO,IE-CN,IE-DL,IE-MN</v>
      </c>
      <c r="D29" s="1" t="s">
        <v>966</v>
      </c>
      <c r="E29" s="1" t="s">
        <v>967</v>
      </c>
      <c r="F29" s="276" t="s">
        <v>792</v>
      </c>
      <c r="G29" s="276" t="s">
        <v>1089</v>
      </c>
      <c r="H29" s="276"/>
      <c r="I29" s="276"/>
      <c r="J29" s="276"/>
    </row>
    <row r="30" spans="2:10">
      <c r="B30" s="371" t="s">
        <v>1090</v>
      </c>
      <c r="C30" s="371"/>
      <c r="D30" s="371"/>
      <c r="E30" s="371"/>
      <c r="F30" s="371"/>
      <c r="G30" s="371"/>
      <c r="H30" s="371"/>
      <c r="I30" s="371"/>
      <c r="J30" s="371"/>
    </row>
    <row r="31" spans="2:10">
      <c r="B31" s="372" t="s">
        <v>783</v>
      </c>
      <c r="C31" s="372"/>
      <c r="D31" s="372"/>
      <c r="E31" s="372"/>
      <c r="F31" s="373"/>
      <c r="G31" s="372"/>
      <c r="H31" s="372"/>
      <c r="I31" s="372"/>
      <c r="J31" s="372"/>
    </row>
    <row r="32" spans="2:10">
      <c r="B32" s="276" t="s">
        <v>777</v>
      </c>
      <c r="C32" s="276" t="str">
        <f>_xlfn.TEXTJOIN(",",TRUE,Regions!$C$3:'Regions'!$AD$3)</f>
        <v>IE,IE-CW,IE-D,IE-KE,IE-KK,IE-LS,IE-LD,IE-LH,IE-MH,IE-OY,IE-WH,IE-WX,IE-WW,IE-CE,IE-CO,IE-KY,IE-LK,IE-TA,IE-WD,IE-G,IE-LM,IE-MO,IE-RN,IE-SO,IE-CN,IE-DL,IE-MN</v>
      </c>
      <c r="D32" s="1" t="s">
        <v>968</v>
      </c>
      <c r="E32" s="1" t="s">
        <v>969</v>
      </c>
      <c r="F32" s="276" t="s">
        <v>899</v>
      </c>
      <c r="G32" s="276" t="s">
        <v>1089</v>
      </c>
      <c r="H32" s="276"/>
      <c r="I32" s="276"/>
      <c r="J32" s="276"/>
    </row>
    <row r="33" spans="2:10">
      <c r="B33" s="276" t="s">
        <v>777</v>
      </c>
      <c r="C33" s="276" t="str">
        <f>_xlfn.TEXTJOIN(",",TRUE,Regions!$C$3:'Regions'!$AD$3)</f>
        <v>IE,IE-CW,IE-D,IE-KE,IE-KK,IE-LS,IE-LD,IE-LH,IE-MH,IE-OY,IE-WH,IE-WX,IE-WW,IE-CE,IE-CO,IE-KY,IE-LK,IE-TA,IE-WD,IE-G,IE-LM,IE-MO,IE-RN,IE-SO,IE-CN,IE-DL,IE-MN</v>
      </c>
      <c r="D33" s="1" t="s">
        <v>1023</v>
      </c>
      <c r="E33" s="1" t="s">
        <v>1022</v>
      </c>
      <c r="F33" s="276" t="s">
        <v>899</v>
      </c>
      <c r="G33" s="276" t="s">
        <v>1089</v>
      </c>
      <c r="H33" s="276"/>
      <c r="I33" s="276"/>
      <c r="J33" s="276"/>
    </row>
    <row r="34" spans="2:10">
      <c r="B34" s="276" t="s">
        <v>777</v>
      </c>
      <c r="C34" s="276" t="str">
        <f>_xlfn.TEXTJOIN(",",TRUE,Regions!$C$3:'Regions'!$AD$3)</f>
        <v>IE,IE-CW,IE-D,IE-KE,IE-KK,IE-LS,IE-LD,IE-LH,IE-MH,IE-OY,IE-WH,IE-WX,IE-WW,IE-CE,IE-CO,IE-KY,IE-LK,IE-TA,IE-WD,IE-G,IE-LM,IE-MO,IE-RN,IE-SO,IE-CN,IE-DL,IE-MN</v>
      </c>
      <c r="D34" s="1" t="s">
        <v>1024</v>
      </c>
      <c r="E34" s="1" t="s">
        <v>1025</v>
      </c>
      <c r="F34" s="276" t="s">
        <v>899</v>
      </c>
      <c r="G34" s="276" t="s">
        <v>1089</v>
      </c>
      <c r="H34" s="276"/>
      <c r="I34" s="276"/>
      <c r="J34" s="276"/>
    </row>
    <row r="35" spans="2:10">
      <c r="B35" s="276" t="s">
        <v>777</v>
      </c>
      <c r="C35" s="276" t="str">
        <f>_xlfn.TEXTJOIN(",",TRUE,Regions!$C$3:'Regions'!$AD$3)</f>
        <v>IE,IE-CW,IE-D,IE-KE,IE-KK,IE-LS,IE-LD,IE-LH,IE-MH,IE-OY,IE-WH,IE-WX,IE-WW,IE-CE,IE-CO,IE-KY,IE-LK,IE-TA,IE-WD,IE-G,IE-LM,IE-MO,IE-RN,IE-SO,IE-CN,IE-DL,IE-MN</v>
      </c>
      <c r="D35" s="1" t="s">
        <v>970</v>
      </c>
      <c r="E35" s="1" t="s">
        <v>971</v>
      </c>
      <c r="F35" s="276" t="s">
        <v>899</v>
      </c>
      <c r="G35" s="276" t="s">
        <v>1089</v>
      </c>
      <c r="H35" s="276"/>
      <c r="I35" s="276"/>
      <c r="J35" s="276"/>
    </row>
    <row r="36" spans="2:10">
      <c r="B36" s="276" t="s">
        <v>777</v>
      </c>
      <c r="C36" s="276" t="str">
        <f>_xlfn.TEXTJOIN(",",TRUE,Regions!$C$3:'Regions'!$AD$3)</f>
        <v>IE,IE-CW,IE-D,IE-KE,IE-KK,IE-LS,IE-LD,IE-LH,IE-MH,IE-OY,IE-WH,IE-WX,IE-WW,IE-CE,IE-CO,IE-KY,IE-LK,IE-TA,IE-WD,IE-G,IE-LM,IE-MO,IE-RN,IE-SO,IE-CN,IE-DL,IE-MN</v>
      </c>
      <c r="D36" s="1" t="s">
        <v>972</v>
      </c>
      <c r="E36" s="1" t="s">
        <v>973</v>
      </c>
      <c r="F36" s="276" t="s">
        <v>899</v>
      </c>
      <c r="G36" s="276" t="s">
        <v>1089</v>
      </c>
      <c r="H36" s="276"/>
      <c r="I36" s="276"/>
      <c r="J36" s="276"/>
    </row>
    <row r="37" spans="2:10">
      <c r="B37" s="372" t="s">
        <v>713</v>
      </c>
      <c r="C37" s="372"/>
      <c r="D37" s="372"/>
      <c r="E37" s="372"/>
      <c r="F37" s="373"/>
      <c r="G37" s="372"/>
      <c r="H37" s="372"/>
      <c r="I37" s="372"/>
      <c r="J37" s="372"/>
    </row>
    <row r="38" spans="2:10">
      <c r="B38" s="276" t="s">
        <v>777</v>
      </c>
      <c r="C38" s="276" t="str">
        <f>_xlfn.TEXTJOIN(",",TRUE,Regions!$C$3:'Regions'!$AD$3)</f>
        <v>IE,IE-CW,IE-D,IE-KE,IE-KK,IE-LS,IE-LD,IE-LH,IE-MH,IE-OY,IE-WH,IE-WX,IE-WW,IE-CE,IE-CO,IE-KY,IE-LK,IE-TA,IE-WD,IE-G,IE-LM,IE-MO,IE-RN,IE-SO,IE-CN,IE-DL,IE-MN</v>
      </c>
      <c r="D38" s="1" t="s">
        <v>974</v>
      </c>
      <c r="E38" s="1" t="s">
        <v>975</v>
      </c>
      <c r="F38" s="276" t="s">
        <v>86</v>
      </c>
      <c r="G38" s="275" t="s">
        <v>794</v>
      </c>
      <c r="H38" s="276"/>
      <c r="I38" s="276"/>
      <c r="J38" s="276"/>
    </row>
    <row r="39" spans="2:10">
      <c r="B39" s="276" t="s">
        <v>777</v>
      </c>
      <c r="C39" s="276" t="str">
        <f>_xlfn.TEXTJOIN(",",TRUE,Regions!$C$3:'Regions'!$AD$3)</f>
        <v>IE,IE-CW,IE-D,IE-KE,IE-KK,IE-LS,IE-LD,IE-LH,IE-MH,IE-OY,IE-WH,IE-WX,IE-WW,IE-CE,IE-CO,IE-KY,IE-LK,IE-TA,IE-WD,IE-G,IE-LM,IE-MO,IE-RN,IE-SO,IE-CN,IE-DL,IE-MN</v>
      </c>
      <c r="D39" s="1" t="s">
        <v>976</v>
      </c>
      <c r="E39" s="1" t="s">
        <v>977</v>
      </c>
      <c r="F39" s="276" t="s">
        <v>86</v>
      </c>
      <c r="G39" s="275" t="s">
        <v>794</v>
      </c>
      <c r="H39" s="276"/>
      <c r="I39" s="276"/>
      <c r="J39" s="276"/>
    </row>
    <row r="40" spans="2:10">
      <c r="B40" s="276" t="s">
        <v>777</v>
      </c>
      <c r="C40" s="276" t="str">
        <f>_xlfn.TEXTJOIN(",",TRUE,Regions!$C$3:'Regions'!$AD$3)</f>
        <v>IE,IE-CW,IE-D,IE-KE,IE-KK,IE-LS,IE-LD,IE-LH,IE-MH,IE-OY,IE-WH,IE-WX,IE-WW,IE-CE,IE-CO,IE-KY,IE-LK,IE-TA,IE-WD,IE-G,IE-LM,IE-MO,IE-RN,IE-SO,IE-CN,IE-DL,IE-MN</v>
      </c>
      <c r="D40" s="1" t="s">
        <v>978</v>
      </c>
      <c r="E40" s="1" t="s">
        <v>979</v>
      </c>
      <c r="F40" s="276" t="s">
        <v>86</v>
      </c>
      <c r="G40" s="275" t="s">
        <v>794</v>
      </c>
      <c r="H40" s="276"/>
      <c r="I40" s="276"/>
      <c r="J40" s="276"/>
    </row>
    <row r="41" spans="2:10">
      <c r="B41" s="372" t="s">
        <v>714</v>
      </c>
      <c r="C41" s="372"/>
      <c r="D41" s="372"/>
      <c r="E41" s="372"/>
      <c r="F41" s="373"/>
      <c r="G41" s="372"/>
      <c r="H41" s="372"/>
      <c r="I41" s="372"/>
      <c r="J41" s="372"/>
    </row>
    <row r="42" spans="2:10">
      <c r="B42" s="276" t="s">
        <v>777</v>
      </c>
      <c r="C42" s="276" t="str">
        <f>_xlfn.TEXTJOIN(",",TRUE,Regions!$C$3:'Regions'!$AD$3)</f>
        <v>IE,IE-CW,IE-D,IE-KE,IE-KK,IE-LS,IE-LD,IE-LH,IE-MH,IE-OY,IE-WH,IE-WX,IE-WW,IE-CE,IE-CO,IE-KY,IE-LK,IE-TA,IE-WD,IE-G,IE-LM,IE-MO,IE-RN,IE-SO,IE-CN,IE-DL,IE-MN</v>
      </c>
      <c r="D42" s="1" t="s">
        <v>980</v>
      </c>
      <c r="E42" s="1" t="s">
        <v>981</v>
      </c>
      <c r="F42" s="276" t="s">
        <v>86</v>
      </c>
      <c r="G42" s="275" t="s">
        <v>794</v>
      </c>
      <c r="H42" s="276"/>
      <c r="I42" s="276"/>
      <c r="J42" s="276"/>
    </row>
    <row r="43" spans="2:10">
      <c r="B43" s="276" t="s">
        <v>777</v>
      </c>
      <c r="C43" s="276" t="str">
        <f>_xlfn.TEXTJOIN(",",TRUE,Regions!$C$3:'Regions'!$AD$3)</f>
        <v>IE,IE-CW,IE-D,IE-KE,IE-KK,IE-LS,IE-LD,IE-LH,IE-MH,IE-OY,IE-WH,IE-WX,IE-WW,IE-CE,IE-CO,IE-KY,IE-LK,IE-TA,IE-WD,IE-G,IE-LM,IE-MO,IE-RN,IE-SO,IE-CN,IE-DL,IE-MN</v>
      </c>
      <c r="D43" s="1" t="s">
        <v>982</v>
      </c>
      <c r="E43" s="1" t="s">
        <v>983</v>
      </c>
      <c r="F43" s="276" t="s">
        <v>86</v>
      </c>
      <c r="G43" s="275" t="s">
        <v>794</v>
      </c>
      <c r="H43" s="276"/>
      <c r="I43" s="276"/>
      <c r="J43" s="276"/>
    </row>
    <row r="44" spans="2:10">
      <c r="B44" s="371" t="s">
        <v>1091</v>
      </c>
      <c r="C44" s="371"/>
      <c r="D44" s="371"/>
      <c r="E44" s="371"/>
      <c r="F44" s="371"/>
      <c r="G44" s="371"/>
      <c r="H44" s="371"/>
      <c r="I44" s="371"/>
      <c r="J44" s="371"/>
    </row>
    <row r="45" spans="2:10">
      <c r="B45" s="258" t="s">
        <v>787</v>
      </c>
      <c r="C45" s="1" t="str">
        <f>_xlfn.TEXTJOIN(",",TRUE,Regions!$C$3:'Regions'!$AD$3)</f>
        <v>IE,IE-CW,IE-D,IE-KE,IE-KK,IE-LS,IE-LD,IE-LH,IE-MH,IE-OY,IE-WH,IE-WX,IE-WW,IE-CE,IE-CO,IE-KY,IE-LK,IE-TA,IE-WD,IE-G,IE-LM,IE-MO,IE-RN,IE-SO,IE-CN,IE-DL,IE-MN</v>
      </c>
      <c r="D45" s="276" t="str">
        <f>_xlfn.TEXTJOIN("-",TRUE,"FT",Commodities!C6)</f>
        <v>FT-TRAWLK</v>
      </c>
      <c r="E45" s="277" t="str">
        <f>"TRA "&amp;Commodities!D6</f>
        <v>TRA Walking (TRA)</v>
      </c>
      <c r="F45" s="276" t="s">
        <v>86</v>
      </c>
      <c r="G45" s="276" t="s">
        <v>794</v>
      </c>
      <c r="H45" s="276"/>
      <c r="I45" s="276"/>
      <c r="J45" s="276"/>
    </row>
    <row r="46" spans="2:10">
      <c r="B46" s="258" t="s">
        <v>787</v>
      </c>
      <c r="C46" s="276" t="str">
        <f>_xlfn.TEXTJOIN(",",TRUE,Regions!$C$3:'Regions'!$AD$3)</f>
        <v>IE,IE-CW,IE-D,IE-KE,IE-KK,IE-LS,IE-LD,IE-LH,IE-MH,IE-OY,IE-WH,IE-WX,IE-WW,IE-CE,IE-CO,IE-KY,IE-LK,IE-TA,IE-WD,IE-G,IE-LM,IE-MO,IE-RN,IE-SO,IE-CN,IE-DL,IE-MN</v>
      </c>
      <c r="D46" s="276" t="str">
        <f>_xlfn.TEXTJOIN("-",TRUE,"FT",Commodities!C7)</f>
        <v>FT-TRACYC</v>
      </c>
      <c r="E46" s="277" t="str">
        <f>"TRA "&amp;Commodities!D7</f>
        <v>TRA Cycling (TRA)</v>
      </c>
      <c r="F46" s="276" t="s">
        <v>86</v>
      </c>
      <c r="G46" s="276" t="s">
        <v>794</v>
      </c>
      <c r="H46" s="276"/>
      <c r="I46" s="276"/>
      <c r="J46" s="276"/>
    </row>
    <row r="47" spans="2:10">
      <c r="B47" s="258" t="s">
        <v>787</v>
      </c>
      <c r="C47" s="276" t="str">
        <f>_xlfn.TEXTJOIN(",",TRUE,Regions!$C$3:'Regions'!$AD$3)</f>
        <v>IE,IE-CW,IE-D,IE-KE,IE-KK,IE-LS,IE-LD,IE-LH,IE-MH,IE-OY,IE-WH,IE-WX,IE-WW,IE-CE,IE-CO,IE-KY,IE-LK,IE-TA,IE-WD,IE-G,IE-LM,IE-MO,IE-RN,IE-SO,IE-CN,IE-DL,IE-MN</v>
      </c>
      <c r="D47" s="276" t="str">
        <f>_xlfn.TEXTJOIN("-",TRUE,"FT",Commodities!C8)</f>
        <v>FT-TRAGSL</v>
      </c>
      <c r="E47" s="277" t="str">
        <f>"TRA "&amp;Commodities!D8</f>
        <v>TRA Gasoline (TRA)</v>
      </c>
      <c r="F47" s="276" t="s">
        <v>86</v>
      </c>
      <c r="G47" s="276" t="s">
        <v>794</v>
      </c>
      <c r="H47" s="276"/>
      <c r="I47" s="276"/>
      <c r="J47" s="276"/>
    </row>
    <row r="48" spans="2:10">
      <c r="B48" s="258" t="s">
        <v>787</v>
      </c>
      <c r="C48" s="275" t="str">
        <f>_xlfn.TEXTJOIN(",",TRUE,Regions!$C$3:'Regions'!$AD$3)</f>
        <v>IE,IE-CW,IE-D,IE-KE,IE-KK,IE-LS,IE-LD,IE-LH,IE-MH,IE-OY,IE-WH,IE-WX,IE-WW,IE-CE,IE-CO,IE-KY,IE-LK,IE-TA,IE-WD,IE-G,IE-LM,IE-MO,IE-RN,IE-SO,IE-CN,IE-DL,IE-MN</v>
      </c>
      <c r="D48" s="276" t="str">
        <f>_xlfn.TEXTJOIN("-",TRUE,"FT",Commodities!C9)</f>
        <v>FT-TRADST</v>
      </c>
      <c r="E48" s="277" t="str">
        <f>"TRA "&amp;Commodities!D9</f>
        <v>TRA Diesel (TRA)</v>
      </c>
      <c r="F48" s="276" t="s">
        <v>86</v>
      </c>
      <c r="G48" s="276" t="s">
        <v>794</v>
      </c>
      <c r="H48" s="275"/>
      <c r="I48" s="275"/>
      <c r="J48" s="275"/>
    </row>
    <row r="49" spans="2:10">
      <c r="B49" s="258" t="s">
        <v>787</v>
      </c>
      <c r="C49" s="275" t="str">
        <f>_xlfn.TEXTJOIN(",",TRUE,Regions!$C$3:'Regions'!$AD$3)</f>
        <v>IE,IE-CW,IE-D,IE-KE,IE-KK,IE-LS,IE-LD,IE-LH,IE-MH,IE-OY,IE-WH,IE-WX,IE-WW,IE-CE,IE-CO,IE-KY,IE-LK,IE-TA,IE-WD,IE-G,IE-LM,IE-MO,IE-RN,IE-SO,IE-CN,IE-DL,IE-MN</v>
      </c>
      <c r="D49" s="276" t="str">
        <f>_xlfn.TEXTJOIN("-",TRUE,"FT",Commodities!C10)</f>
        <v>FT-TRAETH</v>
      </c>
      <c r="E49" s="277" t="str">
        <f>"TRA "&amp;Commodities!D10</f>
        <v>TRA BioEthanol (TRA)</v>
      </c>
      <c r="F49" s="276" t="s">
        <v>86</v>
      </c>
      <c r="G49" s="276" t="s">
        <v>794</v>
      </c>
      <c r="H49" s="275"/>
      <c r="I49" s="275"/>
      <c r="J49" s="275"/>
    </row>
    <row r="50" spans="2:10">
      <c r="B50" s="258" t="s">
        <v>787</v>
      </c>
      <c r="C50" s="275" t="str">
        <f>_xlfn.TEXTJOIN(",",TRUE,Regions!$C$3:'Regions'!$AD$3)</f>
        <v>IE,IE-CW,IE-D,IE-KE,IE-KK,IE-LS,IE-LD,IE-LH,IE-MH,IE-OY,IE-WH,IE-WX,IE-WW,IE-CE,IE-CO,IE-KY,IE-LK,IE-TA,IE-WD,IE-G,IE-LM,IE-MO,IE-RN,IE-SO,IE-CN,IE-DL,IE-MN</v>
      </c>
      <c r="D50" s="276" t="str">
        <f>_xlfn.TEXTJOIN("-",TRUE,"FT",Commodities!C11)</f>
        <v>FT-TRABDL</v>
      </c>
      <c r="E50" s="277" t="str">
        <f>"TRA "&amp;Commodities!D11</f>
        <v>TRA BioDiesel (TRA)</v>
      </c>
      <c r="F50" s="276" t="s">
        <v>86</v>
      </c>
      <c r="G50" s="276" t="s">
        <v>794</v>
      </c>
      <c r="H50" s="275"/>
      <c r="I50" s="275"/>
      <c r="J50" s="275"/>
    </row>
    <row r="51" spans="2:10">
      <c r="B51" s="259" t="s">
        <v>787</v>
      </c>
      <c r="C51" s="275" t="str">
        <f>_xlfn.TEXTJOIN(",",TRUE,Regions!$C$3:'Regions'!$AD$3)</f>
        <v>IE,IE-CW,IE-D,IE-KE,IE-KK,IE-LS,IE-LD,IE-LH,IE-MH,IE-OY,IE-WH,IE-WX,IE-WW,IE-CE,IE-CO,IE-KY,IE-LK,IE-TA,IE-WD,IE-G,IE-LM,IE-MO,IE-RN,IE-SO,IE-CN,IE-DL,IE-MN</v>
      </c>
      <c r="D51" s="276" t="str">
        <f>_xlfn.TEXTJOIN("-",TRUE,"FT",Commodities!C12)</f>
        <v>FT-TRABJK</v>
      </c>
      <c r="E51" s="277" t="str">
        <f>"TRA "&amp;Commodities!D12</f>
        <v>TRA Bio Jet Kerosene (TRA)</v>
      </c>
      <c r="F51" s="276" t="s">
        <v>86</v>
      </c>
      <c r="G51" s="276" t="s">
        <v>794</v>
      </c>
      <c r="H51" s="275"/>
      <c r="I51" s="275"/>
      <c r="J51" s="275"/>
    </row>
    <row r="52" spans="2:10">
      <c r="B52" s="258" t="s">
        <v>787</v>
      </c>
      <c r="C52" s="275" t="str">
        <f>_xlfn.TEXTJOIN(",",TRUE,Regions!$C$3:'Regions'!$AD$3)</f>
        <v>IE,IE-CW,IE-D,IE-KE,IE-KK,IE-LS,IE-LD,IE-LH,IE-MH,IE-OY,IE-WH,IE-WX,IE-WW,IE-CE,IE-CO,IE-KY,IE-LK,IE-TA,IE-WD,IE-G,IE-LM,IE-MO,IE-RN,IE-SO,IE-CN,IE-DL,IE-MN</v>
      </c>
      <c r="D52" s="276" t="str">
        <f>_xlfn.TEXTJOIN("-",TRUE,"FT",Commodities!C13)</f>
        <v>FT-TRACNG</v>
      </c>
      <c r="E52" s="277" t="str">
        <f>"TRA "&amp;Commodities!D13</f>
        <v>TRA CNG (TRA)</v>
      </c>
      <c r="F52" s="276" t="s">
        <v>86</v>
      </c>
      <c r="G52" s="276" t="s">
        <v>794</v>
      </c>
      <c r="H52" s="275"/>
      <c r="I52" s="275"/>
      <c r="J52" s="275"/>
    </row>
    <row r="53" spans="2:10">
      <c r="B53" s="258" t="s">
        <v>787</v>
      </c>
      <c r="C53" s="275" t="str">
        <f>_xlfn.TEXTJOIN(",",TRUE,Regions!$C$3:'Regions'!$AD$3)</f>
        <v>IE,IE-CW,IE-D,IE-KE,IE-KK,IE-LS,IE-LD,IE-LH,IE-MH,IE-OY,IE-WH,IE-WX,IE-WW,IE-CE,IE-CO,IE-KY,IE-LK,IE-TA,IE-WD,IE-G,IE-LM,IE-MO,IE-RN,IE-SO,IE-CN,IE-DL,IE-MN</v>
      </c>
      <c r="D53" s="276" t="str">
        <f>_xlfn.TEXTJOIN("-",TRUE,"FT",Commodities!C14)</f>
        <v>FT-TRABNG</v>
      </c>
      <c r="E53" s="277" t="str">
        <f>"TRA "&amp;Commodities!D14</f>
        <v>TRA BioCNG (TRA)</v>
      </c>
      <c r="F53" s="276" t="s">
        <v>86</v>
      </c>
      <c r="G53" s="276" t="s">
        <v>794</v>
      </c>
      <c r="H53" s="275"/>
      <c r="I53" s="275"/>
      <c r="J53" s="275"/>
    </row>
    <row r="54" spans="2:10">
      <c r="B54" s="259" t="s">
        <v>787</v>
      </c>
      <c r="C54" s="275" t="str">
        <f>_xlfn.TEXTJOIN(",",TRUE,Regions!$C$3:'Regions'!$AD$3)</f>
        <v>IE,IE-CW,IE-D,IE-KE,IE-KK,IE-LS,IE-LD,IE-LH,IE-MH,IE-OY,IE-WH,IE-WX,IE-WW,IE-CE,IE-CO,IE-KY,IE-LK,IE-TA,IE-WD,IE-G,IE-LM,IE-MO,IE-RN,IE-SO,IE-CN,IE-DL,IE-MN</v>
      </c>
      <c r="D54" s="276" t="str">
        <f>_xlfn.TEXTJOIN("-",TRUE,"FT",Commodities!C15)</f>
        <v>FT-TRAELC</v>
      </c>
      <c r="E54" s="277" t="str">
        <f>"TRA "&amp;Commodities!D15</f>
        <v>TRA Electricity (TRA)</v>
      </c>
      <c r="F54" s="276" t="s">
        <v>86</v>
      </c>
      <c r="G54" s="276" t="s">
        <v>794</v>
      </c>
      <c r="H54" s="276" t="s">
        <v>88</v>
      </c>
      <c r="I54" s="275"/>
      <c r="J54" s="275"/>
    </row>
    <row r="55" spans="2:10">
      <c r="B55" s="258" t="s">
        <v>787</v>
      </c>
      <c r="C55" s="275" t="str">
        <f>_xlfn.TEXTJOIN(",",TRUE,Regions!$C$3:'Regions'!$AD$3)</f>
        <v>IE,IE-CW,IE-D,IE-KE,IE-KK,IE-LS,IE-LD,IE-LH,IE-MH,IE-OY,IE-WH,IE-WX,IE-WW,IE-CE,IE-CO,IE-KY,IE-LK,IE-TA,IE-WD,IE-G,IE-LM,IE-MO,IE-RN,IE-SO,IE-CN,IE-DL,IE-MN</v>
      </c>
      <c r="D55" s="276" t="str">
        <f>_xlfn.TEXTJOIN("-",TRUE,"FT",Commodities!C16)</f>
        <v>FT-TRALNG</v>
      </c>
      <c r="E55" s="277" t="str">
        <f>"TRA "&amp;Commodities!D16</f>
        <v>TRA LNG (TRA)</v>
      </c>
      <c r="F55" s="276" t="s">
        <v>86</v>
      </c>
      <c r="G55" s="276" t="s">
        <v>794</v>
      </c>
      <c r="H55" s="275"/>
      <c r="I55" s="275"/>
      <c r="J55" s="275"/>
    </row>
    <row r="56" spans="2:10">
      <c r="B56" s="259" t="s">
        <v>787</v>
      </c>
      <c r="C56" s="259" t="str">
        <f>_xlfn.TEXTJOIN(",",TRUE,Regions!$C$3:'Regions'!$AD$3)</f>
        <v>IE,IE-CW,IE-D,IE-KE,IE-KK,IE-LS,IE-LD,IE-LH,IE-MH,IE-OY,IE-WH,IE-WX,IE-WW,IE-CE,IE-CO,IE-KY,IE-LK,IE-TA,IE-WD,IE-G,IE-LM,IE-MO,IE-RN,IE-SO,IE-CN,IE-DL,IE-MN</v>
      </c>
      <c r="D56" s="259" t="str">
        <f>_xlfn.TEXTJOIN("-",TRUE,"FT",Commodities!C17)</f>
        <v>FT-TRAH2</v>
      </c>
      <c r="E56" s="259" t="str">
        <f>"TRA "&amp;Commodities!D17</f>
        <v>TRA Hydrogen (TRA)</v>
      </c>
      <c r="F56" s="259" t="s">
        <v>86</v>
      </c>
      <c r="G56" s="259" t="s">
        <v>794</v>
      </c>
      <c r="H56" s="259"/>
      <c r="I56" s="259"/>
      <c r="J56" s="259"/>
    </row>
    <row r="57" spans="2:10">
      <c r="B57" s="259" t="s">
        <v>787</v>
      </c>
      <c r="C57" s="259" t="str">
        <f>_xlfn.TEXTJOIN(",",TRUE,Regions!$C$3:'Regions'!$AD$3)</f>
        <v>IE,IE-CW,IE-D,IE-KE,IE-KK,IE-LS,IE-LD,IE-LH,IE-MH,IE-OY,IE-WH,IE-WX,IE-WW,IE-CE,IE-CO,IE-KY,IE-LK,IE-TA,IE-WD,IE-G,IE-LM,IE-MO,IE-RN,IE-SO,IE-CN,IE-DL,IE-MN</v>
      </c>
      <c r="D57" s="259" t="str">
        <f>_xlfn.TEXTJOIN("-",TRUE,"FT",Commodities!C18)</f>
        <v>FT-TRAKER</v>
      </c>
      <c r="E57" s="259" t="str">
        <f>"TRA "&amp;Commodities!D18</f>
        <v>TRA Kerosene (TRA)</v>
      </c>
      <c r="F57" s="259" t="s">
        <v>86</v>
      </c>
      <c r="G57" s="259" t="s">
        <v>794</v>
      </c>
      <c r="H57" s="259"/>
      <c r="I57" s="259"/>
      <c r="J57" s="259"/>
    </row>
    <row r="58" spans="2:10">
      <c r="B58" s="717" t="s">
        <v>787</v>
      </c>
      <c r="C58" s="717" t="str">
        <f>_xlfn.TEXTJOIN(",",TRUE,Regions!$C$3:'Regions'!$AD$3)</f>
        <v>IE,IE-CW,IE-D,IE-KE,IE-KK,IE-LS,IE-LD,IE-LH,IE-MH,IE-OY,IE-WH,IE-WX,IE-WW,IE-CE,IE-CO,IE-KY,IE-LK,IE-TA,IE-WD,IE-G,IE-LM,IE-MO,IE-RN,IE-SO,IE-CN,IE-DL,IE-MN</v>
      </c>
      <c r="D58" s="717" t="s">
        <v>1165</v>
      </c>
      <c r="E58" s="717" t="s">
        <v>1166</v>
      </c>
      <c r="F58" s="717" t="s">
        <v>86</v>
      </c>
      <c r="G58" s="717" t="s">
        <v>794</v>
      </c>
      <c r="H58" s="259"/>
      <c r="I58" s="259"/>
      <c r="J58" s="259"/>
    </row>
    <row r="59" spans="2:10">
      <c r="B59" s="717" t="s">
        <v>787</v>
      </c>
      <c r="C59" s="717" t="str">
        <f>_xlfn.TEXTJOIN(",",TRUE,Regions!$C$3:'Regions'!$AD$3)</f>
        <v>IE,IE-CW,IE-D,IE-KE,IE-KK,IE-LS,IE-LD,IE-LH,IE-MH,IE-OY,IE-WH,IE-WX,IE-WW,IE-CE,IE-CO,IE-KY,IE-LK,IE-TA,IE-WD,IE-G,IE-LM,IE-MO,IE-RN,IE-SO,IE-CN,IE-DL,IE-MN</v>
      </c>
      <c r="D59" s="717" t="s">
        <v>1199</v>
      </c>
      <c r="E59" s="717" t="s">
        <v>1210</v>
      </c>
      <c r="F59" s="717" t="s">
        <v>86</v>
      </c>
      <c r="G59" s="717" t="s">
        <v>794</v>
      </c>
      <c r="H59" s="259"/>
      <c r="I59" s="259"/>
      <c r="J59" s="259"/>
    </row>
    <row r="60" spans="2:10">
      <c r="B60" s="717" t="s">
        <v>787</v>
      </c>
      <c r="C60" s="717" t="str">
        <f>_xlfn.TEXTJOIN(",",TRUE,Regions!$C$3:'Regions'!$AD$3)</f>
        <v>IE,IE-CW,IE-D,IE-KE,IE-KK,IE-LS,IE-LD,IE-LH,IE-MH,IE-OY,IE-WH,IE-WX,IE-WW,IE-CE,IE-CO,IE-KY,IE-LK,IE-TA,IE-WD,IE-G,IE-LM,IE-MO,IE-RN,IE-SO,IE-CN,IE-DL,IE-MN</v>
      </c>
      <c r="D60" s="717" t="s">
        <v>1195</v>
      </c>
      <c r="E60" s="717" t="s">
        <v>1211</v>
      </c>
      <c r="F60" s="717" t="s">
        <v>86</v>
      </c>
      <c r="G60" s="717" t="s">
        <v>794</v>
      </c>
      <c r="H60" s="259"/>
      <c r="I60" s="259"/>
      <c r="J60" s="259"/>
    </row>
    <row r="61" spans="2:10">
      <c r="B61" s="717" t="s">
        <v>787</v>
      </c>
      <c r="C61" s="717" t="str">
        <f>_xlfn.TEXTJOIN(",",TRUE,Regions!$C$3:'Regions'!$AD$3)</f>
        <v>IE,IE-CW,IE-D,IE-KE,IE-KK,IE-LS,IE-LD,IE-LH,IE-MH,IE-OY,IE-WH,IE-WX,IE-WW,IE-CE,IE-CO,IE-KY,IE-LK,IE-TA,IE-WD,IE-G,IE-LM,IE-MO,IE-RN,IE-SO,IE-CN,IE-DL,IE-MN</v>
      </c>
      <c r="D61" s="717" t="s">
        <v>1196</v>
      </c>
      <c r="E61" s="717" t="s">
        <v>1212</v>
      </c>
      <c r="F61" s="717" t="s">
        <v>86</v>
      </c>
      <c r="G61" s="717" t="s">
        <v>794</v>
      </c>
      <c r="H61" s="259"/>
      <c r="I61" s="259"/>
      <c r="J61" s="259"/>
    </row>
    <row r="62" spans="2:10">
      <c r="B62" s="717" t="s">
        <v>787</v>
      </c>
      <c r="C62" s="717" t="str">
        <f>_xlfn.TEXTJOIN(",",TRUE,Regions!$C$3:'Regions'!$AD$3)</f>
        <v>IE,IE-CW,IE-D,IE-KE,IE-KK,IE-LS,IE-LD,IE-LH,IE-MH,IE-OY,IE-WH,IE-WX,IE-WW,IE-CE,IE-CO,IE-KY,IE-LK,IE-TA,IE-WD,IE-G,IE-LM,IE-MO,IE-RN,IE-SO,IE-CN,IE-DL,IE-MN</v>
      </c>
      <c r="D62" s="717" t="s">
        <v>1197</v>
      </c>
      <c r="E62" s="717" t="s">
        <v>1213</v>
      </c>
      <c r="F62" s="717" t="s">
        <v>86</v>
      </c>
      <c r="G62" s="717" t="s">
        <v>794</v>
      </c>
      <c r="H62" s="259"/>
      <c r="I62" s="259"/>
      <c r="J62" s="259"/>
    </row>
    <row r="63" spans="2:10">
      <c r="B63" s="717" t="s">
        <v>787</v>
      </c>
      <c r="C63" s="717" t="str">
        <f>_xlfn.TEXTJOIN(",",TRUE,Regions!$C$3:'Regions'!$AD$3)</f>
        <v>IE,IE-CW,IE-D,IE-KE,IE-KK,IE-LS,IE-LD,IE-LH,IE-MH,IE-OY,IE-WH,IE-WX,IE-WW,IE-CE,IE-CO,IE-KY,IE-LK,IE-TA,IE-WD,IE-G,IE-LM,IE-MO,IE-RN,IE-SO,IE-CN,IE-DL,IE-MN</v>
      </c>
      <c r="D63" s="717" t="s">
        <v>1198</v>
      </c>
      <c r="E63" s="717" t="s">
        <v>1214</v>
      </c>
      <c r="F63" s="717" t="s">
        <v>86</v>
      </c>
      <c r="G63" s="717" t="s">
        <v>794</v>
      </c>
      <c r="H63" s="259"/>
      <c r="I63" s="259"/>
      <c r="J63" s="259"/>
    </row>
    <row r="64" spans="2:10">
      <c r="B64" s="371" t="s">
        <v>1093</v>
      </c>
      <c r="C64" s="371"/>
      <c r="D64" s="371"/>
      <c r="E64" s="371"/>
      <c r="F64" s="371"/>
      <c r="G64" s="371"/>
      <c r="H64" s="371"/>
      <c r="I64" s="371"/>
      <c r="J64" s="371"/>
    </row>
    <row r="65" spans="2:10">
      <c r="B65" s="1" t="s">
        <v>787</v>
      </c>
      <c r="C65" s="1" t="str">
        <f>_xlfn.TEXTJOIN(",",TRUE,Regions!$C$3:'Regions'!$AD$3)</f>
        <v>IE,IE-CW,IE-D,IE-KE,IE-KK,IE-LS,IE-LD,IE-LH,IE-MH,IE-OY,IE-WH,IE-WX,IE-WW,IE-CE,IE-CO,IE-KY,IE-LK,IE-TA,IE-WD,IE-G,IE-LM,IE-MO,IE-RN,IE-SO,IE-CN,IE-DL,IE-MN</v>
      </c>
      <c r="D65" s="1" t="s">
        <v>907</v>
      </c>
      <c r="E65" s="1" t="s">
        <v>911</v>
      </c>
      <c r="F65" s="275" t="s">
        <v>86</v>
      </c>
      <c r="G65" s="275" t="s">
        <v>794</v>
      </c>
      <c r="H65" s="1"/>
      <c r="I65" s="1"/>
      <c r="J65" s="275"/>
    </row>
    <row r="66" spans="2:10">
      <c r="B66" s="1" t="s">
        <v>787</v>
      </c>
      <c r="C66" s="1" t="str">
        <f>_xlfn.TEXTJOIN(",",TRUE,Regions!$C$3:'Regions'!$AD$3)</f>
        <v>IE,IE-CW,IE-D,IE-KE,IE-KK,IE-LS,IE-LD,IE-LH,IE-MH,IE-OY,IE-WH,IE-WX,IE-WW,IE-CE,IE-CO,IE-KY,IE-LK,IE-TA,IE-WD,IE-G,IE-LM,IE-MO,IE-RN,IE-SO,IE-CN,IE-DL,IE-MN</v>
      </c>
      <c r="D66" s="275" t="s">
        <v>908</v>
      </c>
      <c r="E66" s="1" t="s">
        <v>912</v>
      </c>
      <c r="F66" s="275" t="s">
        <v>86</v>
      </c>
      <c r="G66" s="275" t="s">
        <v>794</v>
      </c>
      <c r="H66" s="1"/>
      <c r="I66" s="1"/>
      <c r="J66" s="275"/>
    </row>
    <row r="67" spans="2:10">
      <c r="B67" s="1" t="s">
        <v>787</v>
      </c>
      <c r="C67" s="1" t="str">
        <f>_xlfn.TEXTJOIN(",",TRUE,Regions!$C$3:'Regions'!$AD$3)</f>
        <v>IE,IE-CW,IE-D,IE-KE,IE-KK,IE-LS,IE-LD,IE-LH,IE-MH,IE-OY,IE-WH,IE-WX,IE-WW,IE-CE,IE-CO,IE-KY,IE-LK,IE-TA,IE-WD,IE-G,IE-LM,IE-MO,IE-RN,IE-SO,IE-CN,IE-DL,IE-MN</v>
      </c>
      <c r="D67" s="1" t="s">
        <v>909</v>
      </c>
      <c r="E67" s="1" t="s">
        <v>910</v>
      </c>
      <c r="F67" s="275" t="s">
        <v>86</v>
      </c>
      <c r="G67" s="275" t="s">
        <v>794</v>
      </c>
      <c r="H67" s="1"/>
      <c r="I67" s="1"/>
      <c r="J67" s="275"/>
    </row>
    <row r="68" spans="2:10">
      <c r="B68" s="1" t="s">
        <v>787</v>
      </c>
      <c r="C68" s="1" t="str">
        <f>_xlfn.TEXTJOIN(",",TRUE,Regions!$C$3:'Regions'!$AD$3)</f>
        <v>IE,IE-CW,IE-D,IE-KE,IE-KK,IE-LS,IE-LD,IE-LH,IE-MH,IE-OY,IE-WH,IE-WX,IE-WW,IE-CE,IE-CO,IE-KY,IE-LK,IE-TA,IE-WD,IE-G,IE-LM,IE-MO,IE-RN,IE-SO,IE-CN,IE-DL,IE-MN</v>
      </c>
      <c r="D68" s="1" t="s">
        <v>913</v>
      </c>
      <c r="E68" s="1" t="s">
        <v>914</v>
      </c>
      <c r="F68" s="275" t="s">
        <v>86</v>
      </c>
      <c r="G68" s="275" t="s">
        <v>794</v>
      </c>
      <c r="H68" s="1"/>
      <c r="I68" s="1"/>
      <c r="J68" s="275"/>
    </row>
    <row r="69" spans="2:10">
      <c r="B69" s="1" t="s">
        <v>787</v>
      </c>
      <c r="C69" s="1" t="str">
        <f>_xlfn.TEXTJOIN(",",TRUE,Regions!$C$3:'Regions'!$AD$3)</f>
        <v>IE,IE-CW,IE-D,IE-KE,IE-KK,IE-LS,IE-LD,IE-LH,IE-MH,IE-OY,IE-WH,IE-WX,IE-WW,IE-CE,IE-CO,IE-KY,IE-LK,IE-TA,IE-WD,IE-G,IE-LM,IE-MO,IE-RN,IE-SO,IE-CN,IE-DL,IE-MN</v>
      </c>
      <c r="D69" s="1" t="s">
        <v>1038</v>
      </c>
      <c r="E69" s="1" t="s">
        <v>1039</v>
      </c>
      <c r="F69" s="275" t="s">
        <v>86</v>
      </c>
      <c r="G69" s="275" t="s">
        <v>794</v>
      </c>
      <c r="H69" s="1"/>
      <c r="I69" s="1"/>
      <c r="J69" s="27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8770-3924-4885-8567-0F6B063A8714}">
  <sheetPr codeName="Sheet7"/>
  <dimension ref="A2:CI65"/>
  <sheetViews>
    <sheetView tabSelected="1" zoomScale="85" zoomScaleNormal="85" workbookViewId="0">
      <selection activeCell="P28" sqref="P28"/>
    </sheetView>
  </sheetViews>
  <sheetFormatPr defaultColWidth="8.81640625" defaultRowHeight="14.5"/>
  <cols>
    <col min="1" max="1" width="3.26953125" customWidth="1"/>
    <col min="2" max="2" width="8.7265625" customWidth="1"/>
    <col min="3" max="3" width="13" customWidth="1"/>
    <col min="4" max="4" width="20.26953125" bestFit="1" customWidth="1"/>
    <col min="5" max="5" width="11.26953125" customWidth="1"/>
    <col min="6" max="6" width="9.81640625" customWidth="1"/>
    <col min="7" max="7" width="12.81640625" bestFit="1" customWidth="1"/>
    <col min="8" max="9" width="14.81640625" bestFit="1" customWidth="1"/>
    <col min="10" max="10" width="14.1796875" customWidth="1"/>
    <col min="11" max="11" width="14.26953125" customWidth="1"/>
    <col min="12" max="12" width="16.1796875" customWidth="1"/>
    <col min="13" max="13" width="16.26953125" customWidth="1"/>
    <col min="14" max="14" width="16.6328125" customWidth="1"/>
    <col min="15" max="15" width="14.90625" customWidth="1"/>
  </cols>
  <sheetData>
    <row r="2" spans="2:16">
      <c r="E2" s="260" t="s">
        <v>75</v>
      </c>
      <c r="F2" s="260"/>
      <c r="H2" s="260"/>
      <c r="I2" s="260"/>
      <c r="J2" s="260"/>
    </row>
    <row r="3" spans="2:16">
      <c r="B3" s="261" t="s">
        <v>768</v>
      </c>
      <c r="C3" s="261" t="s">
        <v>69</v>
      </c>
      <c r="D3" s="262" t="s">
        <v>76</v>
      </c>
      <c r="E3" s="261" t="s">
        <v>77</v>
      </c>
      <c r="F3" s="271" t="s">
        <v>788</v>
      </c>
      <c r="G3" s="263" t="s">
        <v>795</v>
      </c>
      <c r="H3" s="263" t="s">
        <v>1098</v>
      </c>
      <c r="I3" s="263" t="s">
        <v>1146</v>
      </c>
      <c r="J3" s="263" t="s">
        <v>1100</v>
      </c>
      <c r="K3" s="263" t="s">
        <v>1099</v>
      </c>
      <c r="L3" s="263" t="s">
        <v>1215</v>
      </c>
      <c r="M3" s="263" t="s">
        <v>1258</v>
      </c>
      <c r="N3" s="263" t="s">
        <v>1217</v>
      </c>
      <c r="O3" s="263" t="s">
        <v>1218</v>
      </c>
      <c r="P3" s="263" t="s">
        <v>1219</v>
      </c>
    </row>
    <row r="4" spans="2:16" ht="26.5" thickBot="1">
      <c r="B4" s="374" t="s">
        <v>768</v>
      </c>
      <c r="C4" s="374" t="s">
        <v>78</v>
      </c>
      <c r="D4" s="374" t="s">
        <v>79</v>
      </c>
      <c r="E4" s="374" t="s">
        <v>80</v>
      </c>
      <c r="F4" s="374" t="s">
        <v>759</v>
      </c>
      <c r="G4" s="374" t="s">
        <v>796</v>
      </c>
      <c r="H4" s="374"/>
      <c r="I4" s="374"/>
      <c r="J4" s="374"/>
      <c r="K4" s="374"/>
      <c r="L4" s="374"/>
      <c r="M4" s="374"/>
      <c r="N4" s="374"/>
      <c r="O4" s="374"/>
      <c r="P4" s="374"/>
    </row>
    <row r="5" spans="2:16" ht="15" thickBot="1">
      <c r="B5" s="374" t="s">
        <v>769</v>
      </c>
      <c r="C5" s="374"/>
      <c r="D5" s="375"/>
      <c r="E5" s="375"/>
      <c r="F5" s="375"/>
      <c r="G5" s="375" t="s">
        <v>797</v>
      </c>
      <c r="H5" s="375" t="s">
        <v>770</v>
      </c>
      <c r="I5" s="375" t="s">
        <v>770</v>
      </c>
      <c r="J5" s="375" t="s">
        <v>770</v>
      </c>
      <c r="K5" s="375" t="s">
        <v>770</v>
      </c>
      <c r="L5" s="375" t="s">
        <v>1216</v>
      </c>
      <c r="M5" s="375" t="s">
        <v>1216</v>
      </c>
      <c r="N5" s="375" t="s">
        <v>1216</v>
      </c>
      <c r="O5" s="375" t="s">
        <v>1216</v>
      </c>
      <c r="P5" s="375"/>
    </row>
    <row r="6" spans="2:16" s="275" customFormat="1" ht="12.5">
      <c r="B6" s="258" t="str">
        <f>Processes!C45</f>
        <v>IE,IE-CW,IE-D,IE-KE,IE-KK,IE-LS,IE-LD,IE-LH,IE-MH,IE-OY,IE-WH,IE-WX,IE-WW,IE-CE,IE-CO,IE-KY,IE-LK,IE-TA,IE-WD,IE-G,IE-LM,IE-MO,IE-RN,IE-SO,IE-CN,IE-DL,IE-MN</v>
      </c>
      <c r="C6" s="258" t="str">
        <f>Processes!D45</f>
        <v>FT-TRAWLK</v>
      </c>
      <c r="D6" s="259" t="s">
        <v>785</v>
      </c>
      <c r="E6" s="258" t="str">
        <f>Commodities!C6</f>
        <v>TRAWLK</v>
      </c>
      <c r="F6" s="275">
        <v>1</v>
      </c>
      <c r="G6" s="275">
        <v>50</v>
      </c>
      <c r="H6" s="275">
        <v>0.01</v>
      </c>
      <c r="I6" s="275">
        <v>0.01</v>
      </c>
      <c r="J6" s="275">
        <v>0.01</v>
      </c>
      <c r="K6" s="275">
        <v>5</v>
      </c>
    </row>
    <row r="7" spans="2:16" s="275" customFormat="1" ht="12.5">
      <c r="B7" s="258" t="str">
        <f>Processes!C46</f>
        <v>IE,IE-CW,IE-D,IE-KE,IE-KK,IE-LS,IE-LD,IE-LH,IE-MH,IE-OY,IE-WH,IE-WX,IE-WW,IE-CE,IE-CO,IE-KY,IE-LK,IE-TA,IE-WD,IE-G,IE-LM,IE-MO,IE-RN,IE-SO,IE-CN,IE-DL,IE-MN</v>
      </c>
      <c r="C7" s="258" t="str">
        <f>Processes!D46</f>
        <v>FT-TRACYC</v>
      </c>
      <c r="D7" s="259" t="s">
        <v>786</v>
      </c>
      <c r="E7" s="258" t="str">
        <f>Commodities!C7</f>
        <v>TRACYC</v>
      </c>
      <c r="F7" s="275">
        <v>1</v>
      </c>
      <c r="G7" s="275">
        <v>50</v>
      </c>
      <c r="H7" s="275">
        <v>0.01</v>
      </c>
      <c r="I7" s="275">
        <v>0.01</v>
      </c>
      <c r="J7" s="275">
        <v>0.01</v>
      </c>
      <c r="K7" s="275">
        <v>5</v>
      </c>
    </row>
    <row r="8" spans="2:16" s="275" customFormat="1" ht="12.5">
      <c r="B8" s="258" t="str">
        <f>Processes!C47</f>
        <v>IE,IE-CW,IE-D,IE-KE,IE-KK,IE-LS,IE-LD,IE-LH,IE-MH,IE-OY,IE-WH,IE-WX,IE-WW,IE-CE,IE-CO,IE-KY,IE-LK,IE-TA,IE-WD,IE-G,IE-LM,IE-MO,IE-RN,IE-SO,IE-CN,IE-DL,IE-MN</v>
      </c>
      <c r="C8" s="258" t="str">
        <f>Processes!D47</f>
        <v>FT-TRAGSL</v>
      </c>
      <c r="D8" s="259" t="s">
        <v>903</v>
      </c>
      <c r="E8" s="258" t="str">
        <f>Commodities!C8</f>
        <v>TRAGSL</v>
      </c>
      <c r="F8" s="275">
        <v>1</v>
      </c>
      <c r="G8" s="275">
        <v>50</v>
      </c>
      <c r="H8" s="275">
        <v>0.01</v>
      </c>
      <c r="I8" s="275">
        <v>0.01</v>
      </c>
      <c r="J8" s="275">
        <v>0.01</v>
      </c>
      <c r="K8" s="275">
        <v>5</v>
      </c>
    </row>
    <row r="9" spans="2:16" s="275" customFormat="1" ht="12.5">
      <c r="B9" s="258" t="str">
        <f>Processes!C48</f>
        <v>IE,IE-CW,IE-D,IE-KE,IE-KK,IE-LS,IE-LD,IE-LH,IE-MH,IE-OY,IE-WH,IE-WX,IE-WW,IE-CE,IE-CO,IE-KY,IE-LK,IE-TA,IE-WD,IE-G,IE-LM,IE-MO,IE-RN,IE-SO,IE-CN,IE-DL,IE-MN</v>
      </c>
      <c r="C9" s="258" t="str">
        <f>Processes!D48</f>
        <v>FT-TRADST</v>
      </c>
      <c r="D9" s="259" t="s">
        <v>904</v>
      </c>
      <c r="E9" s="258" t="str">
        <f>Commodities!C9</f>
        <v>TRADST</v>
      </c>
      <c r="F9" s="275">
        <v>1</v>
      </c>
      <c r="G9" s="275">
        <v>50</v>
      </c>
      <c r="H9" s="275">
        <v>0.01</v>
      </c>
      <c r="I9" s="275">
        <v>0.01</v>
      </c>
      <c r="J9" s="275">
        <v>0.01</v>
      </c>
      <c r="K9" s="275">
        <v>5</v>
      </c>
    </row>
    <row r="10" spans="2:16" s="275" customFormat="1" ht="12.5">
      <c r="B10" s="258" t="str">
        <f>Processes!C49</f>
        <v>IE,IE-CW,IE-D,IE-KE,IE-KK,IE-LS,IE-LD,IE-LH,IE-MH,IE-OY,IE-WH,IE-WX,IE-WW,IE-CE,IE-CO,IE-KY,IE-LK,IE-TA,IE-WD,IE-G,IE-LM,IE-MO,IE-RN,IE-SO,IE-CN,IE-DL,IE-MN</v>
      </c>
      <c r="C10" s="258" t="str">
        <f>Processes!D49</f>
        <v>FT-TRAETH</v>
      </c>
      <c r="D10" s="259" t="s">
        <v>1008</v>
      </c>
      <c r="E10" s="258" t="str">
        <f>Commodities!C10</f>
        <v>TRAETH</v>
      </c>
      <c r="F10" s="275">
        <v>1</v>
      </c>
      <c r="G10" s="275">
        <v>50</v>
      </c>
      <c r="H10" s="275">
        <v>0.01</v>
      </c>
      <c r="I10" s="275">
        <v>0.01</v>
      </c>
      <c r="J10" s="275">
        <v>0.01</v>
      </c>
      <c r="K10" s="275">
        <v>5</v>
      </c>
    </row>
    <row r="11" spans="2:16" s="275" customFormat="1" ht="12.5">
      <c r="B11" s="258" t="str">
        <f>Processes!C50</f>
        <v>IE,IE-CW,IE-D,IE-KE,IE-KK,IE-LS,IE-LD,IE-LH,IE-MH,IE-OY,IE-WH,IE-WX,IE-WW,IE-CE,IE-CO,IE-KY,IE-LK,IE-TA,IE-WD,IE-G,IE-LM,IE-MO,IE-RN,IE-SO,IE-CN,IE-DL,IE-MN</v>
      </c>
      <c r="C11" s="258" t="str">
        <f>Processes!D50</f>
        <v>FT-TRABDL</v>
      </c>
      <c r="D11" s="259" t="s">
        <v>1009</v>
      </c>
      <c r="E11" s="258" t="str">
        <f>Commodities!C11</f>
        <v>TRABDL</v>
      </c>
      <c r="F11" s="275">
        <v>1</v>
      </c>
      <c r="G11" s="275">
        <v>50</v>
      </c>
      <c r="H11" s="275">
        <v>0.01</v>
      </c>
      <c r="I11" s="275">
        <v>0.01</v>
      </c>
      <c r="J11" s="275">
        <v>0.01</v>
      </c>
      <c r="K11" s="275">
        <v>5</v>
      </c>
    </row>
    <row r="12" spans="2:16" s="275" customFormat="1" ht="12.5">
      <c r="B12" s="258" t="str">
        <f>Processes!C51</f>
        <v>IE,IE-CW,IE-D,IE-KE,IE-KK,IE-LS,IE-LD,IE-LH,IE-MH,IE-OY,IE-WH,IE-WX,IE-WW,IE-CE,IE-CO,IE-KY,IE-LK,IE-TA,IE-WD,IE-G,IE-LM,IE-MO,IE-RN,IE-SO,IE-CN,IE-DL,IE-MN</v>
      </c>
      <c r="C12" s="258" t="str">
        <f>Processes!D51</f>
        <v>FT-TRABJK</v>
      </c>
      <c r="D12" s="275" t="s">
        <v>1041</v>
      </c>
      <c r="E12" s="258" t="str">
        <f>Commodities!C12</f>
        <v>TRABJK</v>
      </c>
      <c r="F12" s="275">
        <v>1</v>
      </c>
      <c r="G12" s="275">
        <v>50</v>
      </c>
      <c r="H12" s="275">
        <v>0.01</v>
      </c>
      <c r="I12" s="275">
        <v>0.01</v>
      </c>
      <c r="J12" s="275">
        <v>0.01</v>
      </c>
      <c r="K12" s="275">
        <v>5</v>
      </c>
    </row>
    <row r="13" spans="2:16" s="275" customFormat="1" ht="12.5">
      <c r="B13" s="258" t="str">
        <f>Processes!C52</f>
        <v>IE,IE-CW,IE-D,IE-KE,IE-KK,IE-LS,IE-LD,IE-LH,IE-MH,IE-OY,IE-WH,IE-WX,IE-WW,IE-CE,IE-CO,IE-KY,IE-LK,IE-TA,IE-WD,IE-G,IE-LM,IE-MO,IE-RN,IE-SO,IE-CN,IE-DL,IE-MN</v>
      </c>
      <c r="C13" s="258" t="str">
        <f>Processes!D52</f>
        <v>FT-TRACNG</v>
      </c>
      <c r="D13" s="259" t="s">
        <v>1006</v>
      </c>
      <c r="E13" s="258" t="str">
        <f>Commodities!C13</f>
        <v>TRACNG</v>
      </c>
      <c r="F13" s="275">
        <v>1</v>
      </c>
      <c r="G13" s="275">
        <v>50</v>
      </c>
      <c r="H13" s="275">
        <v>4</v>
      </c>
      <c r="I13" s="275">
        <v>80</v>
      </c>
      <c r="J13" s="275">
        <f>I13</f>
        <v>80</v>
      </c>
      <c r="K13" s="275">
        <v>5</v>
      </c>
    </row>
    <row r="14" spans="2:16" s="275" customFormat="1" ht="12.5">
      <c r="B14" s="258" t="str">
        <f>Processes!C53</f>
        <v>IE,IE-CW,IE-D,IE-KE,IE-KK,IE-LS,IE-LD,IE-LH,IE-MH,IE-OY,IE-WH,IE-WX,IE-WW,IE-CE,IE-CO,IE-KY,IE-LK,IE-TA,IE-WD,IE-G,IE-LM,IE-MO,IE-RN,IE-SO,IE-CN,IE-DL,IE-MN</v>
      </c>
      <c r="C14" s="258" t="str">
        <f>Processes!D53</f>
        <v>FT-TRABNG</v>
      </c>
      <c r="D14" s="259" t="s">
        <v>1007</v>
      </c>
      <c r="E14" s="258" t="str">
        <f>Commodities!C14</f>
        <v>TRABNG</v>
      </c>
      <c r="F14" s="275">
        <v>1</v>
      </c>
      <c r="G14" s="275">
        <v>50</v>
      </c>
      <c r="H14" s="275">
        <v>4</v>
      </c>
      <c r="I14" s="275">
        <v>80</v>
      </c>
      <c r="J14" s="275">
        <f>I14</f>
        <v>80</v>
      </c>
      <c r="K14" s="275">
        <v>5</v>
      </c>
    </row>
    <row r="15" spans="2:16" s="275" customFormat="1" ht="12.5">
      <c r="B15" s="258" t="str">
        <f>Processes!C54</f>
        <v>IE,IE-CW,IE-D,IE-KE,IE-KK,IE-LS,IE-LD,IE-LH,IE-MH,IE-OY,IE-WH,IE-WX,IE-WW,IE-CE,IE-CO,IE-KY,IE-LK,IE-TA,IE-WD,IE-G,IE-LM,IE-MO,IE-RN,IE-SO,IE-CN,IE-DL,IE-MN</v>
      </c>
      <c r="C15" s="258" t="str">
        <f>Processes!D54</f>
        <v>FT-TRAELC</v>
      </c>
      <c r="D15" s="275" t="s">
        <v>1094</v>
      </c>
      <c r="E15" s="275" t="str">
        <f>Commodities!C15</f>
        <v>TRAELC</v>
      </c>
      <c r="F15" s="275">
        <v>1</v>
      </c>
      <c r="G15" s="275">
        <v>50</v>
      </c>
      <c r="H15" s="275">
        <v>0.01</v>
      </c>
      <c r="I15" s="275">
        <v>0.01</v>
      </c>
      <c r="J15" s="275">
        <v>0.01</v>
      </c>
      <c r="K15" s="275">
        <v>5</v>
      </c>
    </row>
    <row r="16" spans="2:16" s="275" customFormat="1" ht="12.5">
      <c r="B16" s="258" t="str">
        <f>Processes!C55</f>
        <v>IE,IE-CW,IE-D,IE-KE,IE-KK,IE-LS,IE-LD,IE-LH,IE-MH,IE-OY,IE-WH,IE-WX,IE-WW,IE-CE,IE-CO,IE-KY,IE-LK,IE-TA,IE-WD,IE-G,IE-LM,IE-MO,IE-RN,IE-SO,IE-CN,IE-DL,IE-MN</v>
      </c>
      <c r="C16" s="258" t="str">
        <f>Processes!D55</f>
        <v>FT-TRALNG</v>
      </c>
      <c r="D16" s="259" t="s">
        <v>905</v>
      </c>
      <c r="E16" s="258" t="str">
        <f>Commodities!C16</f>
        <v>TRALNG</v>
      </c>
      <c r="F16" s="275">
        <v>1</v>
      </c>
      <c r="G16" s="275">
        <v>50</v>
      </c>
      <c r="H16" s="710">
        <v>80</v>
      </c>
      <c r="I16" s="710">
        <v>80</v>
      </c>
      <c r="J16" s="710">
        <v>80</v>
      </c>
      <c r="K16" s="275">
        <v>5</v>
      </c>
    </row>
    <row r="17" spans="1:87" s="275" customFormat="1" ht="12.5">
      <c r="B17" s="258" t="str">
        <f>Processes!C56</f>
        <v>IE,IE-CW,IE-D,IE-KE,IE-KK,IE-LS,IE-LD,IE-LH,IE-MH,IE-OY,IE-WH,IE-WX,IE-WW,IE-CE,IE-CO,IE-KY,IE-LK,IE-TA,IE-WD,IE-G,IE-LM,IE-MO,IE-RN,IE-SO,IE-CN,IE-DL,IE-MN</v>
      </c>
      <c r="C17" s="258" t="str">
        <f>Processes!D56</f>
        <v>FT-TRAH2</v>
      </c>
      <c r="D17" s="259" t="s">
        <v>1095</v>
      </c>
      <c r="E17" s="258" t="str">
        <f>Commodities!C17</f>
        <v>TRAH2</v>
      </c>
      <c r="F17" s="275">
        <v>1</v>
      </c>
      <c r="G17" s="275">
        <v>50</v>
      </c>
      <c r="H17" s="275">
        <v>4</v>
      </c>
      <c r="I17" s="275">
        <v>4</v>
      </c>
      <c r="J17" s="275">
        <v>4</v>
      </c>
      <c r="K17" s="275">
        <v>5</v>
      </c>
    </row>
    <row r="18" spans="1:87" s="275" customFormat="1" ht="12.5">
      <c r="A18" s="259"/>
      <c r="B18" s="258" t="str">
        <f>Processes!C57</f>
        <v>IE,IE-CW,IE-D,IE-KE,IE-KK,IE-LS,IE-LD,IE-LH,IE-MH,IE-OY,IE-WH,IE-WX,IE-WW,IE-CE,IE-CO,IE-KY,IE-LK,IE-TA,IE-WD,IE-G,IE-LM,IE-MO,IE-RN,IE-SO,IE-CN,IE-DL,IE-MN</v>
      </c>
      <c r="C18" s="258" t="str">
        <f>Processes!D57</f>
        <v>FT-TRAKER</v>
      </c>
      <c r="D18" s="259" t="s">
        <v>906</v>
      </c>
      <c r="E18" s="258" t="str">
        <f>Commodities!C18</f>
        <v>TRAKER</v>
      </c>
      <c r="F18" s="275">
        <v>1</v>
      </c>
      <c r="G18" s="275">
        <v>50</v>
      </c>
      <c r="H18" s="275">
        <v>0.01</v>
      </c>
      <c r="I18" s="275">
        <v>0.01</v>
      </c>
      <c r="J18" s="275">
        <v>0.01</v>
      </c>
      <c r="K18" s="275">
        <v>5</v>
      </c>
    </row>
    <row r="19" spans="1:87" s="275" customFormat="1" ht="12.5">
      <c r="B19" s="716" t="str">
        <f>B18</f>
        <v>IE,IE-CW,IE-D,IE-KE,IE-KK,IE-LS,IE-LD,IE-LH,IE-MH,IE-OY,IE-WH,IE-WX,IE-WW,IE-CE,IE-CO,IE-KY,IE-LK,IE-TA,IE-WD,IE-G,IE-LM,IE-MO,IE-RN,IE-SO,IE-CN,IE-DL,IE-MN</v>
      </c>
      <c r="C19" s="717" t="str">
        <f>Processes!D58</f>
        <v>FT-TRAPtLKER</v>
      </c>
      <c r="D19" s="717" t="s">
        <v>1162</v>
      </c>
      <c r="E19" s="717" t="str">
        <f>Commodities!C19</f>
        <v>TRAPtLKER</v>
      </c>
      <c r="F19" s="717">
        <v>1</v>
      </c>
      <c r="G19" s="717">
        <v>50</v>
      </c>
      <c r="H19" s="717">
        <v>0.01</v>
      </c>
      <c r="K19" s="275">
        <v>5</v>
      </c>
    </row>
    <row r="20" spans="1:87">
      <c r="B20" s="716" t="str">
        <f t="shared" ref="B20:B24" si="0">B19</f>
        <v>IE,IE-CW,IE-D,IE-KE,IE-KK,IE-LS,IE-LD,IE-LH,IE-MH,IE-OY,IE-WH,IE-WX,IE-WW,IE-CE,IE-CO,IE-KY,IE-LK,IE-TA,IE-WD,IE-G,IE-LM,IE-MO,IE-RN,IE-SO,IE-CN,IE-DL,IE-MN</v>
      </c>
      <c r="C20" s="717" t="str">
        <f>Processes!D59</f>
        <v>FT-AVIKER</v>
      </c>
      <c r="D20" s="717" t="str">
        <f>Commodities!C18</f>
        <v>TRAKER</v>
      </c>
      <c r="E20" s="717" t="str">
        <f>Commodities!C20</f>
        <v>AVIKER</v>
      </c>
      <c r="F20" s="717">
        <v>1</v>
      </c>
      <c r="G20" s="717">
        <v>100</v>
      </c>
      <c r="H20" s="725">
        <v>0.01</v>
      </c>
      <c r="I20" s="725"/>
      <c r="J20" s="725"/>
      <c r="K20" s="717">
        <v>5</v>
      </c>
    </row>
    <row r="21" spans="1:87">
      <c r="B21" s="716" t="str">
        <f t="shared" si="0"/>
        <v>IE,IE-CW,IE-D,IE-KE,IE-KK,IE-LS,IE-LD,IE-LH,IE-MH,IE-OY,IE-WH,IE-WX,IE-WW,IE-CE,IE-CO,IE-KY,IE-LK,IE-TA,IE-WD,IE-G,IE-LM,IE-MO,IE-RN,IE-SO,IE-CN,IE-DL,IE-MN</v>
      </c>
      <c r="C21" s="717" t="str">
        <f>Processes!D60</f>
        <v>FT-AVIBJK</v>
      </c>
      <c r="D21" s="717" t="str">
        <f>Commodities!C12</f>
        <v>TRABJK</v>
      </c>
      <c r="E21" s="717" t="str">
        <f>Commodities!C21</f>
        <v>AVIBJK</v>
      </c>
      <c r="F21" s="717">
        <v>1</v>
      </c>
      <c r="G21" s="717">
        <v>100</v>
      </c>
      <c r="H21" s="725">
        <v>0.01</v>
      </c>
      <c r="I21" s="725"/>
      <c r="J21" s="725"/>
      <c r="K21" s="717">
        <v>5</v>
      </c>
    </row>
    <row r="22" spans="1:87">
      <c r="B22" s="716" t="str">
        <f t="shared" si="0"/>
        <v>IE,IE-CW,IE-D,IE-KE,IE-KK,IE-LS,IE-LD,IE-LH,IE-MH,IE-OY,IE-WH,IE-WX,IE-WW,IE-CE,IE-CO,IE-KY,IE-LK,IE-TA,IE-WD,IE-G,IE-LM,IE-MO,IE-RN,IE-SO,IE-CN,IE-DL,IE-MN</v>
      </c>
      <c r="C22" s="717" t="str">
        <f>Processes!D61</f>
        <v>FT-AVIELC</v>
      </c>
      <c r="D22" s="717" t="str">
        <f>Commodities!C15</f>
        <v>TRAELC</v>
      </c>
      <c r="E22" s="717" t="str">
        <f>Commodities!C22</f>
        <v>AVIELC</v>
      </c>
      <c r="F22" s="717">
        <v>1</v>
      </c>
      <c r="G22" s="717">
        <v>100</v>
      </c>
      <c r="H22" s="725">
        <v>0.01</v>
      </c>
      <c r="I22" s="725"/>
      <c r="J22" s="725"/>
      <c r="K22" s="717">
        <v>5</v>
      </c>
      <c r="L22" s="725">
        <f>0.05*Q35/L61/H61</f>
        <v>0.32054828865144863</v>
      </c>
      <c r="N22" s="725">
        <f>AK35/L61/I61</f>
        <v>7.1734309505234242</v>
      </c>
      <c r="O22" s="725">
        <f>N22+(0.5*BE36/I62/L62)</f>
        <v>20.289793831623069</v>
      </c>
      <c r="P22" s="726">
        <v>5</v>
      </c>
      <c r="R22" t="s">
        <v>1257</v>
      </c>
    </row>
    <row r="23" spans="1:87">
      <c r="B23" s="716" t="str">
        <f t="shared" si="0"/>
        <v>IE,IE-CW,IE-D,IE-KE,IE-KK,IE-LS,IE-LD,IE-LH,IE-MH,IE-OY,IE-WH,IE-WX,IE-WW,IE-CE,IE-CO,IE-KY,IE-LK,IE-TA,IE-WD,IE-G,IE-LM,IE-MO,IE-RN,IE-SO,IE-CN,IE-DL,IE-MN</v>
      </c>
      <c r="C23" s="717" t="str">
        <f>Processes!D62</f>
        <v>FT-AVIH2</v>
      </c>
      <c r="D23" s="717" t="str">
        <f>Commodities!C17</f>
        <v>TRAH2</v>
      </c>
      <c r="E23" s="717" t="str">
        <f>Commodities!C23</f>
        <v>AVIH2</v>
      </c>
      <c r="F23" s="717">
        <v>1</v>
      </c>
      <c r="G23" s="717">
        <v>100</v>
      </c>
      <c r="H23" s="725">
        <v>0.01</v>
      </c>
      <c r="I23" s="725"/>
      <c r="J23" s="725"/>
      <c r="K23" s="717">
        <v>5</v>
      </c>
      <c r="L23" s="725">
        <v>0</v>
      </c>
      <c r="M23" s="725">
        <f>0.01*SUM(AF35:AF37)/I64/L64</f>
        <v>0.44416386943894104</v>
      </c>
      <c r="N23" s="725"/>
      <c r="O23" s="725">
        <f>0.25*SUM(BE35:BE37)/L64/I64</f>
        <v>11.49939584952066</v>
      </c>
      <c r="P23" s="726">
        <v>5</v>
      </c>
      <c r="R23" t="s">
        <v>1259</v>
      </c>
    </row>
    <row r="24" spans="1:87">
      <c r="B24" s="732" t="str">
        <f t="shared" si="0"/>
        <v>IE,IE-CW,IE-D,IE-KE,IE-KK,IE-LS,IE-LD,IE-LH,IE-MH,IE-OY,IE-WH,IE-WX,IE-WW,IE-CE,IE-CO,IE-KY,IE-LK,IE-TA,IE-WD,IE-G,IE-LM,IE-MO,IE-RN,IE-SO,IE-CN,IE-DL,IE-MN</v>
      </c>
      <c r="C24" s="733" t="str">
        <f>Processes!D63</f>
        <v>FT-AVIPtL</v>
      </c>
      <c r="D24" s="733" t="str">
        <f>Commodities!C19</f>
        <v>TRAPtLKER</v>
      </c>
      <c r="E24" s="733" t="str">
        <f>Commodities!C24</f>
        <v>AVIPtL</v>
      </c>
      <c r="F24" s="733">
        <v>1</v>
      </c>
      <c r="G24" s="733">
        <v>100</v>
      </c>
      <c r="H24" s="731">
        <v>0.01</v>
      </c>
      <c r="I24" s="731"/>
      <c r="J24" s="731"/>
      <c r="K24" s="733">
        <v>5</v>
      </c>
      <c r="L24" s="79"/>
      <c r="M24" s="79"/>
      <c r="N24" s="79"/>
      <c r="O24" s="79"/>
      <c r="P24" s="79"/>
    </row>
    <row r="25" spans="1:87">
      <c r="C25" s="717"/>
      <c r="D25" s="717"/>
      <c r="E25" s="717"/>
      <c r="F25" s="717"/>
      <c r="G25" s="717"/>
      <c r="H25" s="717"/>
      <c r="I25" s="717"/>
      <c r="J25" s="717"/>
      <c r="K25" s="717"/>
    </row>
    <row r="26" spans="1:87">
      <c r="C26" s="717"/>
      <c r="D26" s="717"/>
      <c r="E26" s="717"/>
      <c r="F26" s="717"/>
      <c r="G26" s="717"/>
      <c r="H26" s="717"/>
      <c r="I26" s="717"/>
      <c r="J26" s="717"/>
      <c r="K26" s="717"/>
    </row>
    <row r="28" spans="1:87">
      <c r="M28" s="410"/>
    </row>
    <row r="31" spans="1:87">
      <c r="E31" s="147"/>
      <c r="F31" s="147"/>
      <c r="G31" s="147"/>
      <c r="H31" s="147"/>
    </row>
    <row r="32" spans="1:87" ht="15" thickBot="1">
      <c r="C32" s="728" t="s">
        <v>1220</v>
      </c>
      <c r="D32" s="728" t="s">
        <v>1221</v>
      </c>
      <c r="E32" s="728">
        <v>2018</v>
      </c>
      <c r="F32" s="728">
        <v>2019</v>
      </c>
      <c r="G32" s="728">
        <v>2020</v>
      </c>
      <c r="H32" s="728">
        <v>2021</v>
      </c>
      <c r="I32" s="728">
        <v>2022</v>
      </c>
      <c r="J32" s="728">
        <v>2023</v>
      </c>
      <c r="K32" s="728">
        <v>2024</v>
      </c>
      <c r="L32" s="728">
        <v>2025</v>
      </c>
      <c r="M32" s="728">
        <v>2026</v>
      </c>
      <c r="N32" s="728">
        <v>2027</v>
      </c>
      <c r="O32" s="728">
        <v>2028</v>
      </c>
      <c r="P32" s="728">
        <v>2029</v>
      </c>
      <c r="Q32" s="728">
        <v>2030</v>
      </c>
      <c r="R32" s="728">
        <v>2031</v>
      </c>
      <c r="S32" s="728">
        <v>2032</v>
      </c>
      <c r="T32" s="728">
        <v>2033</v>
      </c>
      <c r="U32" s="728">
        <v>2034</v>
      </c>
      <c r="V32" s="728">
        <v>2035</v>
      </c>
      <c r="W32" s="728">
        <v>2036</v>
      </c>
      <c r="X32" s="728">
        <v>2037</v>
      </c>
      <c r="Y32" s="728">
        <v>2038</v>
      </c>
      <c r="Z32" s="728">
        <v>2039</v>
      </c>
      <c r="AA32" s="728">
        <v>2040</v>
      </c>
      <c r="AB32" s="728">
        <v>2041</v>
      </c>
      <c r="AC32" s="728">
        <v>2042</v>
      </c>
      <c r="AD32" s="728">
        <v>2043</v>
      </c>
      <c r="AE32" s="728">
        <v>2044</v>
      </c>
      <c r="AF32" s="728">
        <v>2045</v>
      </c>
      <c r="AG32" s="728">
        <v>2046</v>
      </c>
      <c r="AH32" s="728">
        <v>2047</v>
      </c>
      <c r="AI32" s="728">
        <v>2048</v>
      </c>
      <c r="AJ32" s="728">
        <v>2049</v>
      </c>
      <c r="AK32" s="728">
        <v>2050</v>
      </c>
      <c r="AL32" s="728">
        <v>2051</v>
      </c>
      <c r="AM32" s="728">
        <v>2052</v>
      </c>
      <c r="AN32" s="728">
        <v>2053</v>
      </c>
      <c r="AO32" s="728">
        <v>2054</v>
      </c>
      <c r="AP32" s="728">
        <v>2055</v>
      </c>
      <c r="AQ32" s="728">
        <v>2056</v>
      </c>
      <c r="AR32" s="728">
        <v>2057</v>
      </c>
      <c r="AS32" s="728">
        <v>2058</v>
      </c>
      <c r="AT32" s="728">
        <v>2059</v>
      </c>
      <c r="AU32" s="728">
        <v>2060</v>
      </c>
      <c r="AV32" s="728">
        <v>2061</v>
      </c>
      <c r="AW32" s="728">
        <v>2062</v>
      </c>
      <c r="AX32" s="728">
        <v>2063</v>
      </c>
      <c r="AY32" s="728">
        <v>2064</v>
      </c>
      <c r="AZ32" s="728">
        <v>2065</v>
      </c>
      <c r="BA32" s="728">
        <v>2066</v>
      </c>
      <c r="BB32" s="728">
        <v>2067</v>
      </c>
      <c r="BC32" s="728">
        <v>2068</v>
      </c>
      <c r="BD32" s="728">
        <v>2069</v>
      </c>
      <c r="BE32" s="728">
        <v>2070</v>
      </c>
      <c r="BF32" s="728">
        <v>2071</v>
      </c>
      <c r="BG32" s="728">
        <v>2072</v>
      </c>
      <c r="BH32" s="728">
        <v>2073</v>
      </c>
      <c r="BI32" s="728">
        <v>2074</v>
      </c>
      <c r="BJ32" s="728">
        <v>2075</v>
      </c>
      <c r="BK32" s="728">
        <v>2076</v>
      </c>
      <c r="BL32" s="728">
        <v>2077</v>
      </c>
      <c r="BM32" s="728">
        <v>2078</v>
      </c>
      <c r="BN32" s="728">
        <v>2079</v>
      </c>
      <c r="BO32" s="728">
        <v>2080</v>
      </c>
      <c r="BP32" s="728">
        <v>2081</v>
      </c>
      <c r="BQ32" s="728">
        <v>2082</v>
      </c>
      <c r="BR32" s="728">
        <v>2083</v>
      </c>
      <c r="BS32" s="728">
        <v>2084</v>
      </c>
      <c r="BT32" s="728">
        <v>2085</v>
      </c>
      <c r="BU32" s="728">
        <v>2086</v>
      </c>
      <c r="BV32" s="728">
        <v>2087</v>
      </c>
      <c r="BW32" s="728">
        <v>2088</v>
      </c>
      <c r="BX32" s="728">
        <v>2089</v>
      </c>
      <c r="BY32" s="728">
        <v>2090</v>
      </c>
      <c r="BZ32" s="728">
        <v>2091</v>
      </c>
      <c r="CA32" s="728">
        <v>2092</v>
      </c>
      <c r="CB32" s="728">
        <v>2093</v>
      </c>
      <c r="CC32" s="728">
        <v>2094</v>
      </c>
      <c r="CD32" s="728">
        <v>2095</v>
      </c>
      <c r="CE32" s="728">
        <v>2096</v>
      </c>
      <c r="CF32" s="728">
        <v>2097</v>
      </c>
      <c r="CG32" s="728">
        <v>2098</v>
      </c>
      <c r="CH32" s="728">
        <v>2099</v>
      </c>
      <c r="CI32" s="728">
        <v>2100</v>
      </c>
    </row>
    <row r="33" spans="3:87">
      <c r="C33" t="s">
        <v>715</v>
      </c>
      <c r="D33" t="s">
        <v>772</v>
      </c>
      <c r="E33" s="727">
        <v>0.23349320028657899</v>
      </c>
      <c r="F33" s="5">
        <v>0.25090920347352241</v>
      </c>
      <c r="G33" s="5">
        <v>0.11004689080374389</v>
      </c>
      <c r="H33" s="5">
        <v>0.12006442123265494</v>
      </c>
      <c r="I33" s="5">
        <v>0.23</v>
      </c>
      <c r="J33" s="5">
        <v>0.23</v>
      </c>
      <c r="K33" s="5">
        <v>0.23</v>
      </c>
      <c r="L33" s="5">
        <v>0.23</v>
      </c>
      <c r="M33" s="5">
        <v>0.23</v>
      </c>
      <c r="N33" s="5">
        <v>0.23</v>
      </c>
      <c r="O33" s="5">
        <v>0.23</v>
      </c>
      <c r="P33" s="5">
        <v>0.23</v>
      </c>
      <c r="Q33" s="5">
        <v>0.23</v>
      </c>
      <c r="R33" s="5">
        <v>0.23</v>
      </c>
      <c r="S33" s="5">
        <v>0.23</v>
      </c>
      <c r="T33" s="5">
        <v>0.23</v>
      </c>
      <c r="U33" s="5">
        <v>0.23</v>
      </c>
      <c r="V33" s="5">
        <v>0.23</v>
      </c>
      <c r="W33" s="5">
        <v>0.23</v>
      </c>
      <c r="X33" s="5">
        <v>0.23</v>
      </c>
      <c r="Y33" s="5">
        <v>0.23</v>
      </c>
      <c r="Z33" s="5">
        <v>0.23</v>
      </c>
      <c r="AA33" s="5">
        <v>0.23</v>
      </c>
      <c r="AB33" s="5">
        <v>0.23</v>
      </c>
      <c r="AC33" s="5">
        <v>0.23</v>
      </c>
      <c r="AD33" s="5">
        <v>0.23</v>
      </c>
      <c r="AE33" s="5">
        <v>0.23</v>
      </c>
      <c r="AF33" s="5">
        <v>0.23</v>
      </c>
      <c r="AG33" s="5">
        <v>0.23</v>
      </c>
      <c r="AH33" s="5">
        <v>0.23</v>
      </c>
      <c r="AI33" s="5">
        <v>0.23</v>
      </c>
      <c r="AJ33" s="5">
        <v>0.23</v>
      </c>
      <c r="AK33" s="5">
        <v>0.23</v>
      </c>
      <c r="AL33" s="5">
        <v>0.23</v>
      </c>
      <c r="AM33" s="5">
        <v>0.23</v>
      </c>
      <c r="AN33" s="5">
        <v>0.23</v>
      </c>
      <c r="AO33" s="5">
        <v>0.23</v>
      </c>
      <c r="AP33" s="5">
        <v>0.23</v>
      </c>
      <c r="AQ33" s="5">
        <v>0.23</v>
      </c>
      <c r="AR33" s="5">
        <v>0.23</v>
      </c>
      <c r="AS33" s="5">
        <v>0.23</v>
      </c>
      <c r="AT33" s="5">
        <v>0.23</v>
      </c>
      <c r="AU33" s="5">
        <v>0.23</v>
      </c>
      <c r="AV33" s="5">
        <v>0.23</v>
      </c>
      <c r="AW33" s="5">
        <v>0.23</v>
      </c>
      <c r="AX33" s="5">
        <v>0.23</v>
      </c>
      <c r="AY33" s="5">
        <v>0.23</v>
      </c>
      <c r="AZ33" s="5">
        <v>0.23</v>
      </c>
      <c r="BA33" s="5">
        <v>0.23</v>
      </c>
      <c r="BB33" s="5">
        <v>0.23</v>
      </c>
      <c r="BC33" s="5">
        <v>0.23</v>
      </c>
      <c r="BD33" s="5">
        <v>0.23</v>
      </c>
      <c r="BE33" s="5">
        <v>0.23</v>
      </c>
      <c r="BF33" s="5">
        <v>0.23</v>
      </c>
      <c r="BG33" s="5">
        <v>0.23</v>
      </c>
      <c r="BH33" s="5">
        <v>0.23</v>
      </c>
      <c r="BI33" s="5">
        <v>0.23</v>
      </c>
      <c r="BJ33" s="5">
        <v>0.23</v>
      </c>
      <c r="BK33" s="5">
        <v>0.23</v>
      </c>
      <c r="BL33" s="5">
        <v>0.23</v>
      </c>
      <c r="BM33" s="5">
        <v>0.23</v>
      </c>
      <c r="BN33" s="5">
        <v>0.23</v>
      </c>
      <c r="BO33" s="5">
        <v>0.23</v>
      </c>
      <c r="BP33" s="5">
        <v>0.23</v>
      </c>
      <c r="BQ33" s="5">
        <v>0.23</v>
      </c>
      <c r="BR33" s="5">
        <v>0.23</v>
      </c>
      <c r="BS33" s="5">
        <v>0.23</v>
      </c>
      <c r="BT33" s="5">
        <v>0.23</v>
      </c>
      <c r="BU33" s="5">
        <v>0.23</v>
      </c>
      <c r="BV33" s="5">
        <v>0.23</v>
      </c>
      <c r="BW33" s="5">
        <v>0.23</v>
      </c>
      <c r="BX33" s="5">
        <v>0.23</v>
      </c>
      <c r="BY33" s="5">
        <v>0.23</v>
      </c>
      <c r="BZ33" s="5">
        <v>0.23</v>
      </c>
      <c r="CA33" s="5">
        <v>0.23</v>
      </c>
      <c r="CB33" s="5">
        <v>0.23</v>
      </c>
      <c r="CC33" s="5">
        <v>0.23</v>
      </c>
      <c r="CD33" s="5">
        <v>0.23</v>
      </c>
      <c r="CE33" s="5">
        <v>0.23</v>
      </c>
      <c r="CF33" s="5">
        <v>0.23</v>
      </c>
      <c r="CG33" s="5">
        <v>0.23</v>
      </c>
      <c r="CH33" s="5">
        <v>0.23</v>
      </c>
      <c r="CI33" s="5">
        <v>0.23</v>
      </c>
    </row>
    <row r="34" spans="3:87">
      <c r="C34" t="s">
        <v>716</v>
      </c>
      <c r="D34" t="s">
        <v>771</v>
      </c>
      <c r="E34" s="727">
        <v>45.9683637522608</v>
      </c>
      <c r="F34" s="5">
        <v>46.490627829341264</v>
      </c>
      <c r="G34" s="5">
        <v>16.580491392971403</v>
      </c>
      <c r="H34" s="5">
        <v>18.575720244415919</v>
      </c>
      <c r="I34" s="5">
        <v>48.192396850000002</v>
      </c>
      <c r="J34" s="5">
        <v>48.860779260000001</v>
      </c>
      <c r="K34" s="5">
        <v>49.515792400000002</v>
      </c>
      <c r="L34" s="729">
        <v>0</v>
      </c>
      <c r="M34" s="729">
        <v>0</v>
      </c>
      <c r="N34" s="729">
        <v>0</v>
      </c>
      <c r="O34" s="729">
        <v>0</v>
      </c>
      <c r="P34" s="729">
        <v>0</v>
      </c>
      <c r="Q34" s="729">
        <v>0</v>
      </c>
      <c r="R34" s="729">
        <v>0</v>
      </c>
      <c r="S34" s="729">
        <v>0</v>
      </c>
      <c r="T34" s="729">
        <v>0</v>
      </c>
      <c r="U34" s="729">
        <v>0</v>
      </c>
      <c r="V34" s="729">
        <v>0</v>
      </c>
      <c r="W34" s="729">
        <v>0</v>
      </c>
      <c r="X34" s="729">
        <v>0</v>
      </c>
      <c r="Y34" s="729">
        <v>0</v>
      </c>
      <c r="Z34" s="729">
        <v>0</v>
      </c>
      <c r="AA34" s="729">
        <v>0</v>
      </c>
      <c r="AB34" s="729">
        <v>0</v>
      </c>
      <c r="AC34" s="729">
        <v>0</v>
      </c>
      <c r="AD34" s="729">
        <v>0</v>
      </c>
      <c r="AE34" s="729">
        <v>0</v>
      </c>
      <c r="AF34" s="729">
        <v>0</v>
      </c>
      <c r="AG34" s="729">
        <v>0</v>
      </c>
      <c r="AH34" s="729">
        <v>0</v>
      </c>
      <c r="AI34" s="729">
        <v>0</v>
      </c>
      <c r="AJ34" s="729">
        <v>0</v>
      </c>
      <c r="AK34" s="729">
        <v>0</v>
      </c>
      <c r="AL34" s="729">
        <v>0</v>
      </c>
      <c r="AM34" s="729">
        <v>0</v>
      </c>
      <c r="AN34" s="729">
        <v>0</v>
      </c>
      <c r="AO34" s="729">
        <v>0</v>
      </c>
      <c r="AP34" s="729">
        <v>0</v>
      </c>
      <c r="AQ34" s="729">
        <v>0</v>
      </c>
      <c r="AR34" s="729">
        <v>0</v>
      </c>
      <c r="AS34" s="729">
        <v>0</v>
      </c>
      <c r="AT34" s="729">
        <v>0</v>
      </c>
      <c r="AU34" s="729">
        <v>0</v>
      </c>
      <c r="AV34" s="729">
        <v>0</v>
      </c>
      <c r="AW34" s="729">
        <v>0</v>
      </c>
      <c r="AX34" s="729">
        <v>0</v>
      </c>
      <c r="AY34" s="729">
        <v>0</v>
      </c>
      <c r="AZ34" s="729">
        <v>0</v>
      </c>
      <c r="BA34" s="729">
        <v>0</v>
      </c>
      <c r="BB34" s="729">
        <v>0</v>
      </c>
      <c r="BC34" s="729">
        <v>0</v>
      </c>
      <c r="BD34" s="729">
        <v>0</v>
      </c>
      <c r="BE34" s="729">
        <v>0</v>
      </c>
      <c r="BF34" s="729">
        <v>0</v>
      </c>
      <c r="BG34" s="729">
        <v>0</v>
      </c>
      <c r="BH34" s="729">
        <v>0</v>
      </c>
      <c r="BI34" s="729">
        <v>0</v>
      </c>
      <c r="BJ34" s="729">
        <v>0</v>
      </c>
      <c r="BK34" s="729">
        <v>0</v>
      </c>
      <c r="BL34" s="729">
        <v>0</v>
      </c>
      <c r="BM34" s="729">
        <v>0</v>
      </c>
      <c r="BN34" s="729">
        <v>0</v>
      </c>
      <c r="BO34" s="729">
        <v>0</v>
      </c>
      <c r="BP34" s="729">
        <v>0</v>
      </c>
      <c r="BQ34" s="729">
        <v>0</v>
      </c>
      <c r="BR34" s="729">
        <v>0</v>
      </c>
      <c r="BS34" s="729">
        <v>0</v>
      </c>
      <c r="BT34" s="729">
        <v>0</v>
      </c>
      <c r="BU34" s="729">
        <v>0</v>
      </c>
      <c r="BV34" s="729">
        <v>0</v>
      </c>
      <c r="BW34" s="729">
        <v>0</v>
      </c>
      <c r="BX34" s="729">
        <v>0</v>
      </c>
      <c r="BY34" s="729">
        <v>0</v>
      </c>
      <c r="BZ34" s="729">
        <v>0</v>
      </c>
      <c r="CA34" s="729">
        <v>0</v>
      </c>
      <c r="CB34" s="729">
        <v>0</v>
      </c>
      <c r="CC34" s="729">
        <v>0</v>
      </c>
      <c r="CD34" s="729">
        <v>0</v>
      </c>
      <c r="CE34" s="729">
        <v>0</v>
      </c>
      <c r="CF34" s="729">
        <v>0</v>
      </c>
      <c r="CG34" s="729">
        <v>0</v>
      </c>
      <c r="CH34" s="729">
        <v>0</v>
      </c>
      <c r="CI34" s="729">
        <v>0</v>
      </c>
    </row>
    <row r="35" spans="3:87">
      <c r="C35" s="712" t="s">
        <v>1156</v>
      </c>
      <c r="D35" s="712" t="s">
        <v>1157</v>
      </c>
      <c r="E35" s="729">
        <v>0</v>
      </c>
      <c r="F35" s="729">
        <v>0</v>
      </c>
      <c r="G35" s="729">
        <v>0</v>
      </c>
      <c r="H35" s="729">
        <v>0</v>
      </c>
      <c r="I35" s="729">
        <v>0</v>
      </c>
      <c r="J35" s="729">
        <v>0</v>
      </c>
      <c r="K35" s="729">
        <v>0</v>
      </c>
      <c r="L35" s="730">
        <v>2.9392745958988709</v>
      </c>
      <c r="M35" s="730">
        <v>2.9833142938483066</v>
      </c>
      <c r="N35" s="730">
        <v>3.0273539917977423</v>
      </c>
      <c r="O35" s="730">
        <v>3.0713936897471781</v>
      </c>
      <c r="P35" s="730">
        <v>3.1154333876966138</v>
      </c>
      <c r="Q35" s="730">
        <v>3.1594730856460496</v>
      </c>
      <c r="R35" s="730">
        <v>3.2035127835954853</v>
      </c>
      <c r="S35" s="730">
        <v>3.247552481544921</v>
      </c>
      <c r="T35" s="730">
        <v>3.2915921794943568</v>
      </c>
      <c r="U35" s="730">
        <v>3.3356318774437925</v>
      </c>
      <c r="V35" s="730">
        <v>3.3796715753932283</v>
      </c>
      <c r="W35" s="730">
        <v>3.423711273342664</v>
      </c>
      <c r="X35" s="730">
        <v>3.4677509712920997</v>
      </c>
      <c r="Y35" s="730">
        <v>3.5117906692415355</v>
      </c>
      <c r="Z35" s="730">
        <v>3.5558303671909712</v>
      </c>
      <c r="AA35" s="730">
        <v>3.599870065140407</v>
      </c>
      <c r="AB35" s="730">
        <v>3.6439097630898427</v>
      </c>
      <c r="AC35" s="730">
        <v>3.6879494610392785</v>
      </c>
      <c r="AD35" s="730">
        <v>3.7319891589887142</v>
      </c>
      <c r="AE35" s="730">
        <v>3.7760288569381499</v>
      </c>
      <c r="AF35" s="730">
        <v>3.8200685548875857</v>
      </c>
      <c r="AG35" s="730">
        <v>3.8641082528370214</v>
      </c>
      <c r="AH35" s="730">
        <v>3.9081479507864572</v>
      </c>
      <c r="AI35" s="730">
        <v>3.9521876487358929</v>
      </c>
      <c r="AJ35" s="730">
        <v>3.9962273466853286</v>
      </c>
      <c r="AK35" s="730">
        <v>4.0402670446347679</v>
      </c>
      <c r="AL35" s="729">
        <v>4.0402670446347679</v>
      </c>
      <c r="AM35" s="729">
        <v>4.0402670446347679</v>
      </c>
      <c r="AN35" s="729">
        <v>4.0402670446347679</v>
      </c>
      <c r="AO35" s="729">
        <v>4.0402670446347679</v>
      </c>
      <c r="AP35" s="729">
        <v>4.0402670446347679</v>
      </c>
      <c r="AQ35" s="729">
        <v>4.0402670446347679</v>
      </c>
      <c r="AR35" s="729">
        <v>4.0402670446347679</v>
      </c>
      <c r="AS35" s="729">
        <v>4.0402670446347679</v>
      </c>
      <c r="AT35" s="729">
        <v>4.0402670446347679</v>
      </c>
      <c r="AU35" s="729">
        <v>4.0402670446347679</v>
      </c>
      <c r="AV35" s="729">
        <v>4.0402670446347679</v>
      </c>
      <c r="AW35" s="729">
        <v>4.0402670446347679</v>
      </c>
      <c r="AX35" s="729">
        <v>4.0402670446347679</v>
      </c>
      <c r="AY35" s="729">
        <v>4.0402670446347679</v>
      </c>
      <c r="AZ35" s="729">
        <v>4.0402670446347679</v>
      </c>
      <c r="BA35" s="729">
        <v>4.0402670446347679</v>
      </c>
      <c r="BB35" s="729">
        <v>4.0402670446347679</v>
      </c>
      <c r="BC35" s="729">
        <v>4.0402670446347679</v>
      </c>
      <c r="BD35" s="729">
        <v>4.0402670446347679</v>
      </c>
      <c r="BE35" s="729">
        <v>4.0402670446347679</v>
      </c>
      <c r="BF35" s="729">
        <v>4.0402670446347679</v>
      </c>
      <c r="BG35" s="729">
        <v>4.0402670446347679</v>
      </c>
      <c r="BH35" s="729">
        <v>4.0402670446347679</v>
      </c>
      <c r="BI35" s="729">
        <v>4.0402670446347679</v>
      </c>
      <c r="BJ35" s="729">
        <v>4.0402670446347679</v>
      </c>
      <c r="BK35" s="729">
        <v>4.0402670446347679</v>
      </c>
      <c r="BL35" s="729">
        <v>4.0402670446347679</v>
      </c>
      <c r="BM35" s="729">
        <v>4.0402670446347679</v>
      </c>
      <c r="BN35" s="729">
        <v>4.0402670446347679</v>
      </c>
      <c r="BO35" s="729">
        <v>4.0402670446347679</v>
      </c>
      <c r="BP35" s="729">
        <v>4.0402670446347679</v>
      </c>
      <c r="BQ35" s="729">
        <v>4.0402670446347679</v>
      </c>
      <c r="BR35" s="729">
        <v>4.0402670446347679</v>
      </c>
      <c r="BS35" s="729">
        <v>4.0402670446347679</v>
      </c>
      <c r="BT35" s="729">
        <v>4.0402670446347679</v>
      </c>
      <c r="BU35" s="729">
        <v>4.0402670446347679</v>
      </c>
      <c r="BV35" s="729">
        <v>4.0402670446347679</v>
      </c>
      <c r="BW35" s="729">
        <v>4.0402670446347679</v>
      </c>
      <c r="BX35" s="729">
        <v>4.0402670446347679</v>
      </c>
      <c r="BY35" s="729">
        <v>4.0402670446347679</v>
      </c>
      <c r="BZ35" s="729">
        <v>4.0402670446347679</v>
      </c>
      <c r="CA35" s="729">
        <v>4.0402670446347679</v>
      </c>
      <c r="CB35" s="729">
        <v>4.0402670446347679</v>
      </c>
      <c r="CC35" s="729">
        <v>4.0402670446347679</v>
      </c>
      <c r="CD35" s="729">
        <v>4.0402670446347679</v>
      </c>
      <c r="CE35" s="729">
        <v>4.0402670446347679</v>
      </c>
      <c r="CF35" s="729">
        <v>4.0402670446347679</v>
      </c>
      <c r="CG35" s="729">
        <v>4.0402670446347679</v>
      </c>
      <c r="CH35" s="729">
        <v>4.0402670446347679</v>
      </c>
      <c r="CI35" s="729">
        <v>4.0402670446347679</v>
      </c>
    </row>
    <row r="36" spans="3:87">
      <c r="C36" s="712" t="s">
        <v>1158</v>
      </c>
      <c r="D36" s="712" t="s">
        <v>1159</v>
      </c>
      <c r="E36" s="729">
        <v>0</v>
      </c>
      <c r="F36" s="729">
        <v>0</v>
      </c>
      <c r="G36" s="729">
        <v>0</v>
      </c>
      <c r="H36" s="729">
        <v>0</v>
      </c>
      <c r="I36" s="729">
        <v>0</v>
      </c>
      <c r="J36" s="729">
        <v>0</v>
      </c>
      <c r="K36" s="729">
        <v>0</v>
      </c>
      <c r="L36" s="730">
        <v>15.7777909960536</v>
      </c>
      <c r="M36" s="730">
        <v>15.900361394080399</v>
      </c>
      <c r="N36" s="730">
        <v>16.022931792107197</v>
      </c>
      <c r="O36" s="730">
        <v>16.145502190133996</v>
      </c>
      <c r="P36" s="730">
        <v>16.268072588160795</v>
      </c>
      <c r="Q36" s="730">
        <v>16.390642986187594</v>
      </c>
      <c r="R36" s="730">
        <v>16.513213384214392</v>
      </c>
      <c r="S36" s="730">
        <v>16.635783782241191</v>
      </c>
      <c r="T36" s="730">
        <v>16.75835418026799</v>
      </c>
      <c r="U36" s="730">
        <v>16.880924578294788</v>
      </c>
      <c r="V36" s="730">
        <v>17.003494976321587</v>
      </c>
      <c r="W36" s="730">
        <v>17.126065374348386</v>
      </c>
      <c r="X36" s="730">
        <v>17.248635772375184</v>
      </c>
      <c r="Y36" s="730">
        <v>17.371206170401983</v>
      </c>
      <c r="Z36" s="730">
        <v>17.493776568428782</v>
      </c>
      <c r="AA36" s="730">
        <v>17.616346966455581</v>
      </c>
      <c r="AB36" s="730">
        <v>17.738917364482379</v>
      </c>
      <c r="AC36" s="730">
        <v>17.861487762509178</v>
      </c>
      <c r="AD36" s="730">
        <v>17.984058160535977</v>
      </c>
      <c r="AE36" s="730">
        <v>18.106628558562775</v>
      </c>
      <c r="AF36" s="730">
        <v>18.229198956589574</v>
      </c>
      <c r="AG36" s="730">
        <v>18.351769354616373</v>
      </c>
      <c r="AH36" s="730">
        <v>18.474339752643171</v>
      </c>
      <c r="AI36" s="730">
        <v>18.59691015066997</v>
      </c>
      <c r="AJ36" s="730">
        <v>18.719480548696769</v>
      </c>
      <c r="AK36" s="730">
        <v>18.842050946723568</v>
      </c>
      <c r="AL36" s="729">
        <v>18.842050946723568</v>
      </c>
      <c r="AM36" s="729">
        <v>18.842050946723568</v>
      </c>
      <c r="AN36" s="729">
        <v>18.842050946723568</v>
      </c>
      <c r="AO36" s="729">
        <v>18.842050946723568</v>
      </c>
      <c r="AP36" s="729">
        <v>18.842050946723568</v>
      </c>
      <c r="AQ36" s="729">
        <v>18.842050946723568</v>
      </c>
      <c r="AR36" s="729">
        <v>18.842050946723568</v>
      </c>
      <c r="AS36" s="729">
        <v>18.842050946723568</v>
      </c>
      <c r="AT36" s="729">
        <v>18.842050946723568</v>
      </c>
      <c r="AU36" s="729">
        <v>18.842050946723568</v>
      </c>
      <c r="AV36" s="729">
        <v>18.842050946723568</v>
      </c>
      <c r="AW36" s="729">
        <v>18.842050946723568</v>
      </c>
      <c r="AX36" s="729">
        <v>18.842050946723568</v>
      </c>
      <c r="AY36" s="729">
        <v>18.842050946723568</v>
      </c>
      <c r="AZ36" s="729">
        <v>18.842050946723568</v>
      </c>
      <c r="BA36" s="729">
        <v>18.842050946723568</v>
      </c>
      <c r="BB36" s="729">
        <v>18.842050946723568</v>
      </c>
      <c r="BC36" s="729">
        <v>18.842050946723568</v>
      </c>
      <c r="BD36" s="729">
        <v>18.842050946723568</v>
      </c>
      <c r="BE36" s="729">
        <v>18.842050946723568</v>
      </c>
      <c r="BF36" s="729">
        <v>18.842050946723568</v>
      </c>
      <c r="BG36" s="729">
        <v>18.842050946723568</v>
      </c>
      <c r="BH36" s="729">
        <v>18.842050946723568</v>
      </c>
      <c r="BI36" s="729">
        <v>18.842050946723568</v>
      </c>
      <c r="BJ36" s="729">
        <v>18.842050946723568</v>
      </c>
      <c r="BK36" s="729">
        <v>18.842050946723568</v>
      </c>
      <c r="BL36" s="729">
        <v>18.842050946723568</v>
      </c>
      <c r="BM36" s="729">
        <v>18.842050946723568</v>
      </c>
      <c r="BN36" s="729">
        <v>18.842050946723568</v>
      </c>
      <c r="BO36" s="729">
        <v>18.842050946723568</v>
      </c>
      <c r="BP36" s="729">
        <v>18.842050946723568</v>
      </c>
      <c r="BQ36" s="729">
        <v>18.842050946723568</v>
      </c>
      <c r="BR36" s="729">
        <v>18.842050946723568</v>
      </c>
      <c r="BS36" s="729">
        <v>18.842050946723568</v>
      </c>
      <c r="BT36" s="729">
        <v>18.842050946723568</v>
      </c>
      <c r="BU36" s="729">
        <v>18.842050946723568</v>
      </c>
      <c r="BV36" s="729">
        <v>18.842050946723568</v>
      </c>
      <c r="BW36" s="729">
        <v>18.842050946723568</v>
      </c>
      <c r="BX36" s="729">
        <v>18.842050946723568</v>
      </c>
      <c r="BY36" s="729">
        <v>18.842050946723568</v>
      </c>
      <c r="BZ36" s="729">
        <v>18.842050946723568</v>
      </c>
      <c r="CA36" s="729">
        <v>18.842050946723568</v>
      </c>
      <c r="CB36" s="729">
        <v>18.842050946723568</v>
      </c>
      <c r="CC36" s="729">
        <v>18.842050946723568</v>
      </c>
      <c r="CD36" s="729">
        <v>18.842050946723568</v>
      </c>
      <c r="CE36" s="729">
        <v>18.842050946723568</v>
      </c>
      <c r="CF36" s="729">
        <v>18.842050946723568</v>
      </c>
      <c r="CG36" s="729">
        <v>18.842050946723568</v>
      </c>
      <c r="CH36" s="729">
        <v>18.842050946723568</v>
      </c>
      <c r="CI36" s="729">
        <v>18.842050946723568</v>
      </c>
    </row>
    <row r="37" spans="3:87">
      <c r="C37" s="712" t="s">
        <v>1160</v>
      </c>
      <c r="D37" s="712" t="s">
        <v>1161</v>
      </c>
      <c r="E37" s="729">
        <v>0</v>
      </c>
      <c r="F37" s="729">
        <v>0</v>
      </c>
      <c r="G37" s="729">
        <v>0</v>
      </c>
      <c r="H37" s="729">
        <v>0</v>
      </c>
      <c r="I37" s="729">
        <v>0</v>
      </c>
      <c r="J37" s="729">
        <v>0</v>
      </c>
      <c r="K37" s="729">
        <v>0</v>
      </c>
      <c r="L37" s="730">
        <v>13.766068269334292</v>
      </c>
      <c r="M37" s="730">
        <v>13.869135554001438</v>
      </c>
      <c r="N37" s="730">
        <v>13.972202838668585</v>
      </c>
      <c r="O37" s="730">
        <v>14.075270123335731</v>
      </c>
      <c r="P37" s="730">
        <v>14.178337408002877</v>
      </c>
      <c r="Q37" s="730">
        <v>14.281404692670023</v>
      </c>
      <c r="R37" s="730">
        <v>14.384471977337169</v>
      </c>
      <c r="S37" s="730">
        <v>14.487539262004315</v>
      </c>
      <c r="T37" s="730">
        <v>14.590606546671461</v>
      </c>
      <c r="U37" s="730">
        <v>14.693673831338607</v>
      </c>
      <c r="V37" s="730">
        <v>14.796741116005753</v>
      </c>
      <c r="W37" s="730">
        <v>14.899808400672899</v>
      </c>
      <c r="X37" s="730">
        <v>15.002875685340046</v>
      </c>
      <c r="Y37" s="730">
        <v>15.105942970007192</v>
      </c>
      <c r="Z37" s="730">
        <v>15.209010254674338</v>
      </c>
      <c r="AA37" s="730">
        <v>15.312077539341484</v>
      </c>
      <c r="AB37" s="730">
        <v>15.41514482400863</v>
      </c>
      <c r="AC37" s="730">
        <v>15.518212108675776</v>
      </c>
      <c r="AD37" s="730">
        <v>15.621279393342922</v>
      </c>
      <c r="AE37" s="730">
        <v>15.724346678010068</v>
      </c>
      <c r="AF37" s="730">
        <v>15.827413962677214</v>
      </c>
      <c r="AG37" s="730">
        <v>15.93048124734436</v>
      </c>
      <c r="AH37" s="730">
        <v>16.033548532011508</v>
      </c>
      <c r="AI37" s="730">
        <v>16.136615816678656</v>
      </c>
      <c r="AJ37" s="730">
        <v>16.239683101345804</v>
      </c>
      <c r="AK37" s="730">
        <v>16.342750386012948</v>
      </c>
      <c r="AL37" s="729">
        <v>16.342750386012948</v>
      </c>
      <c r="AM37" s="729">
        <v>16.342750386012948</v>
      </c>
      <c r="AN37" s="729">
        <v>16.342750386012948</v>
      </c>
      <c r="AO37" s="729">
        <v>16.342750386012948</v>
      </c>
      <c r="AP37" s="729">
        <v>16.342750386012948</v>
      </c>
      <c r="AQ37" s="729">
        <v>16.342750386012948</v>
      </c>
      <c r="AR37" s="729">
        <v>16.342750386012948</v>
      </c>
      <c r="AS37" s="729">
        <v>16.342750386012948</v>
      </c>
      <c r="AT37" s="729">
        <v>16.342750386012948</v>
      </c>
      <c r="AU37" s="729">
        <v>16.342750386012948</v>
      </c>
      <c r="AV37" s="729">
        <v>16.342750386012948</v>
      </c>
      <c r="AW37" s="729">
        <v>16.342750386012948</v>
      </c>
      <c r="AX37" s="729">
        <v>16.342750386012948</v>
      </c>
      <c r="AY37" s="729">
        <v>16.342750386012948</v>
      </c>
      <c r="AZ37" s="729">
        <v>16.342750386012948</v>
      </c>
      <c r="BA37" s="729">
        <v>16.342750386012948</v>
      </c>
      <c r="BB37" s="729">
        <v>16.342750386012948</v>
      </c>
      <c r="BC37" s="729">
        <v>16.342750386012948</v>
      </c>
      <c r="BD37" s="729">
        <v>16.342750386012948</v>
      </c>
      <c r="BE37" s="729">
        <v>16.342750386012948</v>
      </c>
      <c r="BF37" s="729">
        <v>16.342750386012948</v>
      </c>
      <c r="BG37" s="729">
        <v>16.342750386012948</v>
      </c>
      <c r="BH37" s="729">
        <v>16.342750386012948</v>
      </c>
      <c r="BI37" s="729">
        <v>16.342750386012948</v>
      </c>
      <c r="BJ37" s="729">
        <v>16.342750386012948</v>
      </c>
      <c r="BK37" s="729">
        <v>16.342750386012948</v>
      </c>
      <c r="BL37" s="729">
        <v>16.342750386012948</v>
      </c>
      <c r="BM37" s="729">
        <v>16.342750386012948</v>
      </c>
      <c r="BN37" s="729">
        <v>16.342750386012948</v>
      </c>
      <c r="BO37" s="729">
        <v>16.342750386012948</v>
      </c>
      <c r="BP37" s="729">
        <v>16.342750386012948</v>
      </c>
      <c r="BQ37" s="729">
        <v>16.342750386012948</v>
      </c>
      <c r="BR37" s="729">
        <v>16.342750386012948</v>
      </c>
      <c r="BS37" s="729">
        <v>16.342750386012948</v>
      </c>
      <c r="BT37" s="729">
        <v>16.342750386012948</v>
      </c>
      <c r="BU37" s="729">
        <v>16.342750386012948</v>
      </c>
      <c r="BV37" s="729">
        <v>16.342750386012948</v>
      </c>
      <c r="BW37" s="729">
        <v>16.342750386012948</v>
      </c>
      <c r="BX37" s="729">
        <v>16.342750386012948</v>
      </c>
      <c r="BY37" s="729">
        <v>16.342750386012948</v>
      </c>
      <c r="BZ37" s="729">
        <v>16.342750386012948</v>
      </c>
      <c r="CA37" s="729">
        <v>16.342750386012948</v>
      </c>
      <c r="CB37" s="729">
        <v>16.342750386012948</v>
      </c>
      <c r="CC37" s="729">
        <v>16.342750386012948</v>
      </c>
      <c r="CD37" s="729">
        <v>16.342750386012948</v>
      </c>
      <c r="CE37" s="729">
        <v>16.342750386012948</v>
      </c>
      <c r="CF37" s="729">
        <v>16.342750386012948</v>
      </c>
      <c r="CG37" s="729">
        <v>16.342750386012948</v>
      </c>
      <c r="CH37" s="729">
        <v>16.342750386012948</v>
      </c>
      <c r="CI37" s="729">
        <v>16.342750386012948</v>
      </c>
    </row>
    <row r="45" spans="3:87">
      <c r="C45" s="734"/>
      <c r="D45" s="734"/>
      <c r="E45" s="735"/>
      <c r="F45" s="735"/>
      <c r="G45" s="734"/>
      <c r="H45" s="735"/>
      <c r="I45" s="734"/>
      <c r="J45" s="734"/>
      <c r="K45" s="736"/>
      <c r="L45" s="734"/>
      <c r="M45" s="737"/>
      <c r="N45" s="734"/>
      <c r="O45" s="734"/>
      <c r="P45" s="734"/>
      <c r="Q45" s="734"/>
      <c r="R45" s="734"/>
      <c r="S45" s="734"/>
      <c r="T45" s="734"/>
      <c r="U45" s="734"/>
      <c r="V45" s="734"/>
      <c r="W45" s="734"/>
      <c r="X45" s="734"/>
      <c r="Y45" s="734"/>
      <c r="Z45" s="734"/>
    </row>
    <row r="46" spans="3:87">
      <c r="C46" s="738" t="s">
        <v>69</v>
      </c>
      <c r="D46" s="738" t="s">
        <v>76</v>
      </c>
      <c r="E46" s="738" t="s">
        <v>77</v>
      </c>
      <c r="F46" s="738" t="s">
        <v>1222</v>
      </c>
      <c r="G46" s="739" t="s">
        <v>1223</v>
      </c>
      <c r="H46" s="739" t="s">
        <v>1224</v>
      </c>
      <c r="I46" s="739" t="s">
        <v>1225</v>
      </c>
      <c r="J46" s="739" t="s">
        <v>1226</v>
      </c>
      <c r="K46" s="739" t="s">
        <v>1227</v>
      </c>
      <c r="L46" s="739" t="s">
        <v>1228</v>
      </c>
      <c r="M46" s="740" t="s">
        <v>795</v>
      </c>
      <c r="N46" s="740" t="s">
        <v>525</v>
      </c>
    </row>
    <row r="47" spans="3:87" ht="21.5">
      <c r="C47" s="747" t="s">
        <v>78</v>
      </c>
      <c r="D47" s="741" t="s">
        <v>79</v>
      </c>
      <c r="E47" s="741" t="s">
        <v>80</v>
      </c>
      <c r="F47" s="741"/>
      <c r="G47" s="742" t="s">
        <v>759</v>
      </c>
      <c r="H47" s="742" t="s">
        <v>759</v>
      </c>
      <c r="I47" s="742" t="s">
        <v>759</v>
      </c>
      <c r="J47" s="742" t="s">
        <v>1229</v>
      </c>
      <c r="K47" s="743" t="s">
        <v>1230</v>
      </c>
      <c r="L47" s="743" t="s">
        <v>1231</v>
      </c>
      <c r="M47" s="742" t="s">
        <v>796</v>
      </c>
      <c r="N47" s="742" t="s">
        <v>1232</v>
      </c>
      <c r="O47" s="734"/>
    </row>
    <row r="48" spans="3:87" ht="26.5" thickBot="1">
      <c r="C48" s="746" t="s">
        <v>769</v>
      </c>
      <c r="D48" s="745"/>
      <c r="E48" s="745"/>
      <c r="F48" s="745"/>
      <c r="G48" s="748" t="s">
        <v>1233</v>
      </c>
      <c r="H48" s="748" t="s">
        <v>1233</v>
      </c>
      <c r="I48" s="748" t="s">
        <v>1233</v>
      </c>
      <c r="J48" s="748" t="s">
        <v>1234</v>
      </c>
      <c r="K48" s="748" t="s">
        <v>1235</v>
      </c>
      <c r="L48" s="749" t="s">
        <v>1236</v>
      </c>
      <c r="M48" s="748" t="s">
        <v>797</v>
      </c>
      <c r="N48" s="748" t="s">
        <v>1237</v>
      </c>
      <c r="O48" s="734"/>
    </row>
    <row r="49" spans="3:15">
      <c r="C49" s="744" t="s">
        <v>714</v>
      </c>
      <c r="D49" s="744"/>
      <c r="E49" s="744"/>
      <c r="F49" s="744"/>
      <c r="G49" s="744"/>
      <c r="H49" s="744"/>
      <c r="I49" s="744"/>
      <c r="J49" s="744"/>
      <c r="K49" s="744"/>
      <c r="L49" s="744"/>
      <c r="M49" s="744"/>
      <c r="N49" s="744"/>
      <c r="O49" s="734"/>
    </row>
    <row r="50" spans="3:15">
      <c r="C50" s="734" t="s">
        <v>1238</v>
      </c>
      <c r="D50" s="751" t="s">
        <v>1239</v>
      </c>
      <c r="E50" s="734" t="s">
        <v>715</v>
      </c>
      <c r="F50" s="734">
        <v>2019</v>
      </c>
      <c r="G50" s="750">
        <v>1</v>
      </c>
      <c r="H50" s="750">
        <v>1.05</v>
      </c>
      <c r="I50" s="750">
        <v>1.2</v>
      </c>
      <c r="J50" s="734"/>
      <c r="K50" s="734"/>
      <c r="L50" s="734"/>
      <c r="M50" s="734"/>
      <c r="N50" s="734">
        <v>1</v>
      </c>
      <c r="O50" s="734"/>
    </row>
    <row r="51" spans="3:15">
      <c r="C51" s="734" t="s">
        <v>1240</v>
      </c>
      <c r="D51" s="751" t="s">
        <v>1239</v>
      </c>
      <c r="E51" s="734" t="s">
        <v>716</v>
      </c>
      <c r="F51" s="734">
        <v>2019</v>
      </c>
      <c r="G51" s="750">
        <v>1</v>
      </c>
      <c r="H51" s="750">
        <v>1.05</v>
      </c>
      <c r="I51" s="750">
        <v>1.2</v>
      </c>
      <c r="J51" s="734"/>
      <c r="K51" s="734"/>
      <c r="L51" s="734"/>
      <c r="M51" s="734"/>
      <c r="N51" s="734">
        <v>1</v>
      </c>
      <c r="O51" s="734"/>
    </row>
    <row r="52" spans="3:15">
      <c r="C52" s="751" t="s">
        <v>1241</v>
      </c>
      <c r="D52" s="751" t="s">
        <v>1200</v>
      </c>
      <c r="E52" s="751" t="s">
        <v>1156</v>
      </c>
      <c r="F52" s="751">
        <v>2024</v>
      </c>
      <c r="G52" s="753">
        <v>2.7498625979502011E-3</v>
      </c>
      <c r="H52" s="753">
        <v>2.8873557278477112E-3</v>
      </c>
      <c r="I52" s="753">
        <v>3.2998351175402411E-3</v>
      </c>
      <c r="J52" s="752">
        <v>63300</v>
      </c>
      <c r="K52" s="751">
        <v>2800</v>
      </c>
      <c r="L52" s="752">
        <v>117.3485401459854</v>
      </c>
      <c r="M52" s="751">
        <v>30</v>
      </c>
      <c r="N52" s="751">
        <v>1E-3</v>
      </c>
    </row>
    <row r="53" spans="3:15">
      <c r="C53" s="751" t="s">
        <v>1242</v>
      </c>
      <c r="D53" s="751" t="s">
        <v>1200</v>
      </c>
      <c r="E53" s="751" t="s">
        <v>1158</v>
      </c>
      <c r="F53" s="751">
        <v>2024</v>
      </c>
      <c r="G53" s="753">
        <v>4.7486280200945844E-3</v>
      </c>
      <c r="H53" s="753">
        <v>4.9860594210993136E-3</v>
      </c>
      <c r="I53" s="753">
        <v>5.6983536241135011E-3</v>
      </c>
      <c r="J53" s="752">
        <v>81410</v>
      </c>
      <c r="K53" s="751">
        <v>2800</v>
      </c>
      <c r="L53" s="752">
        <v>149.65088757396452</v>
      </c>
      <c r="M53" s="751">
        <v>30</v>
      </c>
      <c r="N53" s="751">
        <v>1E-3</v>
      </c>
    </row>
    <row r="54" spans="3:15">
      <c r="C54" s="754" t="s">
        <v>1243</v>
      </c>
      <c r="D54" s="754" t="s">
        <v>1200</v>
      </c>
      <c r="E54" s="754" t="s">
        <v>1160</v>
      </c>
      <c r="F54" s="754">
        <v>2024</v>
      </c>
      <c r="G54" s="757">
        <v>2.9246030305958657E-3</v>
      </c>
      <c r="H54" s="757">
        <v>3.070833182125659E-3</v>
      </c>
      <c r="I54" s="757">
        <v>3.5095236367150388E-3</v>
      </c>
      <c r="J54" s="755">
        <v>224140</v>
      </c>
      <c r="K54" s="751">
        <v>2800</v>
      </c>
      <c r="L54" s="752">
        <v>220.27433628318585</v>
      </c>
      <c r="M54" s="751">
        <v>30</v>
      </c>
      <c r="N54" s="751">
        <v>1E-3</v>
      </c>
    </row>
    <row r="55" spans="3:15">
      <c r="C55" s="751" t="s">
        <v>1244</v>
      </c>
      <c r="D55" s="751" t="s">
        <v>1245</v>
      </c>
      <c r="E55" s="751" t="s">
        <v>1156</v>
      </c>
      <c r="F55" s="751">
        <v>2024</v>
      </c>
      <c r="G55" s="753">
        <v>2.7498625979502011E-3</v>
      </c>
      <c r="H55" s="753">
        <v>2.8873557278477112E-3</v>
      </c>
      <c r="I55" s="753">
        <v>3.2998351175402411E-3</v>
      </c>
      <c r="J55" s="752">
        <v>69630</v>
      </c>
      <c r="K55" s="751">
        <v>2800</v>
      </c>
      <c r="L55" s="752">
        <v>117.3485401459854</v>
      </c>
      <c r="M55" s="751">
        <v>30</v>
      </c>
      <c r="N55" s="751">
        <v>1E-3</v>
      </c>
    </row>
    <row r="56" spans="3:15">
      <c r="C56" s="751" t="s">
        <v>1246</v>
      </c>
      <c r="D56" s="751" t="s">
        <v>1245</v>
      </c>
      <c r="E56" s="751" t="s">
        <v>1158</v>
      </c>
      <c r="F56" s="751">
        <v>2024</v>
      </c>
      <c r="G56" s="753">
        <v>4.7486280200945844E-3</v>
      </c>
      <c r="H56" s="753">
        <v>4.9860594210993136E-3</v>
      </c>
      <c r="I56" s="753">
        <v>5.6983536241135011E-3</v>
      </c>
      <c r="J56" s="752">
        <v>89551</v>
      </c>
      <c r="K56" s="751">
        <v>2800</v>
      </c>
      <c r="L56" s="752">
        <v>149.65088757396452</v>
      </c>
      <c r="M56" s="751">
        <v>30</v>
      </c>
      <c r="N56" s="751">
        <v>1E-3</v>
      </c>
    </row>
    <row r="57" spans="3:15">
      <c r="C57" s="754" t="s">
        <v>1247</v>
      </c>
      <c r="D57" s="754" t="s">
        <v>1245</v>
      </c>
      <c r="E57" s="754" t="s">
        <v>1160</v>
      </c>
      <c r="F57" s="754">
        <v>2024</v>
      </c>
      <c r="G57" s="757">
        <v>2.9246030305958657E-3</v>
      </c>
      <c r="H57" s="757">
        <v>3.070833182125659E-3</v>
      </c>
      <c r="I57" s="757">
        <v>3.5095236367150388E-3</v>
      </c>
      <c r="J57" s="755">
        <v>246554.00000000003</v>
      </c>
      <c r="K57" s="751">
        <v>2800</v>
      </c>
      <c r="L57" s="752">
        <v>220.27433628318585</v>
      </c>
      <c r="M57" s="751">
        <v>30</v>
      </c>
      <c r="N57" s="751">
        <v>1E-3</v>
      </c>
    </row>
    <row r="58" spans="3:15">
      <c r="C58" s="756" t="s">
        <v>1248</v>
      </c>
      <c r="D58" s="756" t="s">
        <v>1249</v>
      </c>
      <c r="E58" s="756" t="s">
        <v>1156</v>
      </c>
      <c r="F58" s="756">
        <v>2024</v>
      </c>
      <c r="G58" s="759">
        <v>2.7498625979502011E-3</v>
      </c>
      <c r="H58" s="759">
        <v>2.8873557278477112E-3</v>
      </c>
      <c r="I58" s="759">
        <v>3.2998351175402411E-3</v>
      </c>
      <c r="J58" s="758">
        <v>69630</v>
      </c>
      <c r="K58" s="751">
        <v>2800</v>
      </c>
      <c r="L58" s="752">
        <v>117.3485401459854</v>
      </c>
      <c r="M58" s="751">
        <v>30</v>
      </c>
      <c r="N58" s="751">
        <v>1E-3</v>
      </c>
    </row>
    <row r="59" spans="3:15">
      <c r="C59" s="751" t="s">
        <v>1250</v>
      </c>
      <c r="D59" s="751" t="s">
        <v>1249</v>
      </c>
      <c r="E59" s="751" t="s">
        <v>1158</v>
      </c>
      <c r="F59" s="751">
        <v>2024</v>
      </c>
      <c r="G59" s="753">
        <v>4.7486280200945844E-3</v>
      </c>
      <c r="H59" s="753">
        <v>4.9860594210993136E-3</v>
      </c>
      <c r="I59" s="753">
        <v>5.6983536241135011E-3</v>
      </c>
      <c r="J59" s="752">
        <v>89551</v>
      </c>
      <c r="K59" s="751">
        <v>2800</v>
      </c>
      <c r="L59" s="752">
        <v>149.65088757396452</v>
      </c>
      <c r="M59" s="751">
        <v>30</v>
      </c>
      <c r="N59" s="751">
        <v>1E-3</v>
      </c>
    </row>
    <row r="60" spans="3:15">
      <c r="C60" s="754" t="s">
        <v>1251</v>
      </c>
      <c r="D60" s="754" t="s">
        <v>1249</v>
      </c>
      <c r="E60" s="754" t="s">
        <v>1160</v>
      </c>
      <c r="F60" s="754">
        <v>2024</v>
      </c>
      <c r="G60" s="757">
        <v>2.9246030305958657E-3</v>
      </c>
      <c r="H60" s="757">
        <v>3.070833182125659E-3</v>
      </c>
      <c r="I60" s="757">
        <v>3.5095236367150388E-3</v>
      </c>
      <c r="J60" s="755">
        <v>246554.00000000003</v>
      </c>
      <c r="K60" s="751">
        <v>2800</v>
      </c>
      <c r="L60" s="752">
        <v>220.27433628318585</v>
      </c>
      <c r="M60" s="751">
        <v>30</v>
      </c>
      <c r="N60" s="751">
        <v>1E-3</v>
      </c>
    </row>
    <row r="61" spans="3:15">
      <c r="C61" s="756" t="s">
        <v>1252</v>
      </c>
      <c r="D61" s="756" t="s">
        <v>1202</v>
      </c>
      <c r="E61" s="756" t="s">
        <v>1156</v>
      </c>
      <c r="F61" s="756">
        <v>2030</v>
      </c>
      <c r="G61" s="759">
        <v>3.9996704699250211E-3</v>
      </c>
      <c r="H61" s="759">
        <v>4.1996539934212726E-3</v>
      </c>
      <c r="I61" s="759">
        <v>4.7996045639100253E-3</v>
      </c>
      <c r="J61" s="758">
        <v>126600</v>
      </c>
      <c r="K61" s="751">
        <v>2800</v>
      </c>
      <c r="L61" s="752">
        <v>117.3485401459854</v>
      </c>
      <c r="M61" s="751">
        <v>30</v>
      </c>
      <c r="N61" s="751">
        <v>1E-3</v>
      </c>
    </row>
    <row r="62" spans="3:15">
      <c r="C62" s="754" t="s">
        <v>1253</v>
      </c>
      <c r="D62" s="754" t="s">
        <v>1202</v>
      </c>
      <c r="E62" s="754" t="s">
        <v>1158</v>
      </c>
      <c r="F62" s="754">
        <v>2045</v>
      </c>
      <c r="G62" s="757">
        <v>3.9996704699250211E-3</v>
      </c>
      <c r="H62" s="757">
        <v>4.1996539934212726E-3</v>
      </c>
      <c r="I62" s="757">
        <v>4.7996045639100253E-3</v>
      </c>
      <c r="J62" s="755">
        <v>162820</v>
      </c>
      <c r="K62" s="751">
        <v>2800</v>
      </c>
      <c r="L62" s="752">
        <v>149.65088757396452</v>
      </c>
      <c r="M62" s="751">
        <v>30</v>
      </c>
      <c r="N62" s="751">
        <v>1E-3</v>
      </c>
    </row>
    <row r="63" spans="3:15">
      <c r="C63" s="756" t="s">
        <v>1254</v>
      </c>
      <c r="D63" s="756" t="s">
        <v>1203</v>
      </c>
      <c r="E63" s="756" t="s">
        <v>1156</v>
      </c>
      <c r="F63" s="756">
        <v>2045</v>
      </c>
      <c r="G63" s="759">
        <v>2.7498625979502011E-3</v>
      </c>
      <c r="H63" s="759">
        <v>2.8873557278477112E-3</v>
      </c>
      <c r="I63" s="759">
        <v>3.2998351175402411E-3</v>
      </c>
      <c r="J63" s="758">
        <v>189900</v>
      </c>
      <c r="K63" s="751">
        <v>2800</v>
      </c>
      <c r="L63" s="752">
        <v>117.3485401459854</v>
      </c>
      <c r="M63" s="751">
        <v>30</v>
      </c>
      <c r="N63" s="751">
        <v>1E-3</v>
      </c>
    </row>
    <row r="64" spans="3:15">
      <c r="C64" s="751" t="s">
        <v>1255</v>
      </c>
      <c r="D64" s="751" t="s">
        <v>1203</v>
      </c>
      <c r="E64" s="751" t="s">
        <v>1158</v>
      </c>
      <c r="F64" s="751">
        <v>2045</v>
      </c>
      <c r="G64" s="753">
        <v>4.7486280200945844E-3</v>
      </c>
      <c r="H64" s="753">
        <v>4.9860594210993136E-3</v>
      </c>
      <c r="I64" s="753">
        <v>5.6983536241135011E-3</v>
      </c>
      <c r="J64" s="752">
        <v>244230</v>
      </c>
      <c r="K64" s="751">
        <v>2800</v>
      </c>
      <c r="L64" s="752">
        <v>149.65088757396452</v>
      </c>
      <c r="M64" s="751">
        <v>30</v>
      </c>
      <c r="N64" s="751">
        <v>1E-3</v>
      </c>
    </row>
    <row r="65" spans="3:14">
      <c r="C65" s="754" t="s">
        <v>1256</v>
      </c>
      <c r="D65" s="754" t="s">
        <v>1203</v>
      </c>
      <c r="E65" s="754" t="s">
        <v>1160</v>
      </c>
      <c r="F65" s="754">
        <v>2045</v>
      </c>
      <c r="G65" s="757">
        <v>2.9246030305958657E-3</v>
      </c>
      <c r="H65" s="757">
        <v>3.070833182125659E-3</v>
      </c>
      <c r="I65" s="757">
        <v>3.5095236367150388E-3</v>
      </c>
      <c r="J65" s="755">
        <v>672420</v>
      </c>
      <c r="K65" s="751">
        <v>2800</v>
      </c>
      <c r="L65" s="752">
        <v>220.27433628318585</v>
      </c>
      <c r="M65" s="751">
        <v>30</v>
      </c>
      <c r="N65" s="751">
        <v>1E-3</v>
      </c>
    </row>
  </sheetData>
  <phoneticPr fontId="36"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2D1C-74C0-47C4-9A8D-4086C7E6AAA0}">
  <sheetPr codeName="Sheet9"/>
  <dimension ref="B1:CN317"/>
  <sheetViews>
    <sheetView zoomScale="85" zoomScaleNormal="85" workbookViewId="0">
      <selection activeCell="E40" sqref="E40"/>
    </sheetView>
  </sheetViews>
  <sheetFormatPr defaultRowHeight="14.5"/>
  <cols>
    <col min="2" max="2" width="8.26953125" customWidth="1"/>
    <col min="3" max="3" width="23" customWidth="1"/>
    <col min="4" max="4" width="9" customWidth="1"/>
    <col min="5" max="5" width="18.7265625" customWidth="1"/>
    <col min="6" max="6" width="20.26953125" customWidth="1"/>
    <col min="7" max="9" width="15.54296875" customWidth="1"/>
    <col min="10" max="31" width="9.26953125" customWidth="1"/>
    <col min="34" max="34" width="8.7265625" customWidth="1"/>
    <col min="35" max="35" width="34.453125" bestFit="1" customWidth="1"/>
    <col min="36" max="36" width="27.26953125" bestFit="1" customWidth="1"/>
    <col min="37" max="37" width="26.7265625" bestFit="1" customWidth="1"/>
    <col min="38" max="38" width="26.7265625" customWidth="1"/>
    <col min="39" max="39" width="27.7265625" bestFit="1" customWidth="1"/>
    <col min="40" max="41" width="27.26953125" bestFit="1" customWidth="1"/>
    <col min="42" max="46" width="26.7265625" bestFit="1" customWidth="1"/>
    <col min="47" max="47" width="27.7265625" bestFit="1" customWidth="1"/>
    <col min="48" max="62" width="26.7265625" bestFit="1" customWidth="1"/>
    <col min="65" max="65" width="26.7265625" customWidth="1"/>
    <col min="66" max="92" width="21.7265625" bestFit="1" customWidth="1"/>
  </cols>
  <sheetData>
    <row r="1" spans="3:92">
      <c r="C1" s="98"/>
    </row>
    <row r="2" spans="3:92">
      <c r="C2" s="98"/>
      <c r="AI2" t="s">
        <v>997</v>
      </c>
      <c r="BM2" t="s">
        <v>297</v>
      </c>
    </row>
    <row r="3" spans="3:92">
      <c r="F3" s="141" t="s">
        <v>900</v>
      </c>
      <c r="AI3" t="s">
        <v>985</v>
      </c>
      <c r="BM3" t="s">
        <v>994</v>
      </c>
    </row>
    <row r="4" spans="3:92" ht="15" thickBot="1">
      <c r="C4" s="35" t="s">
        <v>69</v>
      </c>
      <c r="D4" s="35" t="s">
        <v>94</v>
      </c>
      <c r="E4" s="35" t="s">
        <v>76</v>
      </c>
      <c r="F4" s="35" t="s">
        <v>77</v>
      </c>
      <c r="G4" s="35" t="str">
        <f>Regions!C3</f>
        <v>IE</v>
      </c>
      <c r="H4" s="35" t="str">
        <f>Regions!E3</f>
        <v>IE-CW</v>
      </c>
      <c r="I4" s="35" t="str">
        <f>Regions!F3</f>
        <v>IE-D</v>
      </c>
      <c r="J4" s="35" t="str">
        <f>Regions!G3</f>
        <v>IE-KE</v>
      </c>
      <c r="K4" s="35" t="str">
        <f>Regions!H3</f>
        <v>IE-KK</v>
      </c>
      <c r="L4" s="35" t="str">
        <f>Regions!I3</f>
        <v>IE-LS</v>
      </c>
      <c r="M4" s="35" t="str">
        <f>Regions!J3</f>
        <v>IE-LD</v>
      </c>
      <c r="N4" s="35" t="str">
        <f>Regions!K3</f>
        <v>IE-LH</v>
      </c>
      <c r="O4" s="35" t="str">
        <f>Regions!L3</f>
        <v>IE-MH</v>
      </c>
      <c r="P4" s="35" t="str">
        <f>Regions!M3</f>
        <v>IE-OY</v>
      </c>
      <c r="Q4" s="35" t="str">
        <f>Regions!N3</f>
        <v>IE-WH</v>
      </c>
      <c r="R4" s="35" t="str">
        <f>Regions!O3</f>
        <v>IE-WX</v>
      </c>
      <c r="S4" s="35" t="str">
        <f>Regions!P3</f>
        <v>IE-WW</v>
      </c>
      <c r="T4" s="35" t="str">
        <f>Regions!Q3</f>
        <v>IE-CE</v>
      </c>
      <c r="U4" s="35" t="str">
        <f>Regions!R3</f>
        <v>IE-CO</v>
      </c>
      <c r="V4" s="35" t="str">
        <f>Regions!S3</f>
        <v>IE-KY</v>
      </c>
      <c r="W4" s="35" t="str">
        <f>Regions!T3</f>
        <v>IE-LK</v>
      </c>
      <c r="X4" s="35" t="str">
        <f>Regions!U3</f>
        <v>IE-TA</v>
      </c>
      <c r="Y4" s="35" t="str">
        <f>Regions!V3</f>
        <v>IE-WD</v>
      </c>
      <c r="Z4" s="35" t="str">
        <f>Regions!W3</f>
        <v>IE-G</v>
      </c>
      <c r="AA4" s="35" t="str">
        <f>Regions!X3</f>
        <v>IE-LM</v>
      </c>
      <c r="AB4" s="35" t="str">
        <f>Regions!Y3</f>
        <v>IE-MO</v>
      </c>
      <c r="AC4" s="35" t="str">
        <f>Regions!Z3</f>
        <v>IE-RN</v>
      </c>
      <c r="AD4" s="35" t="str">
        <f>Regions!AA3</f>
        <v>IE-SO</v>
      </c>
      <c r="AE4" s="35" t="str">
        <f>Regions!AB3</f>
        <v>IE-CN</v>
      </c>
      <c r="AF4" s="35" t="str">
        <f>Regions!AC3</f>
        <v>IE-DL</v>
      </c>
      <c r="AG4" s="35" t="str">
        <f>Regions!AD3</f>
        <v>IE-MN</v>
      </c>
      <c r="AI4" s="35"/>
      <c r="AJ4" s="35" t="str">
        <f>G4</f>
        <v>IE</v>
      </c>
      <c r="AK4" s="35" t="str">
        <f t="shared" ref="AK4:BJ4" si="0">H4</f>
        <v>IE-CW</v>
      </c>
      <c r="AL4" s="35" t="str">
        <f t="shared" si="0"/>
        <v>IE-D</v>
      </c>
      <c r="AM4" s="35" t="str">
        <f t="shared" si="0"/>
        <v>IE-KE</v>
      </c>
      <c r="AN4" s="35" t="str">
        <f t="shared" si="0"/>
        <v>IE-KK</v>
      </c>
      <c r="AO4" s="35" t="str">
        <f t="shared" si="0"/>
        <v>IE-LS</v>
      </c>
      <c r="AP4" s="35" t="str">
        <f t="shared" si="0"/>
        <v>IE-LD</v>
      </c>
      <c r="AQ4" s="35" t="str">
        <f t="shared" si="0"/>
        <v>IE-LH</v>
      </c>
      <c r="AR4" s="35" t="str">
        <f t="shared" si="0"/>
        <v>IE-MH</v>
      </c>
      <c r="AS4" s="35" t="str">
        <f t="shared" si="0"/>
        <v>IE-OY</v>
      </c>
      <c r="AT4" s="35" t="str">
        <f t="shared" si="0"/>
        <v>IE-WH</v>
      </c>
      <c r="AU4" s="35" t="str">
        <f t="shared" si="0"/>
        <v>IE-WX</v>
      </c>
      <c r="AV4" s="35" t="str">
        <f t="shared" si="0"/>
        <v>IE-WW</v>
      </c>
      <c r="AW4" s="35" t="str">
        <f t="shared" si="0"/>
        <v>IE-CE</v>
      </c>
      <c r="AX4" s="35" t="str">
        <f t="shared" si="0"/>
        <v>IE-CO</v>
      </c>
      <c r="AY4" s="35" t="str">
        <f t="shared" si="0"/>
        <v>IE-KY</v>
      </c>
      <c r="AZ4" s="35" t="str">
        <f t="shared" si="0"/>
        <v>IE-LK</v>
      </c>
      <c r="BA4" s="35" t="str">
        <f t="shared" si="0"/>
        <v>IE-TA</v>
      </c>
      <c r="BB4" s="35" t="str">
        <f t="shared" si="0"/>
        <v>IE-WD</v>
      </c>
      <c r="BC4" s="35" t="str">
        <f t="shared" si="0"/>
        <v>IE-G</v>
      </c>
      <c r="BD4" s="35" t="str">
        <f t="shared" si="0"/>
        <v>IE-LM</v>
      </c>
      <c r="BE4" s="35" t="str">
        <f t="shared" si="0"/>
        <v>IE-MO</v>
      </c>
      <c r="BF4" s="35" t="str">
        <f t="shared" si="0"/>
        <v>IE-RN</v>
      </c>
      <c r="BG4" s="35" t="str">
        <f t="shared" si="0"/>
        <v>IE-SO</v>
      </c>
      <c r="BH4" s="35" t="str">
        <f t="shared" si="0"/>
        <v>IE-CN</v>
      </c>
      <c r="BI4" s="35" t="str">
        <f t="shared" si="0"/>
        <v>IE-DL</v>
      </c>
      <c r="BJ4" s="35" t="str">
        <f t="shared" si="0"/>
        <v>IE-MN</v>
      </c>
      <c r="BM4" s="35" t="s">
        <v>996</v>
      </c>
      <c r="BN4" s="35" t="str">
        <f t="shared" ref="BN4:CN4" si="1">AJ4</f>
        <v>IE</v>
      </c>
      <c r="BO4" s="35" t="str">
        <f t="shared" si="1"/>
        <v>IE-CW</v>
      </c>
      <c r="BP4" s="35" t="str">
        <f t="shared" si="1"/>
        <v>IE-D</v>
      </c>
      <c r="BQ4" s="35" t="str">
        <f t="shared" si="1"/>
        <v>IE-KE</v>
      </c>
      <c r="BR4" s="35" t="str">
        <f t="shared" si="1"/>
        <v>IE-KK</v>
      </c>
      <c r="BS4" s="35" t="str">
        <f t="shared" si="1"/>
        <v>IE-LS</v>
      </c>
      <c r="BT4" s="35" t="str">
        <f t="shared" si="1"/>
        <v>IE-LD</v>
      </c>
      <c r="BU4" s="35" t="str">
        <f t="shared" si="1"/>
        <v>IE-LH</v>
      </c>
      <c r="BV4" s="35" t="str">
        <f t="shared" si="1"/>
        <v>IE-MH</v>
      </c>
      <c r="BW4" s="35" t="str">
        <f t="shared" si="1"/>
        <v>IE-OY</v>
      </c>
      <c r="BX4" s="35" t="str">
        <f t="shared" si="1"/>
        <v>IE-WH</v>
      </c>
      <c r="BY4" s="35" t="str">
        <f t="shared" si="1"/>
        <v>IE-WX</v>
      </c>
      <c r="BZ4" s="35" t="str">
        <f t="shared" si="1"/>
        <v>IE-WW</v>
      </c>
      <c r="CA4" s="35" t="str">
        <f t="shared" si="1"/>
        <v>IE-CE</v>
      </c>
      <c r="CB4" s="35" t="str">
        <f t="shared" si="1"/>
        <v>IE-CO</v>
      </c>
      <c r="CC4" s="35" t="str">
        <f t="shared" si="1"/>
        <v>IE-KY</v>
      </c>
      <c r="CD4" s="35" t="str">
        <f t="shared" si="1"/>
        <v>IE-LK</v>
      </c>
      <c r="CE4" s="35" t="str">
        <f t="shared" si="1"/>
        <v>IE-TA</v>
      </c>
      <c r="CF4" s="35" t="str">
        <f t="shared" si="1"/>
        <v>IE-WD</v>
      </c>
      <c r="CG4" s="35" t="str">
        <f t="shared" si="1"/>
        <v>IE-G</v>
      </c>
      <c r="CH4" s="35" t="str">
        <f t="shared" si="1"/>
        <v>IE-LM</v>
      </c>
      <c r="CI4" s="35" t="str">
        <f t="shared" si="1"/>
        <v>IE-MO</v>
      </c>
      <c r="CJ4" s="35" t="str">
        <f t="shared" si="1"/>
        <v>IE-RN</v>
      </c>
      <c r="CK4" s="35" t="str">
        <f t="shared" si="1"/>
        <v>IE-SO</v>
      </c>
      <c r="CL4" s="35" t="str">
        <f t="shared" si="1"/>
        <v>IE-CN</v>
      </c>
      <c r="CM4" s="35" t="str">
        <f t="shared" si="1"/>
        <v>IE-DL</v>
      </c>
      <c r="CN4" s="35" t="str">
        <f t="shared" si="1"/>
        <v>IE-MN</v>
      </c>
    </row>
    <row r="5" spans="3:92" ht="15.5">
      <c r="C5" s="143" t="s">
        <v>508</v>
      </c>
      <c r="D5" s="143"/>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I5" s="143" t="str">
        <f>C5</f>
        <v>*Two-wheelers</v>
      </c>
      <c r="AJ5" s="319"/>
      <c r="AK5" s="319"/>
      <c r="AL5" s="319"/>
      <c r="AM5" s="319"/>
      <c r="AN5" s="319"/>
      <c r="AO5" s="319"/>
      <c r="AP5" s="319"/>
      <c r="AQ5" s="319"/>
      <c r="AR5" s="319"/>
      <c r="AS5" s="319"/>
      <c r="AT5" s="319"/>
      <c r="AU5" s="319"/>
      <c r="AV5" s="319"/>
      <c r="AW5" s="319"/>
      <c r="AX5" s="319"/>
      <c r="AY5" s="319"/>
      <c r="AZ5" s="319"/>
      <c r="BA5" s="319"/>
      <c r="BB5" s="319"/>
      <c r="BC5" s="319"/>
      <c r="BD5" s="319"/>
      <c r="BE5" s="319"/>
      <c r="BF5" s="319"/>
      <c r="BG5" s="319"/>
      <c r="BH5" s="319"/>
      <c r="BI5" s="319"/>
      <c r="BJ5" s="319"/>
      <c r="BM5" s="143" t="s">
        <v>995</v>
      </c>
      <c r="BN5" s="319"/>
      <c r="BO5" s="319"/>
      <c r="BP5" s="319"/>
      <c r="BQ5" s="319"/>
      <c r="BR5" s="319"/>
      <c r="BS5" s="319"/>
      <c r="BT5" s="319"/>
      <c r="BU5" s="319"/>
      <c r="BV5" s="319"/>
      <c r="BW5" s="319"/>
      <c r="BX5" s="319"/>
      <c r="BY5" s="319"/>
      <c r="BZ5" s="319"/>
      <c r="CA5" s="319"/>
      <c r="CB5" s="319"/>
      <c r="CC5" s="319"/>
      <c r="CD5" s="319"/>
      <c r="CE5" s="319"/>
      <c r="CF5" s="319"/>
      <c r="CG5" s="319"/>
      <c r="CH5" s="319"/>
      <c r="CI5" s="319"/>
      <c r="CJ5" s="319"/>
      <c r="CK5" s="319"/>
      <c r="CL5" s="319"/>
      <c r="CM5" s="319"/>
      <c r="CN5" s="319"/>
    </row>
    <row r="6" spans="3:92">
      <c r="C6" t="str">
        <f>Processes!D9</f>
        <v>T-MOT-ICE_GSL00</v>
      </c>
      <c r="D6" t="s">
        <v>1089</v>
      </c>
      <c r="E6" t="str">
        <f>Commodities!C8&amp;","&amp;Commodities!C10</f>
        <v>TRAGSL,TRAETH</v>
      </c>
      <c r="F6" t="str">
        <f>Commodities!C25&amp;","&amp;Commodities!C26</f>
        <v>TRAPS,TRAPM</v>
      </c>
      <c r="G6" s="98">
        <f>SUM(H6:AG6)</f>
        <v>39.851999999999997</v>
      </c>
      <c r="H6" s="98">
        <f t="shared" ref="H6:AG6" si="2">F185/1000</f>
        <v>0.56299999999999994</v>
      </c>
      <c r="I6" s="98">
        <f t="shared" si="2"/>
        <v>12.616</v>
      </c>
      <c r="J6" s="98">
        <f t="shared" si="2"/>
        <v>2.1680000000000001</v>
      </c>
      <c r="K6" s="98">
        <f t="shared" si="2"/>
        <v>0.872</v>
      </c>
      <c r="L6" s="98">
        <f t="shared" si="2"/>
        <v>0.51300000000000001</v>
      </c>
      <c r="M6" s="98">
        <f t="shared" si="2"/>
        <v>0.21299999999999999</v>
      </c>
      <c r="N6" s="98">
        <f t="shared" si="2"/>
        <v>0.85499999999999998</v>
      </c>
      <c r="O6" s="98">
        <f t="shared" si="2"/>
        <v>1.6839999999999999</v>
      </c>
      <c r="P6" s="98">
        <f t="shared" si="2"/>
        <v>0.66900000000000004</v>
      </c>
      <c r="Q6" s="98">
        <f t="shared" si="2"/>
        <v>0.60399999999999998</v>
      </c>
      <c r="R6" s="98">
        <f t="shared" si="2"/>
        <v>1.506</v>
      </c>
      <c r="S6" s="98">
        <f t="shared" si="2"/>
        <v>1.554</v>
      </c>
      <c r="T6" s="98">
        <f t="shared" si="2"/>
        <v>0.92400000000000004</v>
      </c>
      <c r="U6" s="98">
        <f t="shared" si="2"/>
        <v>5.452</v>
      </c>
      <c r="V6" s="98">
        <f t="shared" si="2"/>
        <v>1.0620000000000001</v>
      </c>
      <c r="W6" s="98">
        <f t="shared" si="2"/>
        <v>1.4890000000000001</v>
      </c>
      <c r="X6" s="98">
        <f t="shared" si="2"/>
        <v>1.4119999999999999</v>
      </c>
      <c r="Y6" s="98">
        <f t="shared" si="2"/>
        <v>1.2929999999999999</v>
      </c>
      <c r="Z6" s="98">
        <f t="shared" si="2"/>
        <v>1.458</v>
      </c>
      <c r="AA6" s="98">
        <f t="shared" si="2"/>
        <v>0.16</v>
      </c>
      <c r="AB6" s="98">
        <f t="shared" si="2"/>
        <v>0.60499999999999998</v>
      </c>
      <c r="AC6" s="98">
        <f t="shared" si="2"/>
        <v>0.29499999999999998</v>
      </c>
      <c r="AD6" s="98">
        <f t="shared" si="2"/>
        <v>0.4</v>
      </c>
      <c r="AE6" s="98">
        <f t="shared" si="2"/>
        <v>0.44800000000000001</v>
      </c>
      <c r="AF6" s="98">
        <f t="shared" si="2"/>
        <v>0.73599999999999999</v>
      </c>
      <c r="AG6" s="98">
        <f t="shared" si="2"/>
        <v>0.30099999999999999</v>
      </c>
      <c r="AI6" s="52" t="str">
        <f t="shared" ref="AI6:AI26" si="3">C6</f>
        <v>T-MOT-ICE_GSL00</v>
      </c>
      <c r="AJ6" s="8">
        <f>G6*AF!D6*ACT2FLO!E52/1000</f>
        <v>0.1197193932</v>
      </c>
      <c r="AK6" s="8">
        <f>H6*AF!E6*ACT2FLO!F52/1000</f>
        <v>1.6330940999999999E-3</v>
      </c>
      <c r="AL6" s="8">
        <f>I6*AF!F6*ACT2FLO!G52/1000</f>
        <v>3.8829524800000001E-2</v>
      </c>
      <c r="AM6" s="8">
        <f>J6*AF!G6*ACT2FLO!H52/1000</f>
        <v>6.505734400000001E-3</v>
      </c>
      <c r="AN6" s="8">
        <f>K6*AF!H6*ACT2FLO!I52/1000</f>
        <v>2.5437984E-3</v>
      </c>
      <c r="AO6" s="8">
        <f>L6*AF!I6*ACT2FLO!J52/1000</f>
        <v>1.5292530000000002E-3</v>
      </c>
      <c r="AP6" s="8">
        <f>M6*AF!J6*ACT2FLO!K52/1000</f>
        <v>6.2534670000000006E-4</v>
      </c>
      <c r="AQ6" s="8">
        <f>N6*AF!K6*ACT2FLO!L52/1000</f>
        <v>2.5938989999999998E-3</v>
      </c>
      <c r="AR6" s="8">
        <f>O6*AF!L6*ACT2FLO!M52/1000</f>
        <v>5.0422328000000001E-3</v>
      </c>
      <c r="AS6" s="8">
        <f>P6*AF!M6*ACT2FLO!N52/1000</f>
        <v>1.9545504000000003E-3</v>
      </c>
      <c r="AT6" s="8">
        <f>Q6*AF!N6*ACT2FLO!O52/1000</f>
        <v>1.7978663999999999E-3</v>
      </c>
      <c r="AU6" s="8">
        <f>R6*AF!O6*ACT2FLO!P52/1000</f>
        <v>4.4015862000000008E-3</v>
      </c>
      <c r="AV6" s="8">
        <f>S6*AF!P6*ACT2FLO!Q52/1000</f>
        <v>4.6495680000000015E-3</v>
      </c>
      <c r="AW6" s="8">
        <f>T6*AF!Q6*ACT2FLO!R52/1000</f>
        <v>2.7707064000000005E-3</v>
      </c>
      <c r="AX6" s="8">
        <f>U6*AF!R6*ACT2FLO!S52/1000</f>
        <v>1.6120473600000004E-2</v>
      </c>
      <c r="AY6" s="8">
        <f>V6*AF!S6*ACT2FLO!T52/1000</f>
        <v>3.1307760000000005E-3</v>
      </c>
      <c r="AZ6" s="8">
        <f>W6*AF!T6*ACT2FLO!U52/1000</f>
        <v>4.4223300000000012E-3</v>
      </c>
      <c r="BA6" s="8">
        <f>X6*AF!U6*ACT2FLO!V52/1000</f>
        <v>4.1843208000000003E-3</v>
      </c>
      <c r="BB6" s="8">
        <f>Y6*AF!V6*ACT2FLO!W52/1000</f>
        <v>3.7662504000000002E-3</v>
      </c>
      <c r="BC6" s="8">
        <f>Z6*AF!W6*ACT2FLO!X52/1000</f>
        <v>4.3318637999999994E-3</v>
      </c>
      <c r="BD6" s="8">
        <f>AA6*AF!X6*ACT2FLO!Y52/1000</f>
        <v>4.796E-4</v>
      </c>
      <c r="BE6" s="8">
        <f>AB6*AF!Y6*ACT2FLO!Z52/1000</f>
        <v>1.8088290000000003E-3</v>
      </c>
      <c r="BF6" s="8">
        <f>AC6*AF!Z6*ACT2FLO!AA52/1000</f>
        <v>8.8556050000000003E-4</v>
      </c>
      <c r="BG6" s="8">
        <f>AD6*AF!AA6*ACT2FLO!AB52/1000</f>
        <v>1.1651200000000002E-3</v>
      </c>
      <c r="BH6" s="8">
        <f>AE6*AF!AB6*ACT2FLO!AC52/1000</f>
        <v>1.3359808000000001E-3</v>
      </c>
      <c r="BI6" s="8">
        <f>AF6*AF!AC6*ACT2FLO!AD52/1000</f>
        <v>2.2612128000000006E-3</v>
      </c>
      <c r="BJ6" s="8">
        <f>AG6*AF!AD6*ACT2FLO!AE52/1000</f>
        <v>9.2045800000000008E-4</v>
      </c>
      <c r="BM6" t="str">
        <f>C28</f>
        <v>T-LGT-ICE_GSL00</v>
      </c>
      <c r="BN6" s="8">
        <f>G28*AF!D23*ACT2FLO!E70/1000</f>
        <v>7.9580551500000023E-4</v>
      </c>
      <c r="BO6" s="8">
        <f>H28*AF!E23*ACT2FLO!F70/1000</f>
        <v>8.8792850000000005E-6</v>
      </c>
      <c r="BP6" s="8">
        <f>I28*AF!F23*ACT2FLO!G70/1000</f>
        <v>2.6747075000000005E-4</v>
      </c>
      <c r="BQ6" s="8">
        <f>J28*AF!G23*ACT2FLO!H70/1000</f>
        <v>4.5203578000000002E-5</v>
      </c>
      <c r="BR6" s="8">
        <f>K28*AF!H23*ACT2FLO!I70/1000</f>
        <v>1.2900645000000001E-5</v>
      </c>
      <c r="BS6" s="8">
        <f>L28*AF!I23*ACT2FLO!J70/1000</f>
        <v>1.86392745E-5</v>
      </c>
      <c r="BT6" s="8">
        <f>M28*AF!J23*ACT2FLO!K70/1000</f>
        <v>7.00212E-6</v>
      </c>
      <c r="BU6" s="8">
        <f>N28*AF!K23*ACT2FLO!L70/1000</f>
        <v>1.3527584999999996E-5</v>
      </c>
      <c r="BV6" s="8">
        <f>O28*AF!L23*ACT2FLO!M70/1000</f>
        <v>1.9826719499999998E-5</v>
      </c>
      <c r="BW6" s="8">
        <f>P28*AF!M23*ACT2FLO!N70/1000</f>
        <v>8.6595549999999995E-6</v>
      </c>
      <c r="BX6" s="8">
        <f>Q28*AF!N23*ACT2FLO!O70/1000</f>
        <v>1.2437620999999998E-5</v>
      </c>
      <c r="BY6" s="8">
        <f>R28*AF!O23*ACT2FLO!P70/1000</f>
        <v>2.4790961999999996E-5</v>
      </c>
      <c r="BZ6" s="8">
        <f>S28*AF!P23*ACT2FLO!Q70/1000</f>
        <v>3.9364177999999991E-5</v>
      </c>
      <c r="CA6" s="8">
        <f>T28*AF!Q23*ACT2FLO!R70/1000</f>
        <v>1.3978439999999998E-5</v>
      </c>
      <c r="CB6" s="8">
        <f>U28*AF!R23*ACT2FLO!S70/1000</f>
        <v>1.1095038449999999E-4</v>
      </c>
      <c r="CC6" s="8">
        <f>V28*AF!S23*ACT2FLO!T70/1000</f>
        <v>1.8081220499999998E-5</v>
      </c>
      <c r="CD6" s="8">
        <f>W28*AF!T23*ACT2FLO!U70/1000</f>
        <v>1.2736513999999999E-5</v>
      </c>
      <c r="CE6" s="8">
        <f>X28*AF!U23*ACT2FLO!V70/1000</f>
        <v>2.3156725499999994E-5</v>
      </c>
      <c r="CF6" s="8">
        <f>Y28*AF!V23*ACT2FLO!W70/1000</f>
        <v>2.4261674999999997E-5</v>
      </c>
      <c r="CG6" s="8">
        <f>Z28*AF!W23*ACT2FLO!X70/1000</f>
        <v>3.8513551999999999E-5</v>
      </c>
      <c r="CH6" s="8">
        <f>AA28*AF!X23*ACT2FLO!Y70/1000</f>
        <v>1.762183E-6</v>
      </c>
      <c r="CI6" s="8">
        <f>AB28*AF!Y23*ACT2FLO!Z70/1000</f>
        <v>1.6610018499999996E-5</v>
      </c>
      <c r="CJ6" s="8">
        <f>AC28*AF!Z23*ACT2FLO!AA70/1000</f>
        <v>1.2470730999999997E-5</v>
      </c>
      <c r="CK6" s="8">
        <f>AD28*AF!AA23*ACT2FLO!AB70/1000</f>
        <v>7.6587299999999988E-6</v>
      </c>
      <c r="CL6" s="8">
        <f>AE28*AF!AB23*ACT2FLO!AC70/1000</f>
        <v>6.3089600000000007E-6</v>
      </c>
      <c r="CM6" s="8">
        <f>AF28*AF!AC23*ACT2FLO!AD70/1000</f>
        <v>2.4140673E-5</v>
      </c>
      <c r="CN6" s="8">
        <f>AG28*AF!AD23*ACT2FLO!AE70/1000</f>
        <v>1.0767887999999998E-5</v>
      </c>
    </row>
    <row r="7" spans="3:92" ht="15.5">
      <c r="C7" s="143" t="s">
        <v>509</v>
      </c>
      <c r="D7" s="143"/>
      <c r="E7" s="142"/>
      <c r="F7" s="142"/>
      <c r="G7" s="142"/>
      <c r="H7" s="142"/>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0"/>
      <c r="AI7" s="143" t="str">
        <f>C7</f>
        <v>*Private cars</v>
      </c>
      <c r="AJ7" s="320"/>
      <c r="AK7" s="319"/>
      <c r="AL7" s="319"/>
      <c r="AM7" s="319"/>
      <c r="AN7" s="319"/>
      <c r="AO7" s="319"/>
      <c r="AP7" s="319"/>
      <c r="AQ7" s="319"/>
      <c r="AR7" s="319"/>
      <c r="AS7" s="319"/>
      <c r="AT7" s="319"/>
      <c r="AU7" s="319"/>
      <c r="AV7" s="319"/>
      <c r="AW7" s="319"/>
      <c r="AX7" s="319"/>
      <c r="AY7" s="319"/>
      <c r="AZ7" s="319"/>
      <c r="BA7" s="319"/>
      <c r="BB7" s="319"/>
      <c r="BC7" s="319"/>
      <c r="BD7" s="319"/>
      <c r="BE7" s="319"/>
      <c r="BF7" s="319"/>
      <c r="BG7" s="319"/>
      <c r="BH7" s="319"/>
      <c r="BI7" s="319"/>
      <c r="BJ7" s="319"/>
      <c r="BM7" t="str">
        <f>C31</f>
        <v>T-HGT-ICE_DST00</v>
      </c>
      <c r="BN7" s="8">
        <f>G31*AF!D26*ACT2FLO!E73/1000</f>
        <v>10.105240679424002</v>
      </c>
      <c r="BO7" s="8">
        <f>H31*AF!E26*ACT2FLO!F73/1000</f>
        <v>0.1747803564</v>
      </c>
      <c r="BP7" s="8">
        <f>I31*AF!F26*ACT2FLO!G73/1000</f>
        <v>1.7660122571519998</v>
      </c>
      <c r="BQ7" s="8">
        <f>J31*AF!G26*ACT2FLO!H73/1000</f>
        <v>0.55782974707200006</v>
      </c>
      <c r="BR7" s="8">
        <f>K31*AF!H26*ACT2FLO!I73/1000</f>
        <v>0.38957271604799998</v>
      </c>
      <c r="BS7" s="8">
        <f>L31*AF!I26*ACT2FLO!J73/1000</f>
        <v>0.21890465687999996</v>
      </c>
      <c r="BT7" s="8">
        <f>M31*AF!J26*ACT2FLO!K73/1000</f>
        <v>0.12980281766400001</v>
      </c>
      <c r="BU7" s="8">
        <f>N31*AF!K26*ACT2FLO!L73/1000</f>
        <v>0.29275740295199992</v>
      </c>
      <c r="BV7" s="8">
        <f>O31*AF!L26*ACT2FLO!M73/1000</f>
        <v>0.65733745881599992</v>
      </c>
      <c r="BW7" s="8">
        <f>P31*AF!M26*ACT2FLO!N73/1000</f>
        <v>0.14571047575199997</v>
      </c>
      <c r="BX7" s="8">
        <f>Q31*AF!N26*ACT2FLO!O73/1000</f>
        <v>0.14000757177599998</v>
      </c>
      <c r="BY7" s="8">
        <f>R31*AF!O26*ACT2FLO!P73/1000</f>
        <v>0.72348148919999999</v>
      </c>
      <c r="BZ7" s="8">
        <f>S31*AF!P26*ACT2FLO!Q73/1000</f>
        <v>0.17663607878399998</v>
      </c>
      <c r="CA7" s="8">
        <f>T31*AF!Q26*ACT2FLO!R73/1000</f>
        <v>0.17715128371199998</v>
      </c>
      <c r="CB7" s="8">
        <f>U31*AF!R26*ACT2FLO!S73/1000</f>
        <v>1.2023005596480001</v>
      </c>
      <c r="CC7" s="8">
        <f>V31*AF!S26*ACT2FLO!T73/1000</f>
        <v>0.22700679436799998</v>
      </c>
      <c r="CD7" s="8">
        <f>W31*AF!T26*ACT2FLO!U73/1000</f>
        <v>0.46909359645599991</v>
      </c>
      <c r="CE7" s="8">
        <f>X31*AF!U26*ACT2FLO!V73/1000</f>
        <v>0.43790974919999998</v>
      </c>
      <c r="CF7" s="8">
        <f>Y31*AF!V26*ACT2FLO!W73/1000</f>
        <v>0.164397669744</v>
      </c>
      <c r="CG7" s="8">
        <f>Z31*AF!W26*ACT2FLO!X73/1000</f>
        <v>0.40004812785599997</v>
      </c>
      <c r="CH7" s="8">
        <f>AA31*AF!X26*ACT2FLO!Y73/1000</f>
        <v>6.500295360000001E-2</v>
      </c>
      <c r="CI7" s="8">
        <f>AB31*AF!Y26*ACT2FLO!Z73/1000</f>
        <v>0.19419185447999995</v>
      </c>
      <c r="CJ7" s="8">
        <f>AC31*AF!Z26*ACT2FLO!AA73/1000</f>
        <v>0.14537068675200002</v>
      </c>
      <c r="CK7" s="8">
        <f>AD31*AF!AA26*ACT2FLO!AB73/1000</f>
        <v>9.9499937279999992E-2</v>
      </c>
      <c r="CL7" s="8">
        <f>AE31*AF!AB26*ACT2FLO!AC73/1000</f>
        <v>0.27589940831999998</v>
      </c>
      <c r="CM7" s="8">
        <f>AF31*AF!AC26*ACT2FLO!AD73/1000</f>
        <v>0.312390432</v>
      </c>
      <c r="CN7" s="8">
        <f>AG31*AF!AD26*ACT2FLO!AE73/1000</f>
        <v>0.54207259545599995</v>
      </c>
    </row>
    <row r="8" spans="3:92">
      <c r="C8" t="str">
        <f>Processes!D11</f>
        <v>T-CAR-ICE_GSL00</v>
      </c>
      <c r="D8" t="s">
        <v>1089</v>
      </c>
      <c r="E8" t="str">
        <f>Commodities!C8&amp;","&amp;Commodities!C10</f>
        <v>TRAGSL,TRAETH</v>
      </c>
      <c r="F8" t="str">
        <f>Commodities!C25&amp;","&amp;Commodities!C26&amp;","&amp;Commodities!C27</f>
        <v>TRAPS,TRAPM,TRAPL</v>
      </c>
      <c r="G8" s="9">
        <f>SUM(H8:AG8)</f>
        <v>946.86</v>
      </c>
      <c r="H8" s="8">
        <f t="shared" ref="H8:H16" si="4">F186/1000</f>
        <v>10.795999999999999</v>
      </c>
      <c r="I8" s="8">
        <f t="shared" ref="I8:I16" si="5">G186/1000</f>
        <v>299.40800000000002</v>
      </c>
      <c r="J8" s="8">
        <f t="shared" ref="J8:J16" si="6">H186/1000</f>
        <v>44.521000000000001</v>
      </c>
      <c r="K8" s="8">
        <f t="shared" ref="K8:K16" si="7">I186/1000</f>
        <v>17.346</v>
      </c>
      <c r="L8" s="8">
        <f t="shared" ref="L8:L16" si="8">J186/1000</f>
        <v>12.391</v>
      </c>
      <c r="M8" s="8">
        <f t="shared" ref="M8:M16" si="9">K186/1000</f>
        <v>5.8040000000000003</v>
      </c>
      <c r="N8" s="8">
        <f t="shared" ref="N8:N16" si="10">L186/1000</f>
        <v>20.722000000000001</v>
      </c>
      <c r="O8" s="8">
        <f t="shared" ref="O8:O16" si="11">M186/1000</f>
        <v>34.216000000000001</v>
      </c>
      <c r="P8" s="8">
        <f t="shared" ref="P8:P16" si="12">N186/1000</f>
        <v>12.252000000000001</v>
      </c>
      <c r="Q8" s="8">
        <f t="shared" ref="Q8:Q16" si="13">O186/1000</f>
        <v>14.417</v>
      </c>
      <c r="R8" s="8">
        <f t="shared" ref="R8:R16" si="14">P186/1000</f>
        <v>29.236000000000001</v>
      </c>
      <c r="S8" s="8">
        <f t="shared" ref="S8:S16" si="15">Q186/1000</f>
        <v>32.847000000000001</v>
      </c>
      <c r="T8" s="8">
        <f t="shared" ref="T8:T16" si="16">R186/1000</f>
        <v>24.056999999999999</v>
      </c>
      <c r="U8" s="8">
        <f t="shared" ref="U8:U16" si="17">S186/1000</f>
        <v>121.22799999999999</v>
      </c>
      <c r="V8" s="8">
        <f t="shared" ref="V8:V16" si="18">T186/1000</f>
        <v>31.727</v>
      </c>
      <c r="W8" s="8">
        <f t="shared" ref="W8:W16" si="19">U186/1000</f>
        <v>40.146000000000001</v>
      </c>
      <c r="X8" s="8">
        <f t="shared" ref="X8:X16" si="20">V186/1000</f>
        <v>30.853999999999999</v>
      </c>
      <c r="Y8" s="8">
        <f t="shared" ref="Y8:Y16" si="21">W186/1000</f>
        <v>27.158999999999999</v>
      </c>
      <c r="Z8" s="8">
        <f t="shared" ref="Z8:Z16" si="22">X186/1000</f>
        <v>45.82</v>
      </c>
      <c r="AA8" s="8">
        <f t="shared" ref="AA8:AA16" si="23">Y186/1000</f>
        <v>4.9610000000000003</v>
      </c>
      <c r="AB8" s="8">
        <f t="shared" ref="AB8:AB16" si="24">Z186/1000</f>
        <v>22.404</v>
      </c>
      <c r="AC8" s="8">
        <f t="shared" ref="AC8:AC16" si="25">AA186/1000</f>
        <v>11.971</v>
      </c>
      <c r="AD8" s="8">
        <f t="shared" ref="AD8:AD16" si="26">AB186/1000</f>
        <v>11.760999999999999</v>
      </c>
      <c r="AE8" s="8">
        <f t="shared" ref="AE8:AE16" si="27">AC186/1000</f>
        <v>10.568</v>
      </c>
      <c r="AF8" s="8">
        <f t="shared" ref="AF8:AF16" si="28">AD186/1000</f>
        <v>22.398</v>
      </c>
      <c r="AG8" s="8">
        <f t="shared" ref="AG8:AG16" si="29">AE186/1000</f>
        <v>7.85</v>
      </c>
      <c r="AI8" s="52" t="str">
        <f t="shared" si="3"/>
        <v>T-CAR-ICE_GSL00</v>
      </c>
      <c r="AJ8" s="8">
        <f>G8*AF!D7*ACT2FLO!E53/1000</f>
        <v>18.106909533018577</v>
      </c>
      <c r="AK8" s="8">
        <f>H8*AF!E7*ACT2FLO!F53/1000</f>
        <v>0.2180668061497526</v>
      </c>
      <c r="AL8" s="8">
        <f>I8*AF!F7*ACT2FLO!G53/1000</f>
        <v>4.9233031702123737</v>
      </c>
      <c r="AM8" s="8">
        <f>J8*AF!G7*ACT2FLO!H53/1000</f>
        <v>0.89867525711270668</v>
      </c>
      <c r="AN8" s="8">
        <f>K8*AF!H7*ACT2FLO!I53/1000</f>
        <v>0.35621826432787701</v>
      </c>
      <c r="AO8" s="8">
        <f>L8*AF!I7*ACT2FLO!J53/1000</f>
        <v>0.26035967063828369</v>
      </c>
      <c r="AP8" s="8">
        <f>M8*AF!J7*ACT2FLO!K53/1000</f>
        <v>0.12142540026648706</v>
      </c>
      <c r="AQ8" s="8">
        <f>N8*AF!K7*ACT2FLO!L53/1000</f>
        <v>0.40758491177739253</v>
      </c>
      <c r="AR8" s="8">
        <f>O8*AF!L7*ACT2FLO!M53/1000</f>
        <v>0.71169733840297489</v>
      </c>
      <c r="AS8" s="8">
        <f>P8*AF!M7*ACT2FLO!N53/1000</f>
        <v>0.25829816876126876</v>
      </c>
      <c r="AT8" s="8">
        <f>Q8*AF!N7*ACT2FLO!O53/1000</f>
        <v>0.2991226507134559</v>
      </c>
      <c r="AU8" s="8">
        <f>R8*AF!O7*ACT2FLO!P53/1000</f>
        <v>0.60802543695906919</v>
      </c>
      <c r="AV8" s="8">
        <f>S8*AF!P7*ACT2FLO!Q53/1000</f>
        <v>0.65724766249917688</v>
      </c>
      <c r="AW8" s="8">
        <f>T8*AF!Q7*ACT2FLO!R53/1000</f>
        <v>0.50957748114378698</v>
      </c>
      <c r="AX8" s="8">
        <f>U8*AF!R7*ACT2FLO!S53/1000</f>
        <v>2.3638367240963061</v>
      </c>
      <c r="AY8" s="8">
        <f>V8*AF!S7*ACT2FLO!T53/1000</f>
        <v>0.65770096693205482</v>
      </c>
      <c r="AZ8" s="8">
        <f>W8*AF!T7*ACT2FLO!U53/1000</f>
        <v>0.80659043502401739</v>
      </c>
      <c r="BA8" s="8">
        <f>X8*AF!U7*ACT2FLO!V53/1000</f>
        <v>0.65539351143153579</v>
      </c>
      <c r="BB8" s="8">
        <f>Y8*AF!V7*ACT2FLO!W53/1000</f>
        <v>0.5322909619003956</v>
      </c>
      <c r="BC8" s="8">
        <f>Z8*AF!W7*ACT2FLO!X53/1000</f>
        <v>0.92681031385224144</v>
      </c>
      <c r="BD8" s="8">
        <f>AA8*AF!X7*ACT2FLO!Y53/1000</f>
        <v>0.10794145802976565</v>
      </c>
      <c r="BE8" s="8">
        <f>AB8*AF!Y7*ACT2FLO!Z53/1000</f>
        <v>0.46754381486504826</v>
      </c>
      <c r="BF8" s="8">
        <f>AC8*AF!Z7*ACT2FLO!AA53/1000</f>
        <v>0.27464659706446604</v>
      </c>
      <c r="BG8" s="8">
        <f>AD8*AF!AA7*ACT2FLO!AB53/1000</f>
        <v>0.23557582545621453</v>
      </c>
      <c r="BH8" s="8">
        <f>AE8*AF!AB7*ACT2FLO!AC53/1000</f>
        <v>0.22418342078047424</v>
      </c>
      <c r="BI8" s="8">
        <f>AF8*AF!AC7*ACT2FLO!AD53/1000</f>
        <v>0.46374261412430856</v>
      </c>
      <c r="BJ8" s="8">
        <f>AG8*AF!AD7*ACT2FLO!AE53/1000</f>
        <v>0.1614070747496574</v>
      </c>
      <c r="BM8" s="79" t="str">
        <f>C32</f>
        <v>T-GTR-ICE_DST00</v>
      </c>
      <c r="BN8" s="321">
        <f>G32*AF!D27*ACT2FLO!E74/1000</f>
        <v>9.0838999999999989E-2</v>
      </c>
      <c r="BO8" s="321">
        <f>H32*AF!E27*ACT2FLO!F74/1000</f>
        <v>0</v>
      </c>
      <c r="BP8" s="321">
        <f>I32*AF!F27*ACT2FLO!G74/1000</f>
        <v>9.0838999999999989E-2</v>
      </c>
      <c r="BQ8" s="321">
        <f>J32*AF!G27*ACT2FLO!H74/1000</f>
        <v>0</v>
      </c>
      <c r="BR8" s="321">
        <f>K32*AF!H27*ACT2FLO!I74/1000</f>
        <v>0</v>
      </c>
      <c r="BS8" s="321">
        <f>L32*AF!I27*ACT2FLO!J74/1000</f>
        <v>0</v>
      </c>
      <c r="BT8" s="321">
        <f>M32*AF!J27*ACT2FLO!K74/1000</f>
        <v>0</v>
      </c>
      <c r="BU8" s="321">
        <f>N32*AF!K27*ACT2FLO!L74/1000</f>
        <v>0</v>
      </c>
      <c r="BV8" s="321">
        <f>O32*AF!L27*ACT2FLO!M74/1000</f>
        <v>9.0838999999999989E-2</v>
      </c>
      <c r="BW8" s="321">
        <f>P32*AF!M27*ACT2FLO!N74/1000</f>
        <v>0</v>
      </c>
      <c r="BX8" s="321">
        <f>Q32*AF!N27*ACT2FLO!O74/1000</f>
        <v>0</v>
      </c>
      <c r="BY8" s="321">
        <f>R32*AF!O27*ACT2FLO!P74/1000</f>
        <v>0</v>
      </c>
      <c r="BZ8" s="321">
        <f>S32*AF!P27*ACT2FLO!Q74/1000</f>
        <v>0</v>
      </c>
      <c r="CA8" s="321">
        <f>T32*AF!Q27*ACT2FLO!R74/1000</f>
        <v>0</v>
      </c>
      <c r="CB8" s="321">
        <f>U32*AF!R27*ACT2FLO!S74/1000</f>
        <v>0</v>
      </c>
      <c r="CC8" s="321">
        <f>V32*AF!S27*ACT2FLO!T74/1000</f>
        <v>0</v>
      </c>
      <c r="CD8" s="321">
        <f>W32*AF!T27*ACT2FLO!U74/1000</f>
        <v>0</v>
      </c>
      <c r="CE8" s="321">
        <f>X32*AF!U27*ACT2FLO!V74/1000</f>
        <v>0</v>
      </c>
      <c r="CF8" s="321">
        <f>Y32*AF!V27*ACT2FLO!W74/1000</f>
        <v>9.0838999999999989E-2</v>
      </c>
      <c r="CG8" s="321">
        <f>Z32*AF!W27*ACT2FLO!X74/1000</f>
        <v>0</v>
      </c>
      <c r="CH8" s="321">
        <f>AA32*AF!X27*ACT2FLO!Y74/1000</f>
        <v>0</v>
      </c>
      <c r="CI8" s="321">
        <f>AB32*AF!Y27*ACT2FLO!Z74/1000</f>
        <v>9.0838999999999989E-2</v>
      </c>
      <c r="CJ8" s="321">
        <f>AC32*AF!Z27*ACT2FLO!AA74/1000</f>
        <v>0</v>
      </c>
      <c r="CK8" s="321">
        <f>AD32*AF!AA27*ACT2FLO!AB74/1000</f>
        <v>0</v>
      </c>
      <c r="CL8" s="321">
        <f>AE32*AF!AB27*ACT2FLO!AC74/1000</f>
        <v>0</v>
      </c>
      <c r="CM8" s="321">
        <f>AF32*AF!AC27*ACT2FLO!AD74/1000</f>
        <v>0</v>
      </c>
      <c r="CN8" s="321">
        <f>AG32*AF!AD27*ACT2FLO!AE74/1000</f>
        <v>0</v>
      </c>
    </row>
    <row r="9" spans="3:92">
      <c r="C9" t="str">
        <f>Processes!D12</f>
        <v>T-CAR-ICE_DST00</v>
      </c>
      <c r="D9" t="s">
        <v>1089</v>
      </c>
      <c r="E9" t="str">
        <f>Commodities!C9&amp;","&amp;Commodities!C11</f>
        <v>TRADST,TRABDL</v>
      </c>
      <c r="F9" t="str">
        <f>Commodities!C25&amp;","&amp;Commodities!C26&amp;","&amp;Commodities!C27</f>
        <v>TRAPS,TRAPM,TRAPL</v>
      </c>
      <c r="G9" s="9">
        <f t="shared" ref="G9:G20" si="30">SUM(H9:AG9)</f>
        <v>1129.4039999999998</v>
      </c>
      <c r="H9" s="8">
        <f t="shared" si="4"/>
        <v>17.385000000000002</v>
      </c>
      <c r="I9" s="8">
        <f t="shared" si="5"/>
        <v>225.70599999999999</v>
      </c>
      <c r="J9" s="8">
        <f t="shared" si="6"/>
        <v>56.834000000000003</v>
      </c>
      <c r="K9" s="8">
        <f t="shared" si="7"/>
        <v>26.673999999999999</v>
      </c>
      <c r="L9" s="8">
        <f t="shared" si="8"/>
        <v>22.058</v>
      </c>
      <c r="M9" s="8">
        <f t="shared" si="9"/>
        <v>11.27</v>
      </c>
      <c r="N9" s="8">
        <f t="shared" si="10"/>
        <v>29.946999999999999</v>
      </c>
      <c r="O9" s="8">
        <f t="shared" si="11"/>
        <v>52.423999999999999</v>
      </c>
      <c r="P9" s="8">
        <f t="shared" si="12"/>
        <v>21.785</v>
      </c>
      <c r="Q9" s="8">
        <f t="shared" si="13"/>
        <v>26.113</v>
      </c>
      <c r="R9" s="8">
        <f t="shared" si="14"/>
        <v>44.970999999999997</v>
      </c>
      <c r="S9" s="8">
        <f t="shared" si="15"/>
        <v>34.195</v>
      </c>
      <c r="T9" s="8">
        <f t="shared" si="16"/>
        <v>32.584000000000003</v>
      </c>
      <c r="U9" s="8">
        <f t="shared" si="17"/>
        <v>132.29499999999999</v>
      </c>
      <c r="V9" s="8">
        <f t="shared" si="18"/>
        <v>39.247</v>
      </c>
      <c r="W9" s="8">
        <f t="shared" si="19"/>
        <v>47.853000000000002</v>
      </c>
      <c r="X9" s="8">
        <f t="shared" si="20"/>
        <v>47.713999999999999</v>
      </c>
      <c r="Y9" s="8">
        <f t="shared" si="21"/>
        <v>29.673999999999999</v>
      </c>
      <c r="Z9" s="8">
        <f t="shared" si="22"/>
        <v>66.337000000000003</v>
      </c>
      <c r="AA9" s="8">
        <f t="shared" si="23"/>
        <v>9.4540000000000006</v>
      </c>
      <c r="AB9" s="8">
        <f t="shared" si="24"/>
        <v>37.994</v>
      </c>
      <c r="AC9" s="8">
        <f t="shared" si="25"/>
        <v>20.248000000000001</v>
      </c>
      <c r="AD9" s="8">
        <f t="shared" si="26"/>
        <v>16.992999999999999</v>
      </c>
      <c r="AE9" s="8">
        <f t="shared" si="27"/>
        <v>20.89</v>
      </c>
      <c r="AF9" s="8">
        <f t="shared" si="28"/>
        <v>41.125</v>
      </c>
      <c r="AG9" s="8">
        <f t="shared" si="29"/>
        <v>17.634</v>
      </c>
      <c r="AI9" s="52" t="str">
        <f t="shared" si="3"/>
        <v>T-CAR-ICE_DST00</v>
      </c>
      <c r="AJ9" s="8">
        <f>G9*AF!D8*ACT2FLO!E54/1000</f>
        <v>34.741372332081298</v>
      </c>
      <c r="AK9" s="8">
        <f>H9*AF!E8*ACT2FLO!F54/1000</f>
        <v>0.56367215826992334</v>
      </c>
      <c r="AL9" s="8">
        <f>I9*AF!F8*ACT2FLO!G54/1000</f>
        <v>6.0973032808917331</v>
      </c>
      <c r="AM9" s="8">
        <f>J9*AF!G8*ACT2FLO!H54/1000</f>
        <v>1.7730201152173173</v>
      </c>
      <c r="AN9" s="8">
        <f>K9*AF!H8*ACT2FLO!I54/1000</f>
        <v>0.86560465907990058</v>
      </c>
      <c r="AO9" s="8">
        <f>L9*AF!I8*ACT2FLO!J54/1000</f>
        <v>0.73387771001437219</v>
      </c>
      <c r="AP9" s="8">
        <f>M9*AF!J8*ACT2FLO!K54/1000</f>
        <v>0.3820865601811777</v>
      </c>
      <c r="AQ9" s="8">
        <f>N9*AF!K8*ACT2FLO!L54/1000</f>
        <v>0.92101499942692677</v>
      </c>
      <c r="AR9" s="8">
        <f>O9*AF!L8*ACT2FLO!M54/1000</f>
        <v>1.6579702443091546</v>
      </c>
      <c r="AS9" s="8">
        <f>P9*AF!M8*ACT2FLO!N54/1000</f>
        <v>0.71686405345360538</v>
      </c>
      <c r="AT9" s="8">
        <f>Q9*AF!N8*ACT2FLO!O54/1000</f>
        <v>0.85850336309646769</v>
      </c>
      <c r="AU9" s="8">
        <f>R9*AF!O8*ACT2FLO!P54/1000</f>
        <v>1.436417932136778</v>
      </c>
      <c r="AV9" s="8">
        <f>S9*AF!P8*ACT2FLO!Q54/1000</f>
        <v>1.0407944140734382</v>
      </c>
      <c r="AW9" s="8">
        <f>T9*AF!Q8*ACT2FLO!R54/1000</f>
        <v>1.0705664058910511</v>
      </c>
      <c r="AX9" s="8">
        <f>U9*AF!R8*ACT2FLO!S54/1000</f>
        <v>3.9615302847675804</v>
      </c>
      <c r="AY9" s="8">
        <f>V9*AF!S8*ACT2FLO!T54/1000</f>
        <v>1.228876703300243</v>
      </c>
      <c r="AZ9" s="8">
        <f>W9*AF!T8*ACT2FLO!U54/1000</f>
        <v>1.5260443384910798</v>
      </c>
      <c r="BA9" s="8">
        <f>X9*AF!U8*ACT2FLO!V54/1000</f>
        <v>1.5853264979762327</v>
      </c>
      <c r="BB9" s="8">
        <f>Y9*AF!V8*ACT2FLO!W54/1000</f>
        <v>0.9197913097643502</v>
      </c>
      <c r="BC9" s="8">
        <f>Z9*AF!W8*ACT2FLO!X54/1000</f>
        <v>2.116889456726248</v>
      </c>
      <c r="BD9" s="8">
        <f>AA9*AF!X8*ACT2FLO!Y54/1000</f>
        <v>0.31427002615290101</v>
      </c>
      <c r="BE9" s="8">
        <f>AB9*AF!Y8*ACT2FLO!Z54/1000</f>
        <v>1.2155497579760115</v>
      </c>
      <c r="BF9" s="8">
        <f>AC9*AF!Z8*ACT2FLO!AA54/1000</f>
        <v>0.70441238326113909</v>
      </c>
      <c r="BG9" s="8">
        <f>AD9*AF!AA8*ACT2FLO!AB54/1000</f>
        <v>0.54064340354244822</v>
      </c>
      <c r="BH9" s="8">
        <f>AE9*AF!AB8*ACT2FLO!AC54/1000</f>
        <v>0.6821766580222447</v>
      </c>
      <c r="BI9" s="8">
        <f>AF9*AF!AC8*ACT2FLO!AD54/1000</f>
        <v>1.2609269131605734</v>
      </c>
      <c r="BJ9" s="8">
        <f>AG9*AF!AD8*ACT2FLO!AE54/1000</f>
        <v>0.56787787168272141</v>
      </c>
    </row>
    <row r="10" spans="3:92">
      <c r="C10" t="str">
        <f>Processes!D13</f>
        <v>T-CAR-ICE_DF00</v>
      </c>
      <c r="D10" t="s">
        <v>1089</v>
      </c>
      <c r="E10" t="str">
        <f>Commodities!C8&amp;","&amp;Commodities!C13</f>
        <v>TRAGSL,TRACNG</v>
      </c>
      <c r="F10" t="str">
        <f>Commodities!C25&amp;","&amp;Commodities!C26&amp;","&amp;Commodities!C27</f>
        <v>TRAPS,TRAPM,TRAPL</v>
      </c>
      <c r="G10" s="9">
        <f t="shared" si="30"/>
        <v>6.7000000000000018E-2</v>
      </c>
      <c r="H10" s="8">
        <f t="shared" si="4"/>
        <v>0</v>
      </c>
      <c r="I10" s="8">
        <f t="shared" si="5"/>
        <v>2.8000000000000001E-2</v>
      </c>
      <c r="J10" s="8">
        <f t="shared" si="6"/>
        <v>1E-3</v>
      </c>
      <c r="K10" s="8">
        <f t="shared" si="7"/>
        <v>1E-3</v>
      </c>
      <c r="L10" s="8">
        <f t="shared" si="8"/>
        <v>0</v>
      </c>
      <c r="M10" s="8">
        <f t="shared" si="9"/>
        <v>2E-3</v>
      </c>
      <c r="N10" s="8">
        <f t="shared" si="10"/>
        <v>1E-3</v>
      </c>
      <c r="O10" s="8">
        <f t="shared" si="11"/>
        <v>2E-3</v>
      </c>
      <c r="P10" s="8">
        <f t="shared" si="12"/>
        <v>3.0000000000000001E-3</v>
      </c>
      <c r="Q10" s="8">
        <f t="shared" si="13"/>
        <v>1E-3</v>
      </c>
      <c r="R10" s="8">
        <f t="shared" si="14"/>
        <v>3.0000000000000001E-3</v>
      </c>
      <c r="S10" s="8">
        <f t="shared" si="15"/>
        <v>5.0000000000000001E-3</v>
      </c>
      <c r="T10" s="8">
        <f t="shared" si="16"/>
        <v>1E-3</v>
      </c>
      <c r="U10" s="8">
        <f t="shared" si="17"/>
        <v>5.0000000000000001E-3</v>
      </c>
      <c r="V10" s="8">
        <f t="shared" si="18"/>
        <v>3.0000000000000001E-3</v>
      </c>
      <c r="W10" s="8">
        <f t="shared" si="19"/>
        <v>2E-3</v>
      </c>
      <c r="X10" s="8">
        <f t="shared" si="20"/>
        <v>0</v>
      </c>
      <c r="Y10" s="8">
        <f t="shared" si="21"/>
        <v>0</v>
      </c>
      <c r="Z10" s="8">
        <f t="shared" si="22"/>
        <v>7.0000000000000001E-3</v>
      </c>
      <c r="AA10" s="8">
        <f t="shared" si="23"/>
        <v>0</v>
      </c>
      <c r="AB10" s="8">
        <f t="shared" si="24"/>
        <v>0</v>
      </c>
      <c r="AC10" s="8">
        <f t="shared" si="25"/>
        <v>0</v>
      </c>
      <c r="AD10" s="8">
        <f t="shared" si="26"/>
        <v>0</v>
      </c>
      <c r="AE10" s="8">
        <f t="shared" si="27"/>
        <v>0</v>
      </c>
      <c r="AF10" s="8">
        <f t="shared" si="28"/>
        <v>2E-3</v>
      </c>
      <c r="AG10" s="8">
        <f t="shared" si="29"/>
        <v>0</v>
      </c>
      <c r="AI10" s="52" t="str">
        <f t="shared" si="3"/>
        <v>T-CAR-ICE_DF00</v>
      </c>
      <c r="AJ10" s="8">
        <f>G10*AF!D9*ACT2FLO!E55/1000</f>
        <v>1.3439263951670231E-3</v>
      </c>
      <c r="AK10" s="8">
        <f>H10*AF!E9*ACT2FLO!F55/1000</f>
        <v>0</v>
      </c>
      <c r="AL10" s="8">
        <f>I10*AF!F9*ACT2FLO!G55/1000</f>
        <v>5.3670041694669395E-4</v>
      </c>
      <c r="AM10" s="8">
        <f>J10*AF!G9*ACT2FLO!H55/1000</f>
        <v>2.0758356317148401E-5</v>
      </c>
      <c r="AN10" s="8">
        <f>K10*AF!H9*ACT2FLO!I55/1000</f>
        <v>2.1422301444808215E-5</v>
      </c>
      <c r="AO10" s="8">
        <f>L10*AF!I9*ACT2FLO!J55/1000</f>
        <v>0</v>
      </c>
      <c r="AP10" s="8">
        <f>M10*AF!J9*ACT2FLO!K55/1000</f>
        <v>4.1788258731452048E-5</v>
      </c>
      <c r="AQ10" s="8">
        <f>N10*AF!K9*ACT2FLO!L55/1000</f>
        <v>2.0013842567255704E-5</v>
      </c>
      <c r="AR10" s="8">
        <f>O10*AF!L9*ACT2FLO!M55/1000</f>
        <v>4.2083677012972596E-5</v>
      </c>
      <c r="AS10" s="8">
        <f>P10*AF!M9*ACT2FLO!N55/1000</f>
        <v>6.4915929346856155E-5</v>
      </c>
      <c r="AT10" s="8">
        <f>Q10*AF!N9*ACT2FLO!O55/1000</f>
        <v>2.0901589423340182E-5</v>
      </c>
      <c r="AU10" s="8">
        <f>R10*AF!O9*ACT2FLO!P55/1000</f>
        <v>6.3255320521945197E-5</v>
      </c>
      <c r="AV10" s="8">
        <f>S10*AF!P9*ACT2FLO!Q55/1000</f>
        <v>1.0380670170097029E-4</v>
      </c>
      <c r="AW10" s="8">
        <f>T10*AF!Q9*ACT2FLO!R55/1000</f>
        <v>2.1004538218415522E-5</v>
      </c>
      <c r="AX10" s="8">
        <f>U10*AF!R9*ACT2FLO!S55/1000</f>
        <v>9.9629069437043359E-5</v>
      </c>
      <c r="AY10" s="8">
        <f>V10*AF!S9*ACT2FLO!T55/1000</f>
        <v>6.1679756353835605E-5</v>
      </c>
      <c r="AZ10" s="8">
        <f>W10*AF!T9*ACT2FLO!U55/1000</f>
        <v>4.1543568841707752E-5</v>
      </c>
      <c r="BA10" s="8">
        <f>X10*AF!U9*ACT2FLO!V55/1000</f>
        <v>0</v>
      </c>
      <c r="BB10" s="8">
        <f>Y10*AF!V9*ACT2FLO!W55/1000</f>
        <v>0</v>
      </c>
      <c r="BC10" s="8">
        <f>Z10*AF!W9*ACT2FLO!X55/1000</f>
        <v>1.454964876719155E-4</v>
      </c>
      <c r="BD10" s="8">
        <f>AA10*AF!X9*ACT2FLO!Y55/1000</f>
        <v>0</v>
      </c>
      <c r="BE10" s="8">
        <f>AB10*AF!Y9*ACT2FLO!Z55/1000</f>
        <v>0</v>
      </c>
      <c r="BF10" s="8">
        <f>AC10*AF!Z9*ACT2FLO!AA55/1000</f>
        <v>0</v>
      </c>
      <c r="BG10" s="8">
        <f>AD10*AF!AA9*ACT2FLO!AB55/1000</f>
        <v>0</v>
      </c>
      <c r="BH10" s="8">
        <f>AE10*AF!AB9*ACT2FLO!AC55/1000</f>
        <v>0</v>
      </c>
      <c r="BI10" s="8">
        <f>AF10*AF!AC9*ACT2FLO!AD55/1000</f>
        <v>4.2683465645150677E-5</v>
      </c>
      <c r="BJ10" s="8">
        <f>AG10*AF!AD9*ACT2FLO!AE55/1000</f>
        <v>0</v>
      </c>
    </row>
    <row r="11" spans="3:92" ht="15.5">
      <c r="C11" t="str">
        <f>Processes!D14</f>
        <v>T-CAR-ICE_E8500</v>
      </c>
      <c r="D11" t="s">
        <v>1089</v>
      </c>
      <c r="E11" t="str">
        <f>Commodities!C8&amp;","&amp;Commodities!C10</f>
        <v>TRAGSL,TRAETH</v>
      </c>
      <c r="F11" t="str">
        <f>Commodities!C25&amp;","&amp;Commodities!C26&amp;","&amp;Commodities!C27</f>
        <v>TRAPS,TRAPM,TRAPL</v>
      </c>
      <c r="G11" s="9">
        <f t="shared" si="30"/>
        <v>8.5289999999999999</v>
      </c>
      <c r="H11" s="8">
        <f t="shared" si="4"/>
        <v>9.8000000000000004E-2</v>
      </c>
      <c r="I11" s="8">
        <f t="shared" si="5"/>
        <v>0.26500000000000001</v>
      </c>
      <c r="J11" s="8">
        <f t="shared" si="6"/>
        <v>0.28100000000000003</v>
      </c>
      <c r="K11" s="8">
        <f t="shared" si="7"/>
        <v>0.57399999999999995</v>
      </c>
      <c r="L11" s="8">
        <f t="shared" si="8"/>
        <v>0.124</v>
      </c>
      <c r="M11" s="8">
        <f t="shared" si="9"/>
        <v>0.316</v>
      </c>
      <c r="N11" s="8">
        <f t="shared" si="10"/>
        <v>4.1000000000000002E-2</v>
      </c>
      <c r="O11" s="8">
        <f t="shared" si="11"/>
        <v>8.3000000000000004E-2</v>
      </c>
      <c r="P11" s="8">
        <f t="shared" si="12"/>
        <v>5.2999999999999999E-2</v>
      </c>
      <c r="Q11" s="8">
        <f t="shared" si="13"/>
        <v>0.26</v>
      </c>
      <c r="R11" s="8">
        <f t="shared" si="14"/>
        <v>0.17699999999999999</v>
      </c>
      <c r="S11" s="8">
        <f t="shared" si="15"/>
        <v>0.315</v>
      </c>
      <c r="T11" s="8">
        <f t="shared" si="16"/>
        <v>0.20499999999999999</v>
      </c>
      <c r="U11" s="8">
        <f t="shared" si="17"/>
        <v>1.1619999999999999</v>
      </c>
      <c r="V11" s="8">
        <f t="shared" si="18"/>
        <v>0.35</v>
      </c>
      <c r="W11" s="8">
        <f t="shared" si="19"/>
        <v>3.3000000000000002E-2</v>
      </c>
      <c r="X11" s="8">
        <f t="shared" si="20"/>
        <v>7.4999999999999997E-2</v>
      </c>
      <c r="Y11" s="8">
        <f t="shared" si="21"/>
        <v>0.22900000000000001</v>
      </c>
      <c r="Z11" s="8">
        <f t="shared" si="22"/>
        <v>2.6259999999999999</v>
      </c>
      <c r="AA11" s="8">
        <f t="shared" si="23"/>
        <v>0.107</v>
      </c>
      <c r="AB11" s="8">
        <f t="shared" si="24"/>
        <v>0.247</v>
      </c>
      <c r="AC11" s="8">
        <f t="shared" si="25"/>
        <v>8.5000000000000006E-2</v>
      </c>
      <c r="AD11" s="8">
        <f t="shared" si="26"/>
        <v>7.4999999999999997E-2</v>
      </c>
      <c r="AE11" s="8">
        <f t="shared" si="27"/>
        <v>9.0999999999999998E-2</v>
      </c>
      <c r="AF11" s="8">
        <f t="shared" si="28"/>
        <v>0.185</v>
      </c>
      <c r="AG11" s="8">
        <f t="shared" si="29"/>
        <v>0.47199999999999998</v>
      </c>
      <c r="AI11" s="52" t="str">
        <f t="shared" si="3"/>
        <v>T-CAR-ICE_E8500</v>
      </c>
      <c r="AJ11" s="8">
        <f>G11*AF!D10*ACT2FLO!E56/1000</f>
        <v>0.17107982424447071</v>
      </c>
      <c r="AK11" s="8">
        <f>H11*AF!E10*ACT2FLO!F56/1000</f>
        <v>2.0603455680848078E-3</v>
      </c>
      <c r="AL11" s="8">
        <f>I11*AF!F10*ACT2FLO!G56/1000</f>
        <v>5.0794860889597816E-3</v>
      </c>
      <c r="AM11" s="8">
        <f>J11*AF!G10*ACT2FLO!H56/1000</f>
        <v>5.8330981251187002E-3</v>
      </c>
      <c r="AN11" s="8">
        <f>K11*AF!H10*ACT2FLO!I56/1000</f>
        <v>1.2296401029319915E-2</v>
      </c>
      <c r="AO11" s="8">
        <f>L11*AF!I10*ACT2FLO!J56/1000</f>
        <v>2.6985475289296981E-3</v>
      </c>
      <c r="AP11" s="8">
        <f>M11*AF!J10*ACT2FLO!K56/1000</f>
        <v>6.6025448795694244E-3</v>
      </c>
      <c r="AQ11" s="8">
        <f>N11*AF!K10*ACT2FLO!L56/1000</f>
        <v>8.2056754525748382E-4</v>
      </c>
      <c r="AR11" s="8">
        <f>O11*AF!L10*ACT2FLO!M56/1000</f>
        <v>1.746472596038363E-3</v>
      </c>
      <c r="AS11" s="8">
        <f>P11*AF!M10*ACT2FLO!N56/1000</f>
        <v>1.146848085127792E-3</v>
      </c>
      <c r="AT11" s="8">
        <f>Q11*AF!N10*ACT2FLO!O56/1000</f>
        <v>5.4344132500684468E-3</v>
      </c>
      <c r="AU11" s="8">
        <f>R11*AF!O10*ACT2FLO!P56/1000</f>
        <v>3.7320639107947659E-3</v>
      </c>
      <c r="AV11" s="8">
        <f>S11*AF!P10*ACT2FLO!Q56/1000</f>
        <v>6.5398222071611284E-3</v>
      </c>
      <c r="AW11" s="8">
        <f>T11*AF!Q10*ACT2FLO!R56/1000</f>
        <v>4.305930334775181E-3</v>
      </c>
      <c r="AX11" s="8">
        <f>U11*AF!R10*ACT2FLO!S56/1000</f>
        <v>2.3153795737168879E-2</v>
      </c>
      <c r="AY11" s="8">
        <f>V11*AF!S10*ACT2FLO!T56/1000</f>
        <v>7.1959715746141538E-3</v>
      </c>
      <c r="AZ11" s="8">
        <f>W11*AF!T10*ACT2FLO!U56/1000</f>
        <v>6.8546888588817798E-4</v>
      </c>
      <c r="BA11" s="8">
        <f>X11*AF!U10*ACT2FLO!V56/1000</f>
        <v>1.5536315987239721E-3</v>
      </c>
      <c r="BB11" s="8">
        <f>Y11*AF!V10*ACT2FLO!W56/1000</f>
        <v>4.7632303745113761E-3</v>
      </c>
      <c r="BC11" s="8">
        <f>Z11*AF!W10*ACT2FLO!X56/1000</f>
        <v>5.4581968089492866E-2</v>
      </c>
      <c r="BD11" s="8">
        <f>AA11*AF!X10*ACT2FLO!Y56/1000</f>
        <v>2.2578625295117507E-3</v>
      </c>
      <c r="BE11" s="8">
        <f>AB11*AF!Y10*ACT2FLO!Z56/1000</f>
        <v>5.2297644735623721E-3</v>
      </c>
      <c r="BF11" s="8">
        <f>AC11*AF!Z10*ACT2FLO!AA56/1000</f>
        <v>1.795024143002808E-3</v>
      </c>
      <c r="BG11" s="8">
        <f>AD11*AF!AA10*ACT2FLO!AB56/1000</f>
        <v>1.5500507710691778E-3</v>
      </c>
      <c r="BH11" s="8">
        <f>AE11*AF!AB10*ACT2FLO!AC56/1000</f>
        <v>1.9092406090985704E-3</v>
      </c>
      <c r="BI11" s="8">
        <f>AF11*AF!AC10*ACT2FLO!AD56/1000</f>
        <v>3.9482205721764379E-3</v>
      </c>
      <c r="BJ11" s="8">
        <f>AG11*AF!AD10*ACT2FLO!AE56/1000</f>
        <v>9.712028190163341E-3</v>
      </c>
      <c r="BM11" t="s">
        <v>998</v>
      </c>
      <c r="BN11" s="101"/>
      <c r="BO11" s="101"/>
    </row>
    <row r="12" spans="3:92">
      <c r="C12" t="str">
        <f>Processes!D15</f>
        <v>T-CAR-HEV_GSL00</v>
      </c>
      <c r="D12" t="s">
        <v>1089</v>
      </c>
      <c r="E12" t="str">
        <f>Commodities!C8&amp;","&amp;Commodities!C10</f>
        <v>TRAGSL,TRAETH</v>
      </c>
      <c r="F12" t="str">
        <f>Commodities!C25&amp;","&amp;Commodities!C26&amp;","&amp;Commodities!C27</f>
        <v>TRAPS,TRAPM,TRAPL</v>
      </c>
      <c r="G12" s="9">
        <f t="shared" si="30"/>
        <v>29.799999999999997</v>
      </c>
      <c r="H12" s="8">
        <f t="shared" si="4"/>
        <v>0.20499999999999999</v>
      </c>
      <c r="I12" s="8">
        <f t="shared" si="5"/>
        <v>1.109</v>
      </c>
      <c r="J12" s="8">
        <f t="shared" si="6"/>
        <v>0.57199999999999995</v>
      </c>
      <c r="K12" s="8">
        <f t="shared" si="7"/>
        <v>1.4279999999999999</v>
      </c>
      <c r="L12" s="8">
        <f t="shared" si="8"/>
        <v>0.36499999999999999</v>
      </c>
      <c r="M12" s="8">
        <f t="shared" si="9"/>
        <v>0.80500000000000005</v>
      </c>
      <c r="N12" s="8">
        <f t="shared" si="10"/>
        <v>0.159</v>
      </c>
      <c r="O12" s="8">
        <f t="shared" si="11"/>
        <v>0.45700000000000002</v>
      </c>
      <c r="P12" s="8">
        <f t="shared" si="12"/>
        <v>0.161</v>
      </c>
      <c r="Q12" s="8">
        <f t="shared" si="13"/>
        <v>0.41799999999999998</v>
      </c>
      <c r="R12" s="8">
        <f t="shared" si="14"/>
        <v>0.48799999999999999</v>
      </c>
      <c r="S12" s="8">
        <f t="shared" si="15"/>
        <v>0.61599999999999999</v>
      </c>
      <c r="T12" s="8">
        <f t="shared" si="16"/>
        <v>0.49199999999999999</v>
      </c>
      <c r="U12" s="8">
        <f t="shared" si="17"/>
        <v>2.9289999999999998</v>
      </c>
      <c r="V12" s="8">
        <f t="shared" si="18"/>
        <v>1.663</v>
      </c>
      <c r="W12" s="8">
        <f t="shared" si="19"/>
        <v>0.09</v>
      </c>
      <c r="X12" s="8">
        <f t="shared" si="20"/>
        <v>0.27300000000000002</v>
      </c>
      <c r="Y12" s="8">
        <f t="shared" si="21"/>
        <v>0.56499999999999995</v>
      </c>
      <c r="Z12" s="8">
        <f t="shared" si="22"/>
        <v>13.569000000000001</v>
      </c>
      <c r="AA12" s="8">
        <f t="shared" si="23"/>
        <v>0.307</v>
      </c>
      <c r="AB12" s="8">
        <f t="shared" si="24"/>
        <v>0.58299999999999996</v>
      </c>
      <c r="AC12" s="8">
        <f t="shared" si="25"/>
        <v>0.34699999999999998</v>
      </c>
      <c r="AD12" s="8">
        <f t="shared" si="26"/>
        <v>0.26500000000000001</v>
      </c>
      <c r="AE12" s="8">
        <f t="shared" si="27"/>
        <v>0.25600000000000001</v>
      </c>
      <c r="AF12" s="8">
        <f t="shared" si="28"/>
        <v>0.57299999999999995</v>
      </c>
      <c r="AG12" s="8">
        <f t="shared" si="29"/>
        <v>1.105</v>
      </c>
      <c r="AI12" s="52" t="str">
        <f t="shared" si="3"/>
        <v>T-CAR-HEV_GSL00</v>
      </c>
      <c r="AJ12" s="8">
        <f>G12*AF!D11*ACT2FLO!E57/1000</f>
        <v>0.56986872830614188</v>
      </c>
      <c r="AK12" s="8">
        <f>H12*AF!E11*ACT2FLO!F57/1000</f>
        <v>4.1407646591977848E-3</v>
      </c>
      <c r="AL12" s="8">
        <f>I12*AF!F11*ACT2FLO!G57/1000</f>
        <v>1.8235796023371189E-2</v>
      </c>
      <c r="AM12" s="8">
        <f>J12*AF!G11*ACT2FLO!H57/1000</f>
        <v>1.1546062466442087E-2</v>
      </c>
      <c r="AN12" s="8">
        <f>K12*AF!H11*ACT2FLO!I57/1000</f>
        <v>2.9325474545152101E-2</v>
      </c>
      <c r="AO12" s="8">
        <f>L12*AF!I11*ACT2FLO!J57/1000</f>
        <v>7.6693793707508316E-3</v>
      </c>
      <c r="AP12" s="8">
        <f>M12*AF!J11*ACT2FLO!K57/1000</f>
        <v>1.6841393386375272E-2</v>
      </c>
      <c r="AQ12" s="8">
        <f>N12*AF!K11*ACT2FLO!L57/1000</f>
        <v>3.127400876971595E-3</v>
      </c>
      <c r="AR12" s="8">
        <f>O12*AF!L11*ACT2FLO!M57/1000</f>
        <v>9.5056606163829646E-3</v>
      </c>
      <c r="AS12" s="8">
        <f>P12*AF!M11*ACT2FLO!N57/1000</f>
        <v>3.3942217736340412E-3</v>
      </c>
      <c r="AT12" s="8">
        <f>Q12*AF!N11*ACT2FLO!O57/1000</f>
        <v>8.6726273148522263E-3</v>
      </c>
      <c r="AU12" s="8">
        <f>R12*AF!O11*ACT2FLO!P57/1000</f>
        <v>1.01490085249701E-2</v>
      </c>
      <c r="AV12" s="8">
        <f>S12*AF!P11*ACT2FLO!Q57/1000</f>
        <v>1.2325769784135321E-2</v>
      </c>
      <c r="AW12" s="8">
        <f>T12*AF!Q11*ACT2FLO!R57/1000</f>
        <v>1.0421587094099148E-2</v>
      </c>
      <c r="AX12" s="8">
        <f>U12*AF!R11*ACT2FLO!S57/1000</f>
        <v>5.7112859775613561E-2</v>
      </c>
      <c r="AY12" s="8">
        <f>V12*AF!S11*ACT2FLO!T57/1000</f>
        <v>3.4474003467330892E-2</v>
      </c>
      <c r="AZ12" s="8">
        <f>W12*AF!T11*ACT2FLO!U57/1000</f>
        <v>1.8082284449798625E-3</v>
      </c>
      <c r="BA12" s="8">
        <f>X12*AF!U11*ACT2FLO!V57/1000</f>
        <v>5.7990026777989655E-3</v>
      </c>
      <c r="BB12" s="8">
        <f>Y12*AF!V11*ACT2FLO!W57/1000</f>
        <v>1.1073470800608397E-2</v>
      </c>
      <c r="BC12" s="8">
        <f>Z12*AF!W11*ACT2FLO!X57/1000</f>
        <v>0.27446287971761374</v>
      </c>
      <c r="BD12" s="8">
        <f>AA12*AF!X11*ACT2FLO!Y57/1000</f>
        <v>6.6797072394956768E-3</v>
      </c>
      <c r="BE12" s="8">
        <f>AB12*AF!Y11*ACT2FLO!Z57/1000</f>
        <v>1.2166490094015492E-2</v>
      </c>
      <c r="BF12" s="8">
        <f>AC12*AF!Z11*ACT2FLO!AA57/1000</f>
        <v>7.9611034317408503E-3</v>
      </c>
      <c r="BG12" s="8">
        <f>AD12*AF!AA11*ACT2FLO!AB57/1000</f>
        <v>5.308017493911815E-3</v>
      </c>
      <c r="BH12" s="8">
        <f>AE12*AF!AB11*ACT2FLO!AC57/1000</f>
        <v>5.4306354768926379E-3</v>
      </c>
      <c r="BI12" s="8">
        <f>AF12*AF!AC11*ACT2FLO!AD57/1000</f>
        <v>1.1863760956033073E-2</v>
      </c>
      <c r="BJ12" s="8">
        <f>AG12*AF!AD11*ACT2FLO!AE57/1000</f>
        <v>2.2720358929728842E-2</v>
      </c>
      <c r="BM12" s="82" t="str">
        <f>BM4</f>
        <v>Technology</v>
      </c>
      <c r="BN12" s="82" t="str">
        <f t="shared" ref="BN12:CN12" si="31">BN4</f>
        <v>IE</v>
      </c>
      <c r="BO12" s="82" t="str">
        <f t="shared" si="31"/>
        <v>IE-CW</v>
      </c>
      <c r="BP12" s="82" t="str">
        <f t="shared" si="31"/>
        <v>IE-D</v>
      </c>
      <c r="BQ12" s="82" t="str">
        <f t="shared" si="31"/>
        <v>IE-KE</v>
      </c>
      <c r="BR12" s="82" t="str">
        <f t="shared" si="31"/>
        <v>IE-KK</v>
      </c>
      <c r="BS12" s="82" t="str">
        <f t="shared" si="31"/>
        <v>IE-LS</v>
      </c>
      <c r="BT12" s="82" t="str">
        <f t="shared" si="31"/>
        <v>IE-LD</v>
      </c>
      <c r="BU12" s="82" t="str">
        <f t="shared" si="31"/>
        <v>IE-LH</v>
      </c>
      <c r="BV12" s="82" t="str">
        <f t="shared" si="31"/>
        <v>IE-MH</v>
      </c>
      <c r="BW12" s="82" t="str">
        <f t="shared" si="31"/>
        <v>IE-OY</v>
      </c>
      <c r="BX12" s="82" t="str">
        <f t="shared" si="31"/>
        <v>IE-WH</v>
      </c>
      <c r="BY12" s="82" t="str">
        <f t="shared" si="31"/>
        <v>IE-WX</v>
      </c>
      <c r="BZ12" s="82" t="str">
        <f t="shared" si="31"/>
        <v>IE-WW</v>
      </c>
      <c r="CA12" s="82" t="str">
        <f t="shared" si="31"/>
        <v>IE-CE</v>
      </c>
      <c r="CB12" s="82" t="str">
        <f t="shared" si="31"/>
        <v>IE-CO</v>
      </c>
      <c r="CC12" s="82" t="str">
        <f t="shared" si="31"/>
        <v>IE-KY</v>
      </c>
      <c r="CD12" s="82" t="str">
        <f t="shared" si="31"/>
        <v>IE-LK</v>
      </c>
      <c r="CE12" s="82" t="str">
        <f t="shared" si="31"/>
        <v>IE-TA</v>
      </c>
      <c r="CF12" s="82" t="str">
        <f t="shared" si="31"/>
        <v>IE-WD</v>
      </c>
      <c r="CG12" s="82" t="str">
        <f t="shared" si="31"/>
        <v>IE-G</v>
      </c>
      <c r="CH12" s="82" t="str">
        <f t="shared" si="31"/>
        <v>IE-LM</v>
      </c>
      <c r="CI12" s="82" t="str">
        <f t="shared" si="31"/>
        <v>IE-MO</v>
      </c>
      <c r="CJ12" s="82" t="str">
        <f t="shared" si="31"/>
        <v>IE-RN</v>
      </c>
      <c r="CK12" s="82" t="str">
        <f t="shared" si="31"/>
        <v>IE-SO</v>
      </c>
      <c r="CL12" s="82" t="str">
        <f t="shared" si="31"/>
        <v>IE-CN</v>
      </c>
      <c r="CM12" s="82" t="str">
        <f t="shared" si="31"/>
        <v>IE-DL</v>
      </c>
      <c r="CN12" s="82" t="str">
        <f t="shared" si="31"/>
        <v>IE-MN</v>
      </c>
    </row>
    <row r="13" spans="3:92">
      <c r="C13" t="str">
        <f>Processes!D16</f>
        <v>T-CAR-HEV_DST00</v>
      </c>
      <c r="D13" t="s">
        <v>1089</v>
      </c>
      <c r="E13" t="str">
        <f>Commodities!C9&amp;","&amp;Commodities!C11</f>
        <v>TRADST,TRABDL</v>
      </c>
      <c r="F13" t="str">
        <f>Commodities!C25&amp;","&amp;Commodities!C26&amp;","&amp;Commodities!C27</f>
        <v>TRAPS,TRAPM,TRAPL</v>
      </c>
      <c r="G13" s="9">
        <f t="shared" si="30"/>
        <v>0.77300000000000024</v>
      </c>
      <c r="H13" s="8">
        <f t="shared" si="4"/>
        <v>1.4E-2</v>
      </c>
      <c r="I13" s="8">
        <f t="shared" si="5"/>
        <v>3.3000000000000002E-2</v>
      </c>
      <c r="J13" s="8">
        <f t="shared" si="6"/>
        <v>1.9E-2</v>
      </c>
      <c r="K13" s="8">
        <f t="shared" si="7"/>
        <v>4.2999999999999997E-2</v>
      </c>
      <c r="L13" s="8">
        <f t="shared" si="8"/>
        <v>1.6E-2</v>
      </c>
      <c r="M13" s="8">
        <f t="shared" si="9"/>
        <v>2.4E-2</v>
      </c>
      <c r="N13" s="8">
        <f t="shared" si="10"/>
        <v>8.0000000000000002E-3</v>
      </c>
      <c r="O13" s="8">
        <f t="shared" si="11"/>
        <v>1.2999999999999999E-2</v>
      </c>
      <c r="P13" s="8">
        <f t="shared" si="12"/>
        <v>0.01</v>
      </c>
      <c r="Q13" s="8">
        <f t="shared" si="13"/>
        <v>2.3E-2</v>
      </c>
      <c r="R13" s="8">
        <f t="shared" si="14"/>
        <v>1.6E-2</v>
      </c>
      <c r="S13" s="8">
        <f t="shared" si="15"/>
        <v>1.7000000000000001E-2</v>
      </c>
      <c r="T13" s="8">
        <f t="shared" si="16"/>
        <v>1.2999999999999999E-2</v>
      </c>
      <c r="U13" s="8">
        <f t="shared" si="17"/>
        <v>7.0999999999999994E-2</v>
      </c>
      <c r="V13" s="8">
        <f t="shared" si="18"/>
        <v>3.2000000000000001E-2</v>
      </c>
      <c r="W13" s="8">
        <f t="shared" si="19"/>
        <v>2E-3</v>
      </c>
      <c r="X13" s="8">
        <f t="shared" si="20"/>
        <v>4.0000000000000001E-3</v>
      </c>
      <c r="Y13" s="8">
        <f t="shared" si="21"/>
        <v>1.2999999999999999E-2</v>
      </c>
      <c r="Z13" s="8">
        <f t="shared" si="22"/>
        <v>0.28699999999999998</v>
      </c>
      <c r="AA13" s="8">
        <f t="shared" si="23"/>
        <v>1.6E-2</v>
      </c>
      <c r="AB13" s="8">
        <f t="shared" si="24"/>
        <v>1.7000000000000001E-2</v>
      </c>
      <c r="AC13" s="8">
        <f t="shared" si="25"/>
        <v>1.0999999999999999E-2</v>
      </c>
      <c r="AD13" s="8">
        <f t="shared" si="26"/>
        <v>5.0000000000000001E-3</v>
      </c>
      <c r="AE13" s="8">
        <f t="shared" si="27"/>
        <v>1.6E-2</v>
      </c>
      <c r="AF13" s="8">
        <f t="shared" si="28"/>
        <v>1.2E-2</v>
      </c>
      <c r="AG13" s="8">
        <f t="shared" si="29"/>
        <v>3.7999999999999999E-2</v>
      </c>
      <c r="AH13" s="140"/>
      <c r="AI13" s="52" t="str">
        <f t="shared" si="3"/>
        <v>T-CAR-HEV_DST00</v>
      </c>
      <c r="AJ13" s="8">
        <f>G13*AF!D12*ACT2FLO!E58/1000</f>
        <v>2.3778099610678605E-2</v>
      </c>
      <c r="AK13" s="8">
        <f>H13*AF!E12*ACT2FLO!F58/1000</f>
        <v>4.5392063363698166E-4</v>
      </c>
      <c r="AL13" s="8">
        <f>I13*AF!F12*ACT2FLO!G58/1000</f>
        <v>8.914739008685069E-4</v>
      </c>
      <c r="AM13" s="8">
        <f>J13*AF!G12*ACT2FLO!H58/1000</f>
        <v>5.9273290968661413E-4</v>
      </c>
      <c r="AN13" s="8">
        <f>K13*AF!H12*ACT2FLO!I58/1000</f>
        <v>1.3954037767277393E-3</v>
      </c>
      <c r="AO13" s="8">
        <f>L13*AF!I12*ACT2FLO!J58/1000</f>
        <v>5.3232583916175337E-4</v>
      </c>
      <c r="AP13" s="8">
        <f>M13*AF!J12*ACT2FLO!K58/1000</f>
        <v>8.1367146799895878E-4</v>
      </c>
      <c r="AQ13" s="8">
        <f>N13*AF!K12*ACT2FLO!L58/1000</f>
        <v>2.4603866816093144E-4</v>
      </c>
      <c r="AR13" s="8">
        <f>O13*AF!L12*ACT2FLO!M58/1000</f>
        <v>4.1114018724284693E-4</v>
      </c>
      <c r="AS13" s="8">
        <f>P13*AF!M12*ACT2FLO!N58/1000</f>
        <v>3.2906314136038807E-4</v>
      </c>
      <c r="AT13" s="8">
        <f>Q13*AF!N12*ACT2FLO!O58/1000</f>
        <v>7.5615889982839023E-4</v>
      </c>
      <c r="AU13" s="8">
        <f>R13*AF!O12*ACT2FLO!P58/1000</f>
        <v>5.1105572289227399E-4</v>
      </c>
      <c r="AV13" s="8">
        <f>S13*AF!P12*ACT2FLO!Q58/1000</f>
        <v>5.1742959611780813E-4</v>
      </c>
      <c r="AW13" s="8">
        <f>T13*AF!Q12*ACT2FLO!R58/1000</f>
        <v>4.2712261467541316E-4</v>
      </c>
      <c r="AX13" s="8">
        <f>U13*AF!R12*ACT2FLO!S58/1000</f>
        <v>2.1260716596885614E-3</v>
      </c>
      <c r="AY13" s="8">
        <f>V13*AF!S12*ACT2FLO!T58/1000</f>
        <v>1.0019633221802374E-3</v>
      </c>
      <c r="AZ13" s="8">
        <f>W13*AF!T12*ACT2FLO!U58/1000</f>
        <v>6.3780508577981733E-5</v>
      </c>
      <c r="BA13" s="8">
        <f>X13*AF!U12*ACT2FLO!V58/1000</f>
        <v>1.3290241840769858E-4</v>
      </c>
      <c r="BB13" s="8">
        <f>Y13*AF!V12*ACT2FLO!W58/1000</f>
        <v>4.0295501202859576E-4</v>
      </c>
      <c r="BC13" s="8">
        <f>Z13*AF!W12*ACT2FLO!X58/1000</f>
        <v>9.1584978832391119E-3</v>
      </c>
      <c r="BD13" s="8">
        <f>AA13*AF!X12*ACT2FLO!Y58/1000</f>
        <v>5.3187226765881272E-4</v>
      </c>
      <c r="BE13" s="8">
        <f>AB13*AF!Y12*ACT2FLO!Z58/1000</f>
        <v>5.4388445242912553E-4</v>
      </c>
      <c r="BF13" s="8">
        <f>AC13*AF!Z12*ACT2FLO!AA58/1000</f>
        <v>3.8268155945636747E-4</v>
      </c>
      <c r="BG13" s="8">
        <f>AD13*AF!AA12*ACT2FLO!AB58/1000</f>
        <v>1.5907826856424655E-4</v>
      </c>
      <c r="BH13" s="8">
        <f>AE13*AF!AB12*ACT2FLO!AC58/1000</f>
        <v>5.2249049920325113E-4</v>
      </c>
      <c r="BI13" s="8">
        <f>AF13*AF!AC12*ACT2FLO!AD58/1000</f>
        <v>3.679300415301369E-4</v>
      </c>
      <c r="BJ13" s="8">
        <f>AG13*AF!AD12*ACT2FLO!AE58/1000</f>
        <v>1.2237359149338445E-3</v>
      </c>
      <c r="BM13" t="str">
        <f>BM6</f>
        <v>T-LGT-ICE_GSL00</v>
      </c>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row>
    <row r="14" spans="3:92">
      <c r="C14" t="str">
        <f>Processes!D17</f>
        <v>T-CAR-PHEV_GSL00</v>
      </c>
      <c r="D14" t="s">
        <v>1089</v>
      </c>
      <c r="E14" t="str">
        <f>Commodities!C8&amp;","&amp;Commodities!C15</f>
        <v>TRAGSL,TRAELC</v>
      </c>
      <c r="F14" t="str">
        <f>Commodities!C25&amp;","&amp;Commodities!C26&amp;","&amp;Commodities!C27</f>
        <v>TRAPS,TRAPM,TRAPL</v>
      </c>
      <c r="G14" s="9">
        <f t="shared" si="30"/>
        <v>2.7589999999999999</v>
      </c>
      <c r="H14" s="8">
        <f t="shared" si="4"/>
        <v>1.4999999999999999E-2</v>
      </c>
      <c r="I14" s="8">
        <f t="shared" si="5"/>
        <v>0.109</v>
      </c>
      <c r="J14" s="8">
        <f t="shared" si="6"/>
        <v>3.3000000000000002E-2</v>
      </c>
      <c r="K14" s="8">
        <f t="shared" si="7"/>
        <v>0.15</v>
      </c>
      <c r="L14" s="8">
        <f t="shared" si="8"/>
        <v>2.4E-2</v>
      </c>
      <c r="M14" s="8">
        <f t="shared" si="9"/>
        <v>5.3999999999999999E-2</v>
      </c>
      <c r="N14" s="8">
        <f t="shared" si="10"/>
        <v>1.7999999999999999E-2</v>
      </c>
      <c r="O14" s="8">
        <f t="shared" si="11"/>
        <v>2.3E-2</v>
      </c>
      <c r="P14" s="8">
        <f t="shared" si="12"/>
        <v>0.01</v>
      </c>
      <c r="Q14" s="8">
        <f t="shared" si="13"/>
        <v>3.2000000000000001E-2</v>
      </c>
      <c r="R14" s="8">
        <f t="shared" si="14"/>
        <v>3.5000000000000003E-2</v>
      </c>
      <c r="S14" s="8">
        <f t="shared" si="15"/>
        <v>4.2000000000000003E-2</v>
      </c>
      <c r="T14" s="8">
        <f t="shared" si="16"/>
        <v>3.6999999999999998E-2</v>
      </c>
      <c r="U14" s="8">
        <f t="shared" si="17"/>
        <v>0.26200000000000001</v>
      </c>
      <c r="V14" s="8">
        <f t="shared" si="18"/>
        <v>0.152</v>
      </c>
      <c r="W14" s="8">
        <f t="shared" si="19"/>
        <v>3.0000000000000001E-3</v>
      </c>
      <c r="X14" s="8">
        <f t="shared" si="20"/>
        <v>2.3E-2</v>
      </c>
      <c r="Y14" s="8">
        <f t="shared" si="21"/>
        <v>0.04</v>
      </c>
      <c r="Z14" s="8">
        <f t="shared" si="22"/>
        <v>1.43</v>
      </c>
      <c r="AA14" s="8">
        <f t="shared" si="23"/>
        <v>1.7000000000000001E-2</v>
      </c>
      <c r="AB14" s="8">
        <f t="shared" si="24"/>
        <v>4.7E-2</v>
      </c>
      <c r="AC14" s="8">
        <f t="shared" si="25"/>
        <v>1.7999999999999999E-2</v>
      </c>
      <c r="AD14" s="8">
        <f t="shared" si="26"/>
        <v>1.6E-2</v>
      </c>
      <c r="AE14" s="8">
        <f t="shared" si="27"/>
        <v>2.4E-2</v>
      </c>
      <c r="AF14" s="8">
        <f t="shared" si="28"/>
        <v>3.6999999999999998E-2</v>
      </c>
      <c r="AG14" s="8">
        <f t="shared" si="29"/>
        <v>0.108</v>
      </c>
      <c r="AH14" s="140"/>
      <c r="AI14" s="52" t="str">
        <f t="shared" si="3"/>
        <v>T-CAR-PHEV_GSL00</v>
      </c>
      <c r="AJ14" s="8">
        <f>G14*AF!D13*ACT2FLO!E59/1000</f>
        <v>5.2760665147538438E-2</v>
      </c>
      <c r="AK14" s="8">
        <f>H14*AF!E13*ACT2FLO!F59/1000</f>
        <v>3.029827799413013E-4</v>
      </c>
      <c r="AL14" s="8">
        <f>I14*AF!F13*ACT2FLO!G59/1000</f>
        <v>1.7923370302501893E-3</v>
      </c>
      <c r="AM14" s="8">
        <f>J14*AF!G13*ACT2FLO!H59/1000</f>
        <v>6.6611898844858204E-4</v>
      </c>
      <c r="AN14" s="8">
        <f>K14*AF!H13*ACT2FLO!I59/1000</f>
        <v>3.0804069900369855E-3</v>
      </c>
      <c r="AO14" s="8">
        <f>L14*AF!I13*ACT2FLO!J59/1000</f>
        <v>5.0428795862471234E-4</v>
      </c>
      <c r="AP14" s="8">
        <f>M14*AF!J13*ACT2FLO!K59/1000</f>
        <v>1.1297332209493972E-3</v>
      </c>
      <c r="AQ14" s="8">
        <f>N14*AF!K13*ACT2FLO!L59/1000</f>
        <v>3.5404538229867117E-4</v>
      </c>
      <c r="AR14" s="8">
        <f>O14*AF!L13*ACT2FLO!M59/1000</f>
        <v>4.7840305071511637E-4</v>
      </c>
      <c r="AS14" s="8">
        <f>P14*AF!M13*ACT2FLO!N59/1000</f>
        <v>2.108212281760274E-4</v>
      </c>
      <c r="AT14" s="8">
        <f>Q14*AF!N13*ACT2FLO!O59/1000</f>
        <v>6.639331915676346E-4</v>
      </c>
      <c r="AU14" s="8">
        <f>R14*AF!O13*ACT2FLO!P59/1000</f>
        <v>7.2790020158597021E-4</v>
      </c>
      <c r="AV14" s="8">
        <f>S14*AF!P13*ACT2FLO!Q59/1000</f>
        <v>8.4039339437286297E-4</v>
      </c>
      <c r="AW14" s="8">
        <f>T14*AF!Q13*ACT2FLO!R59/1000</f>
        <v>7.8373724081639933E-4</v>
      </c>
      <c r="AX14" s="8">
        <f>U14*AF!R13*ACT2FLO!S59/1000</f>
        <v>5.1087638310722957E-3</v>
      </c>
      <c r="AY14" s="8">
        <f>V14*AF!S13*ACT2FLO!T59/1000</f>
        <v>3.1509612309286203E-3</v>
      </c>
      <c r="AZ14" s="8">
        <f>W14*AF!T13*ACT2FLO!U59/1000</f>
        <v>6.0274281499328749E-5</v>
      </c>
      <c r="BA14" s="8">
        <f>X14*AF!U13*ACT2FLO!V59/1000</f>
        <v>4.8856066516255012E-4</v>
      </c>
      <c r="BB14" s="8">
        <f>Y14*AF!V13*ACT2FLO!W59/1000</f>
        <v>7.8396253455634691E-4</v>
      </c>
      <c r="BC14" s="8">
        <f>Z14*AF!W13*ACT2FLO!X59/1000</f>
        <v>2.8924896307479381E-2</v>
      </c>
      <c r="BD14" s="8">
        <f>AA14*AF!X13*ACT2FLO!Y59/1000</f>
        <v>3.6988606863656848E-4</v>
      </c>
      <c r="BE14" s="8">
        <f>AB14*AF!Y13*ACT2FLO!Z59/1000</f>
        <v>9.8083196298238105E-4</v>
      </c>
      <c r="BF14" s="8">
        <f>AC14*AF!Z13*ACT2FLO!AA59/1000</f>
        <v>4.1296790135831495E-4</v>
      </c>
      <c r="BG14" s="8">
        <f>AD14*AF!AA13*ACT2FLO!AB59/1000</f>
        <v>3.2048407510410957E-4</v>
      </c>
      <c r="BH14" s="8">
        <f>AE14*AF!AB13*ACT2FLO!AC59/1000</f>
        <v>5.0912207595868485E-4</v>
      </c>
      <c r="BI14" s="8">
        <f>AF14*AF!AC13*ACT2FLO!AD59/1000</f>
        <v>7.6607182438607991E-4</v>
      </c>
      <c r="BJ14" s="8">
        <f>AG14*AF!AD13*ACT2FLO!AE59/1000</f>
        <v>2.2206323659825474E-3</v>
      </c>
      <c r="BM14" t="str">
        <f t="shared" ref="BM14:BM15" si="32">BM7</f>
        <v>T-HGT-ICE_DST00</v>
      </c>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row>
    <row r="15" spans="3:92">
      <c r="C15" t="str">
        <f>Processes!D18</f>
        <v>T-CAR-PHEV_DST00</v>
      </c>
      <c r="D15" t="s">
        <v>1089</v>
      </c>
      <c r="E15" t="str">
        <f>Commodities!C9&amp;","&amp;Commodities!C15</f>
        <v>TRADST,TRAELC</v>
      </c>
      <c r="F15" t="str">
        <f>Commodities!C25&amp;","&amp;Commodities!C26&amp;","&amp;Commodities!C27</f>
        <v>TRAPS,TRAPM,TRAPL</v>
      </c>
      <c r="G15" s="9">
        <v>0</v>
      </c>
      <c r="H15" s="8">
        <f t="shared" si="4"/>
        <v>0</v>
      </c>
      <c r="I15" s="8">
        <f t="shared" si="5"/>
        <v>1.0999999999999999E-2</v>
      </c>
      <c r="J15" s="8">
        <f t="shared" si="6"/>
        <v>2E-3</v>
      </c>
      <c r="K15" s="8">
        <f t="shared" si="7"/>
        <v>0</v>
      </c>
      <c r="L15" s="8">
        <f t="shared" si="8"/>
        <v>0</v>
      </c>
      <c r="M15" s="8">
        <f t="shared" si="9"/>
        <v>1E-3</v>
      </c>
      <c r="N15" s="8">
        <f t="shared" si="10"/>
        <v>0</v>
      </c>
      <c r="O15" s="8">
        <f t="shared" si="11"/>
        <v>1E-3</v>
      </c>
      <c r="P15" s="8">
        <f t="shared" si="12"/>
        <v>0</v>
      </c>
      <c r="Q15" s="8">
        <f t="shared" si="13"/>
        <v>0</v>
      </c>
      <c r="R15" s="8">
        <f t="shared" si="14"/>
        <v>1E-3</v>
      </c>
      <c r="S15" s="8">
        <f t="shared" si="15"/>
        <v>1E-3</v>
      </c>
      <c r="T15" s="8">
        <f t="shared" si="16"/>
        <v>2E-3</v>
      </c>
      <c r="U15" s="8">
        <f t="shared" si="17"/>
        <v>2E-3</v>
      </c>
      <c r="V15" s="8">
        <f t="shared" si="18"/>
        <v>0</v>
      </c>
      <c r="W15" s="8">
        <f t="shared" si="19"/>
        <v>0</v>
      </c>
      <c r="X15" s="8">
        <f t="shared" si="20"/>
        <v>1E-3</v>
      </c>
      <c r="Y15" s="8">
        <f t="shared" si="21"/>
        <v>0</v>
      </c>
      <c r="Z15" s="8">
        <f t="shared" si="22"/>
        <v>0</v>
      </c>
      <c r="AA15" s="8">
        <f t="shared" si="23"/>
        <v>0</v>
      </c>
      <c r="AB15" s="8">
        <f t="shared" si="24"/>
        <v>0</v>
      </c>
      <c r="AC15" s="8">
        <f t="shared" si="25"/>
        <v>0</v>
      </c>
      <c r="AD15" s="8">
        <f t="shared" si="26"/>
        <v>1E-3</v>
      </c>
      <c r="AE15" s="8">
        <f t="shared" si="27"/>
        <v>0</v>
      </c>
      <c r="AF15" s="8">
        <f t="shared" si="28"/>
        <v>1E-3</v>
      </c>
      <c r="AG15" s="8">
        <f t="shared" si="29"/>
        <v>1E-3</v>
      </c>
      <c r="AH15" s="140"/>
      <c r="AI15" s="52" t="str">
        <f t="shared" si="3"/>
        <v>T-CAR-PHEV_DST00</v>
      </c>
      <c r="AJ15" s="8">
        <f>G15*AF!D14*ACT2FLO!E60/1000</f>
        <v>0</v>
      </c>
      <c r="AK15" s="8">
        <f>H15*AF!E14*ACT2FLO!F60/1000</f>
        <v>0</v>
      </c>
      <c r="AL15" s="8">
        <f>I15*AF!F14*ACT2FLO!G60/1000</f>
        <v>2.9715796695616893E-4</v>
      </c>
      <c r="AM15" s="8">
        <f>J15*AF!G14*ACT2FLO!H60/1000</f>
        <v>6.2392937861748842E-5</v>
      </c>
      <c r="AN15" s="8">
        <f>K15*AF!H14*ACT2FLO!I60/1000</f>
        <v>0</v>
      </c>
      <c r="AO15" s="8">
        <f>L15*AF!I14*ACT2FLO!J60/1000</f>
        <v>0</v>
      </c>
      <c r="AP15" s="8">
        <f>M15*AF!J14*ACT2FLO!K60/1000</f>
        <v>3.3902977833289954E-5</v>
      </c>
      <c r="AQ15" s="8">
        <f>N15*AF!K14*ACT2FLO!L60/1000</f>
        <v>0</v>
      </c>
      <c r="AR15" s="8">
        <f>O15*AF!L14*ACT2FLO!M60/1000</f>
        <v>3.1626168249449771E-5</v>
      </c>
      <c r="AS15" s="8">
        <f>P15*AF!M14*ACT2FLO!N60/1000</f>
        <v>0</v>
      </c>
      <c r="AT15" s="8">
        <f>Q15*AF!N14*ACT2FLO!O60/1000</f>
        <v>0</v>
      </c>
      <c r="AU15" s="8">
        <f>R15*AF!O14*ACT2FLO!P60/1000</f>
        <v>3.1940982680767124E-5</v>
      </c>
      <c r="AV15" s="8">
        <f>S15*AF!P14*ACT2FLO!Q60/1000</f>
        <v>3.0437035065753419E-5</v>
      </c>
      <c r="AW15" s="8">
        <f>T15*AF!Q14*ACT2FLO!R60/1000</f>
        <v>6.5711171488525103E-5</v>
      </c>
      <c r="AX15" s="8">
        <f>U15*AF!R14*ACT2FLO!S60/1000</f>
        <v>5.9889342526438347E-5</v>
      </c>
      <c r="AY15" s="8">
        <f>V15*AF!S14*ACT2FLO!T60/1000</f>
        <v>0</v>
      </c>
      <c r="AZ15" s="8">
        <f>W15*AF!T14*ACT2FLO!U60/1000</f>
        <v>0</v>
      </c>
      <c r="BA15" s="8">
        <f>X15*AF!U14*ACT2FLO!V60/1000</f>
        <v>3.3225604601924645E-5</v>
      </c>
      <c r="BB15" s="8">
        <f>Y15*AF!V14*ACT2FLO!W60/1000</f>
        <v>0</v>
      </c>
      <c r="BC15" s="8">
        <f>Z15*AF!W14*ACT2FLO!X60/1000</f>
        <v>0</v>
      </c>
      <c r="BD15" s="8">
        <f>AA15*AF!X14*ACT2FLO!Y60/1000</f>
        <v>0</v>
      </c>
      <c r="BE15" s="8">
        <f>AB15*AF!Y14*ACT2FLO!Z60/1000</f>
        <v>0</v>
      </c>
      <c r="BF15" s="8">
        <f>AC15*AF!Z14*ACT2FLO!AA60/1000</f>
        <v>0</v>
      </c>
      <c r="BG15" s="8">
        <f>AD15*AF!AA14*ACT2FLO!AB60/1000</f>
        <v>3.1815653712849314E-5</v>
      </c>
      <c r="BH15" s="8">
        <f>AE15*AF!AB14*ACT2FLO!AC60/1000</f>
        <v>0</v>
      </c>
      <c r="BI15" s="8">
        <f>AF15*AF!AC14*ACT2FLO!AD60/1000</f>
        <v>3.0660836794178079E-5</v>
      </c>
      <c r="BJ15" s="8">
        <f>AG15*AF!AD14*ACT2FLO!AE60/1000</f>
        <v>3.2203576708785385E-5</v>
      </c>
      <c r="BM15" t="str">
        <f t="shared" si="32"/>
        <v>T-GTR-ICE_DST00</v>
      </c>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row>
    <row r="16" spans="3:92">
      <c r="C16" t="str">
        <f>Processes!D19</f>
        <v>T-CAR-BEV_ELC00</v>
      </c>
      <c r="D16" t="s">
        <v>1089</v>
      </c>
      <c r="E16" t="str">
        <f>Commodities!C15</f>
        <v>TRAELC</v>
      </c>
      <c r="F16" t="str">
        <f>Commodities!C25&amp;","&amp;Commodities!C26&amp;","&amp;Commodities!C27</f>
        <v>TRAPS,TRAPM,TRAPL</v>
      </c>
      <c r="G16" s="9">
        <f t="shared" si="30"/>
        <v>4.53</v>
      </c>
      <c r="H16" s="8">
        <f t="shared" si="4"/>
        <v>4.5999999999999999E-2</v>
      </c>
      <c r="I16" s="8">
        <f t="shared" si="5"/>
        <v>1.6759999999999999</v>
      </c>
      <c r="J16" s="8">
        <f t="shared" si="6"/>
        <v>0.29199999999999998</v>
      </c>
      <c r="K16" s="8">
        <f t="shared" si="7"/>
        <v>5.3999999999999999E-2</v>
      </c>
      <c r="L16" s="8">
        <f t="shared" si="8"/>
        <v>5.6000000000000001E-2</v>
      </c>
      <c r="M16" s="8">
        <f t="shared" si="9"/>
        <v>2.4E-2</v>
      </c>
      <c r="N16" s="8">
        <f t="shared" si="10"/>
        <v>0.10299999999999999</v>
      </c>
      <c r="O16" s="8">
        <f t="shared" si="11"/>
        <v>0.23899999999999999</v>
      </c>
      <c r="P16" s="8">
        <f t="shared" si="12"/>
        <v>2.9000000000000001E-2</v>
      </c>
      <c r="Q16" s="8">
        <f t="shared" si="13"/>
        <v>9.8000000000000004E-2</v>
      </c>
      <c r="R16" s="8">
        <f t="shared" si="14"/>
        <v>0.14099999999999999</v>
      </c>
      <c r="S16" s="8">
        <f t="shared" si="15"/>
        <v>0.25700000000000001</v>
      </c>
      <c r="T16" s="8">
        <f t="shared" si="16"/>
        <v>0.107</v>
      </c>
      <c r="U16" s="8">
        <f t="shared" si="17"/>
        <v>0.51400000000000001</v>
      </c>
      <c r="V16" s="8">
        <f t="shared" si="18"/>
        <v>9.8000000000000004E-2</v>
      </c>
      <c r="W16" s="8">
        <f t="shared" si="19"/>
        <v>0.123</v>
      </c>
      <c r="X16" s="8">
        <f t="shared" si="20"/>
        <v>9.4E-2</v>
      </c>
      <c r="Y16" s="8">
        <f t="shared" si="21"/>
        <v>0.1</v>
      </c>
      <c r="Z16" s="8">
        <f t="shared" si="22"/>
        <v>0.22800000000000001</v>
      </c>
      <c r="AA16" s="8">
        <f t="shared" si="23"/>
        <v>1.7000000000000001E-2</v>
      </c>
      <c r="AB16" s="8">
        <f t="shared" si="24"/>
        <v>5.8000000000000003E-2</v>
      </c>
      <c r="AC16" s="8">
        <f t="shared" si="25"/>
        <v>0.03</v>
      </c>
      <c r="AD16" s="8">
        <f t="shared" si="26"/>
        <v>2.9000000000000001E-2</v>
      </c>
      <c r="AE16" s="8">
        <f t="shared" si="27"/>
        <v>3.5000000000000003E-2</v>
      </c>
      <c r="AF16" s="8">
        <f t="shared" si="28"/>
        <v>5.0999999999999997E-2</v>
      </c>
      <c r="AG16" s="8">
        <f t="shared" si="29"/>
        <v>3.1E-2</v>
      </c>
      <c r="AH16" s="140"/>
      <c r="AI16" s="52" t="str">
        <f t="shared" si="3"/>
        <v>T-CAR-BEV_ELC00</v>
      </c>
      <c r="AJ16" s="8">
        <f>G16*AF!D15*ACT2FLO!E61/1000</f>
        <v>9.0865471195621078E-2</v>
      </c>
      <c r="AK16" s="8">
        <f>H16*AF!E15*ACT2FLO!F61/1000</f>
        <v>9.6710098093776681E-4</v>
      </c>
      <c r="AL16" s="8">
        <f>I16*AF!F15*ACT2FLO!G61/1000</f>
        <v>3.2125353528666398E-2</v>
      </c>
      <c r="AM16" s="8">
        <f>J16*AF!G15*ACT2FLO!H61/1000</f>
        <v>6.0614400446073321E-3</v>
      </c>
      <c r="AN16" s="8">
        <f>K16*AF!H15*ACT2FLO!I61/1000</f>
        <v>1.1568042780196438E-3</v>
      </c>
      <c r="AO16" s="8">
        <f>L16*AF!I15*ACT2FLO!J61/1000</f>
        <v>1.2186988840327667E-3</v>
      </c>
      <c r="AP16" s="8">
        <f>M16*AF!J15*ACT2FLO!K61/1000</f>
        <v>5.0145910477742458E-4</v>
      </c>
      <c r="AQ16" s="8">
        <f>N16*AF!K15*ACT2FLO!L61/1000</f>
        <v>2.0614257844273373E-3</v>
      </c>
      <c r="AR16" s="8">
        <f>O16*AF!L15*ACT2FLO!M61/1000</f>
        <v>5.0289994030502253E-3</v>
      </c>
      <c r="AS16" s="8">
        <f>P16*AF!M15*ACT2FLO!N61/1000</f>
        <v>6.2752065035294295E-4</v>
      </c>
      <c r="AT16" s="8">
        <f>Q16*AF!N15*ACT2FLO!O61/1000</f>
        <v>2.0483557634873376E-3</v>
      </c>
      <c r="AU16" s="8">
        <f>R16*AF!O15*ACT2FLO!P61/1000</f>
        <v>2.973000064531424E-3</v>
      </c>
      <c r="AV16" s="8">
        <f>S16*AF!P15*ACT2FLO!Q61/1000</f>
        <v>5.3356644674298738E-3</v>
      </c>
      <c r="AW16" s="8">
        <f>T16*AF!Q15*ACT2FLO!R61/1000</f>
        <v>2.2474855893704604E-3</v>
      </c>
      <c r="AX16" s="8">
        <f>U16*AF!R15*ACT2FLO!S61/1000</f>
        <v>1.024186833812806E-2</v>
      </c>
      <c r="AY16" s="8">
        <f>V16*AF!S15*ACT2FLO!T61/1000</f>
        <v>2.014872040891963E-3</v>
      </c>
      <c r="AZ16" s="8">
        <f>W16*AF!T15*ACT2FLO!U61/1000</f>
        <v>2.5549294837650272E-3</v>
      </c>
      <c r="BA16" s="8">
        <f>X16*AF!U15*ACT2FLO!V61/1000</f>
        <v>1.9472182704007121E-3</v>
      </c>
      <c r="BB16" s="8">
        <f>Y16*AF!V15*ACT2FLO!W61/1000</f>
        <v>2.0800132639787671E-3</v>
      </c>
      <c r="BC16" s="8">
        <f>Z16*AF!W15*ACT2FLO!X61/1000</f>
        <v>4.7390284555995331E-3</v>
      </c>
      <c r="BD16" s="8">
        <f>AA16*AF!X15*ACT2FLO!Y61/1000</f>
        <v>3.5872582244579219E-4</v>
      </c>
      <c r="BE16" s="8">
        <f>AB16*AF!Y15*ACT2FLO!Z61/1000</f>
        <v>1.2280418601887352E-3</v>
      </c>
      <c r="BF16" s="8">
        <f>AC16*AF!Z15*ACT2FLO!AA61/1000</f>
        <v>6.3353793282452042E-4</v>
      </c>
      <c r="BG16" s="8">
        <f>AD16*AF!AA15*ACT2FLO!AB61/1000</f>
        <v>5.9935296481341551E-4</v>
      </c>
      <c r="BH16" s="8">
        <f>AE16*AF!AB15*ACT2FLO!AC61/1000</f>
        <v>7.3432331119175796E-4</v>
      </c>
      <c r="BI16" s="8">
        <f>AF16*AF!AC15*ACT2FLO!AD61/1000</f>
        <v>1.0884283739513423E-3</v>
      </c>
      <c r="BJ16" s="8">
        <f>AG16*AF!AD15*ACT2FLO!AE61/1000</f>
        <v>6.378662582522533E-4</v>
      </c>
      <c r="BM16" s="84" t="s">
        <v>1</v>
      </c>
      <c r="BN16" s="321"/>
      <c r="BO16" s="321"/>
      <c r="BP16" s="321"/>
      <c r="BQ16" s="321"/>
      <c r="BR16" s="321"/>
      <c r="BS16" s="321"/>
      <c r="BT16" s="321"/>
      <c r="BU16" s="321"/>
      <c r="BV16" s="321"/>
      <c r="BW16" s="321"/>
      <c r="BX16" s="321"/>
      <c r="BY16" s="321"/>
      <c r="BZ16" s="321"/>
      <c r="CA16" s="321"/>
      <c r="CB16" s="321"/>
      <c r="CC16" s="321"/>
      <c r="CD16" s="321"/>
      <c r="CE16" s="321"/>
      <c r="CF16" s="321"/>
      <c r="CG16" s="321"/>
      <c r="CH16" s="321"/>
      <c r="CI16" s="321"/>
      <c r="CJ16" s="321"/>
      <c r="CK16" s="321"/>
      <c r="CL16" s="321"/>
      <c r="CM16" s="321"/>
      <c r="CN16" s="321"/>
    </row>
    <row r="17" spans="3:92" ht="15.5">
      <c r="C17" s="143" t="s">
        <v>524</v>
      </c>
      <c r="D17" s="143"/>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0"/>
      <c r="AI17" s="143" t="str">
        <f>C17</f>
        <v>*Small sevice vehicle</v>
      </c>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19"/>
    </row>
    <row r="18" spans="3:92">
      <c r="C18" t="str">
        <f>Processes!D21</f>
        <v>T-TAX-ICE_GSL00</v>
      </c>
      <c r="D18" t="s">
        <v>1089</v>
      </c>
      <c r="E18" t="str">
        <f>Commodities!C8&amp;","&amp;Commodities!C10</f>
        <v>TRAGSL,TRAETH</v>
      </c>
      <c r="F18" t="str">
        <f>Commodities!C25&amp;","&amp;Commodities!C26&amp;","&amp;Commodities!C27</f>
        <v>TRAPS,TRAPM,TRAPL</v>
      </c>
      <c r="G18" s="9">
        <f t="shared" si="30"/>
        <v>2.5000000000000004</v>
      </c>
      <c r="H18" s="8">
        <f t="shared" ref="H18:Q20" si="33">F195/1000</f>
        <v>0.01</v>
      </c>
      <c r="I18" s="8">
        <f t="shared" si="33"/>
        <v>1.579</v>
      </c>
      <c r="J18" s="8">
        <f t="shared" si="33"/>
        <v>7.0999999999999994E-2</v>
      </c>
      <c r="K18" s="8">
        <f t="shared" si="33"/>
        <v>0.01</v>
      </c>
      <c r="L18" s="8">
        <f t="shared" si="33"/>
        <v>1.2E-2</v>
      </c>
      <c r="M18" s="8">
        <f t="shared" si="33"/>
        <v>4.0000000000000001E-3</v>
      </c>
      <c r="N18" s="8">
        <f t="shared" si="33"/>
        <v>4.8000000000000001E-2</v>
      </c>
      <c r="O18" s="8">
        <f t="shared" si="33"/>
        <v>9.5000000000000001E-2</v>
      </c>
      <c r="P18" s="8">
        <f t="shared" si="33"/>
        <v>1.4E-2</v>
      </c>
      <c r="Q18" s="8">
        <f t="shared" si="33"/>
        <v>1.4E-2</v>
      </c>
      <c r="R18" s="8">
        <f t="shared" ref="R18:AA20" si="34">P195/1000</f>
        <v>1.7000000000000001E-2</v>
      </c>
      <c r="S18" s="8">
        <f t="shared" si="34"/>
        <v>3.1E-2</v>
      </c>
      <c r="T18" s="8">
        <f t="shared" si="34"/>
        <v>4.3999999999999997E-2</v>
      </c>
      <c r="U18" s="8">
        <f t="shared" si="34"/>
        <v>0.16400000000000001</v>
      </c>
      <c r="V18" s="8">
        <f t="shared" si="34"/>
        <v>2.8000000000000001E-2</v>
      </c>
      <c r="W18" s="8">
        <f t="shared" si="34"/>
        <v>0.125</v>
      </c>
      <c r="X18" s="8">
        <f t="shared" si="34"/>
        <v>1.2E-2</v>
      </c>
      <c r="Y18" s="8">
        <f t="shared" si="34"/>
        <v>4.3999999999999997E-2</v>
      </c>
      <c r="Z18" s="8">
        <f t="shared" si="34"/>
        <v>0.115</v>
      </c>
      <c r="AA18" s="8">
        <f t="shared" si="34"/>
        <v>0</v>
      </c>
      <c r="AB18" s="8">
        <f t="shared" ref="AB18:AG20" si="35">Z195/1000</f>
        <v>0.02</v>
      </c>
      <c r="AC18" s="8">
        <f t="shared" si="35"/>
        <v>3.0000000000000001E-3</v>
      </c>
      <c r="AD18" s="8">
        <f t="shared" si="35"/>
        <v>1.2E-2</v>
      </c>
      <c r="AE18" s="8">
        <f t="shared" si="35"/>
        <v>7.0000000000000001E-3</v>
      </c>
      <c r="AF18" s="8">
        <f t="shared" si="35"/>
        <v>1.7000000000000001E-2</v>
      </c>
      <c r="AG18" s="8">
        <f t="shared" si="35"/>
        <v>4.0000000000000001E-3</v>
      </c>
      <c r="AH18" s="140"/>
      <c r="AI18" s="52" t="str">
        <f t="shared" si="3"/>
        <v>T-TAX-ICE_GSL00</v>
      </c>
      <c r="AJ18" s="8">
        <f>G18*AF!D16*ACT2FLO!E62/1000</f>
        <v>0.132815135733613</v>
      </c>
      <c r="AK18" s="8">
        <f>H18*AF!E16*ACT2FLO!F62/1000</f>
        <v>3.3237540694107306E-4</v>
      </c>
      <c r="AL18" s="8">
        <f>I18*AF!F16*ACT2FLO!G62/1000</f>
        <v>8.3617468703171244E-2</v>
      </c>
      <c r="AM18" s="8">
        <f>J18*AF!G16*ACT2FLO!H62/1000</f>
        <v>4.3649617706759914E-3</v>
      </c>
      <c r="AN18" s="8">
        <f>K18*AF!H16*ACT2FLO!I62/1000</f>
        <v>6.1736452791703194E-4</v>
      </c>
      <c r="AO18" s="8">
        <f>L18*AF!I16*ACT2FLO!J62/1000</f>
        <v>5.7978970972605477E-4</v>
      </c>
      <c r="AP18" s="8">
        <f>M18*AF!J16*ACT2FLO!K62/1000</f>
        <v>2.4642659115686755E-4</v>
      </c>
      <c r="AQ18" s="8">
        <f>N18*AF!K16*ACT2FLO!L62/1000</f>
        <v>2.5945961021110134E-3</v>
      </c>
      <c r="AR18" s="8">
        <f>O18*AF!L16*ACT2FLO!M62/1000</f>
        <v>5.9026661463937435E-3</v>
      </c>
      <c r="AS18" s="8">
        <f>P18*AF!M16*ACT2FLO!N62/1000</f>
        <v>5.6496209921215966E-4</v>
      </c>
      <c r="AT18" s="8">
        <f>Q18*AF!N16*ACT2FLO!O62/1000</f>
        <v>9.3213419888869852E-4</v>
      </c>
      <c r="AU18" s="8">
        <f>R18*AF!O16*ACT2FLO!P62/1000</f>
        <v>8.2986576106776713E-4</v>
      </c>
      <c r="AV18" s="8">
        <f>S18*AF!P16*ACT2FLO!Q62/1000</f>
        <v>1.4344243540843401E-3</v>
      </c>
      <c r="AW18" s="8">
        <f>T18*AF!Q16*ACT2FLO!R62/1000</f>
        <v>2.4722571252849585E-3</v>
      </c>
      <c r="AX18" s="8">
        <f>U18*AF!R16*ACT2FLO!S62/1000</f>
        <v>8.3549362853188591E-3</v>
      </c>
      <c r="AY18" s="8">
        <f>V18*AF!S16*ACT2FLO!T62/1000</f>
        <v>1.2959850809154151E-3</v>
      </c>
      <c r="AZ18" s="8">
        <f>W18*AF!T16*ACT2FLO!U62/1000</f>
        <v>6.9264769933027968E-3</v>
      </c>
      <c r="BA18" s="8">
        <f>X18*AF!U16*ACT2FLO!V62/1000</f>
        <v>6.0336945983287672E-4</v>
      </c>
      <c r="BB18" s="8">
        <f>Y18*AF!V16*ACT2FLO!W62/1000</f>
        <v>1.9632842504785568E-3</v>
      </c>
      <c r="BC18" s="8">
        <f>Z18*AF!W16*ACT2FLO!X62/1000</f>
        <v>6.2833081260984004E-3</v>
      </c>
      <c r="BD18" s="8">
        <f>AA18*AF!X16*ACT2FLO!Y62/1000</f>
        <v>0</v>
      </c>
      <c r="BE18" s="8">
        <f>AB18*AF!Y16*ACT2FLO!Z62/1000</f>
        <v>9.6956876799652951E-4</v>
      </c>
      <c r="BF18" s="8">
        <f>AC18*AF!Z16*ACT2FLO!AA62/1000</f>
        <v>1.0939428485397259E-4</v>
      </c>
      <c r="BG18" s="8">
        <f>AD18*AF!AA16*ACT2FLO!AB62/1000</f>
        <v>4.9048386801547937E-4</v>
      </c>
      <c r="BH18" s="8">
        <f>AE18*AF!AB16*ACT2FLO!AC62/1000</f>
        <v>3.7466050550962778E-4</v>
      </c>
      <c r="BI18" s="8">
        <f>AF18*AF!AC16*ACT2FLO!AD62/1000</f>
        <v>8.8252183173152029E-4</v>
      </c>
      <c r="BJ18" s="8">
        <f>AG18*AF!AD16*ACT2FLO!AE62/1000</f>
        <v>8.3105041821689501E-5</v>
      </c>
    </row>
    <row r="19" spans="3:92" ht="15.5">
      <c r="C19" t="str">
        <f>Processes!D22</f>
        <v>T-TAX-ICE_DST00</v>
      </c>
      <c r="D19" t="s">
        <v>1089</v>
      </c>
      <c r="E19" t="str">
        <f>Commodities!C9&amp;","&amp;Commodities!C11</f>
        <v>TRADST,TRABDL</v>
      </c>
      <c r="F19" t="str">
        <f>Commodities!C25&amp;","&amp;Commodities!C26&amp;","&amp;Commodities!C27</f>
        <v>TRAPS,TRAPM,TRAPL</v>
      </c>
      <c r="G19" s="9">
        <f t="shared" si="30"/>
        <v>17.463000000000001</v>
      </c>
      <c r="H19" s="8">
        <f t="shared" si="33"/>
        <v>0.14699999999999999</v>
      </c>
      <c r="I19" s="8">
        <f t="shared" si="33"/>
        <v>8.5139999999999993</v>
      </c>
      <c r="J19" s="8">
        <f t="shared" si="33"/>
        <v>0.71499999999999997</v>
      </c>
      <c r="K19" s="8">
        <f t="shared" si="33"/>
        <v>0.20399999999999999</v>
      </c>
      <c r="L19" s="8">
        <f t="shared" si="33"/>
        <v>0.2</v>
      </c>
      <c r="M19" s="8">
        <f t="shared" si="33"/>
        <v>8.3000000000000004E-2</v>
      </c>
      <c r="N19" s="8">
        <f t="shared" si="33"/>
        <v>0.50800000000000001</v>
      </c>
      <c r="O19" s="8">
        <f t="shared" si="33"/>
        <v>0.83199999999999996</v>
      </c>
      <c r="P19" s="8">
        <f t="shared" si="33"/>
        <v>0.15</v>
      </c>
      <c r="Q19" s="8">
        <f t="shared" si="33"/>
        <v>0.25900000000000001</v>
      </c>
      <c r="R19" s="8">
        <f t="shared" si="34"/>
        <v>0.25</v>
      </c>
      <c r="S19" s="8">
        <f t="shared" si="34"/>
        <v>0.315</v>
      </c>
      <c r="T19" s="8">
        <f t="shared" si="34"/>
        <v>0.30099999999999999</v>
      </c>
      <c r="U19" s="8">
        <f t="shared" si="34"/>
        <v>1.538</v>
      </c>
      <c r="V19" s="8">
        <f t="shared" si="34"/>
        <v>0.436</v>
      </c>
      <c r="W19" s="8">
        <f t="shared" si="34"/>
        <v>0.48699999999999999</v>
      </c>
      <c r="X19" s="8">
        <f t="shared" si="34"/>
        <v>0.24099999999999999</v>
      </c>
      <c r="Y19" s="8">
        <f t="shared" si="34"/>
        <v>0.26200000000000001</v>
      </c>
      <c r="Z19" s="8">
        <f t="shared" si="34"/>
        <v>0.82199999999999995</v>
      </c>
      <c r="AA19" s="8">
        <f t="shared" si="34"/>
        <v>6.5000000000000002E-2</v>
      </c>
      <c r="AB19" s="8">
        <f t="shared" si="35"/>
        <v>0.27</v>
      </c>
      <c r="AC19" s="8">
        <f t="shared" si="35"/>
        <v>0.129</v>
      </c>
      <c r="AD19" s="8">
        <f t="shared" si="35"/>
        <v>0.155</v>
      </c>
      <c r="AE19" s="8">
        <f t="shared" si="35"/>
        <v>0.157</v>
      </c>
      <c r="AF19" s="8">
        <f t="shared" si="35"/>
        <v>0.34799999999999998</v>
      </c>
      <c r="AG19" s="8">
        <f t="shared" si="35"/>
        <v>7.4999999999999997E-2</v>
      </c>
      <c r="AH19" s="140"/>
      <c r="AI19" s="52" t="str">
        <f t="shared" si="3"/>
        <v>T-TAX-ICE_DST00</v>
      </c>
      <c r="AJ19" s="8">
        <f>G19*AF!D17*ACT2FLO!E63/1000</f>
        <v>1.0402457641362053</v>
      </c>
      <c r="AK19" s="8">
        <f>H19*AF!E17*ACT2FLO!F63/1000</f>
        <v>8.0437698221748274E-3</v>
      </c>
      <c r="AL19" s="8">
        <f>I19*AF!F17*ACT2FLO!G63/1000</f>
        <v>0.49445103116594963</v>
      </c>
      <c r="AM19" s="8">
        <f>J19*AF!G17*ACT2FLO!H63/1000</f>
        <v>4.5102739949248384E-2</v>
      </c>
      <c r="AN19" s="8">
        <f>K19*AF!H17*ACT2FLO!I63/1000</f>
        <v>1.2695591696276407E-2</v>
      </c>
      <c r="AO19" s="8">
        <f>L19*AF!I17*ACT2FLO!J63/1000</f>
        <v>1.2450836158025114E-2</v>
      </c>
      <c r="AP19" s="8">
        <f>M19*AF!J17*ACT2FLO!K63/1000</f>
        <v>5.6404018529220244E-3</v>
      </c>
      <c r="AQ19" s="8">
        <f>N19*AF!K17*ACT2FLO!L63/1000</f>
        <v>3.2373970392738781E-2</v>
      </c>
      <c r="AR19" s="8">
        <f>O19*AF!L17*ACT2FLO!M63/1000</f>
        <v>5.3831298300056986E-2</v>
      </c>
      <c r="AS19" s="8">
        <f>P19*AF!M17*ACT2FLO!N63/1000</f>
        <v>8.661798295219519E-3</v>
      </c>
      <c r="AT19" s="8">
        <f>Q19*AF!N17*ACT2FLO!O63/1000</f>
        <v>1.6194549694790145E-2</v>
      </c>
      <c r="AU19" s="8">
        <f>R19*AF!O17*ACT2FLO!P63/1000</f>
        <v>1.449638395582648E-2</v>
      </c>
      <c r="AV19" s="8">
        <f>S19*AF!P17*ACT2FLO!Q63/1000</f>
        <v>1.8335001361535753E-2</v>
      </c>
      <c r="AW19" s="8">
        <f>T19*AF!Q17*ACT2FLO!R63/1000</f>
        <v>1.7965615116759329E-2</v>
      </c>
      <c r="AX19" s="8">
        <f>U19*AF!R17*ACT2FLO!S63/1000</f>
        <v>9.2628414106859971E-2</v>
      </c>
      <c r="AY19" s="8">
        <f>V19*AF!S17*ACT2FLO!T63/1000</f>
        <v>2.5511326128417264E-2</v>
      </c>
      <c r="AZ19" s="8">
        <f>W19*AF!T17*ACT2FLO!U63/1000</f>
        <v>2.9254756182992957E-2</v>
      </c>
      <c r="BA19" s="8">
        <f>X19*AF!U17*ACT2FLO!V63/1000</f>
        <v>1.4494459260962029E-2</v>
      </c>
      <c r="BB19" s="8">
        <f>Y19*AF!V17*ACT2FLO!W63/1000</f>
        <v>1.5522526816745721E-2</v>
      </c>
      <c r="BC19" s="8">
        <f>Z19*AF!W17*ACT2FLO!X63/1000</f>
        <v>4.9907257266619529E-2</v>
      </c>
      <c r="BD19" s="8">
        <f>AA19*AF!X17*ACT2FLO!Y63/1000</f>
        <v>4.1674567453412322E-3</v>
      </c>
      <c r="BE19" s="8">
        <f>AB19*AF!Y17*ACT2FLO!Z63/1000</f>
        <v>1.545668733226623E-2</v>
      </c>
      <c r="BF19" s="8">
        <f>AC19*AF!Z17*ACT2FLO!AA63/1000</f>
        <v>7.5392222535451432E-3</v>
      </c>
      <c r="BG19" s="8">
        <f>AD19*AF!AA17*ACT2FLO!AB63/1000</f>
        <v>9.3334944227404428E-3</v>
      </c>
      <c r="BH19" s="8">
        <f>AE19*AF!AB17*ACT2FLO!AC63/1000</f>
        <v>1.0315014203034848E-2</v>
      </c>
      <c r="BI19" s="8">
        <f>AF19*AF!AC17*ACT2FLO!AD63/1000</f>
        <v>2.1112004824381993E-2</v>
      </c>
      <c r="BJ19" s="8">
        <f>AG19*AF!AD17*ACT2FLO!AE63/1000</f>
        <v>4.7557867290239711E-3</v>
      </c>
      <c r="BM19" t="s">
        <v>989</v>
      </c>
      <c r="BN19" s="101"/>
      <c r="BO19" s="101"/>
    </row>
    <row r="20" spans="3:92">
      <c r="C20" t="str">
        <f>Processes!D23</f>
        <v>T-TAX-HEV_GSL00</v>
      </c>
      <c r="D20" t="s">
        <v>1089</v>
      </c>
      <c r="E20" t="str">
        <f>Commodities!C8&amp;","&amp;Commodities!C10</f>
        <v>TRAGSL,TRAETH</v>
      </c>
      <c r="F20" t="str">
        <f>Commodities!C25&amp;","&amp;Commodities!C26&amp;","&amp;Commodities!C27</f>
        <v>TRAPS,TRAPM,TRAPL</v>
      </c>
      <c r="G20" s="9">
        <f t="shared" si="30"/>
        <v>1.3499999999999988</v>
      </c>
      <c r="H20" s="8">
        <f t="shared" si="33"/>
        <v>4.0000000000000001E-3</v>
      </c>
      <c r="I20" s="8">
        <f t="shared" si="33"/>
        <v>1.0549999999999999</v>
      </c>
      <c r="J20" s="8">
        <f t="shared" si="33"/>
        <v>3.6999999999999998E-2</v>
      </c>
      <c r="K20" s="8">
        <f t="shared" si="33"/>
        <v>1E-3</v>
      </c>
      <c r="L20" s="8">
        <f t="shared" si="33"/>
        <v>1.6E-2</v>
      </c>
      <c r="M20" s="8">
        <f t="shared" si="33"/>
        <v>0</v>
      </c>
      <c r="N20" s="8">
        <f t="shared" si="33"/>
        <v>2.5000000000000001E-2</v>
      </c>
      <c r="O20" s="8">
        <f t="shared" si="33"/>
        <v>5.0999999999999997E-2</v>
      </c>
      <c r="P20" s="8">
        <f t="shared" si="33"/>
        <v>3.0000000000000001E-3</v>
      </c>
      <c r="Q20" s="8">
        <f t="shared" si="33"/>
        <v>6.0000000000000001E-3</v>
      </c>
      <c r="R20" s="8">
        <f t="shared" si="34"/>
        <v>3.0000000000000001E-3</v>
      </c>
      <c r="S20" s="8">
        <f t="shared" si="34"/>
        <v>1.2999999999999999E-2</v>
      </c>
      <c r="T20" s="8">
        <f t="shared" si="34"/>
        <v>7.0000000000000001E-3</v>
      </c>
      <c r="U20" s="8">
        <f t="shared" si="34"/>
        <v>4.9000000000000002E-2</v>
      </c>
      <c r="V20" s="8">
        <f t="shared" si="34"/>
        <v>4.0000000000000001E-3</v>
      </c>
      <c r="W20" s="8">
        <f t="shared" si="34"/>
        <v>4.2000000000000003E-2</v>
      </c>
      <c r="X20" s="8">
        <f t="shared" si="34"/>
        <v>3.0000000000000001E-3</v>
      </c>
      <c r="Y20" s="8">
        <f t="shared" si="34"/>
        <v>1E-3</v>
      </c>
      <c r="Z20" s="8">
        <f t="shared" si="34"/>
        <v>2.4E-2</v>
      </c>
      <c r="AA20" s="8">
        <f t="shared" si="34"/>
        <v>0</v>
      </c>
      <c r="AB20" s="8">
        <f t="shared" si="35"/>
        <v>2E-3</v>
      </c>
      <c r="AC20" s="8">
        <f t="shared" si="35"/>
        <v>0</v>
      </c>
      <c r="AD20" s="8">
        <f t="shared" si="35"/>
        <v>2E-3</v>
      </c>
      <c r="AE20" s="8">
        <f t="shared" si="35"/>
        <v>1E-3</v>
      </c>
      <c r="AF20" s="8">
        <f t="shared" si="35"/>
        <v>1E-3</v>
      </c>
      <c r="AG20" s="8">
        <f t="shared" si="35"/>
        <v>0</v>
      </c>
      <c r="AH20" s="140"/>
      <c r="AI20" s="52" t="str">
        <f t="shared" si="3"/>
        <v>T-TAX-HEV_GSL00</v>
      </c>
      <c r="AJ20" s="8">
        <f>G20*AF!D18*ACT2FLO!E64/1000</f>
        <v>8.300783727097695E-2</v>
      </c>
      <c r="AK20" s="8">
        <f>H20*AF!E18*ACT2FLO!F64/1000</f>
        <v>2.757714737879086E-4</v>
      </c>
      <c r="AL20" s="8">
        <f>I20*AF!F18*ACT2FLO!G64/1000</f>
        <v>6.3488626363770298E-2</v>
      </c>
      <c r="AM20" s="8">
        <f>J20*AF!G18*ACT2FLO!H64/1000</f>
        <v>2.5930071098391977E-3</v>
      </c>
      <c r="AN20" s="8">
        <f>K20*AF!H18*ACT2FLO!I64/1000</f>
        <v>6.3337381155700908E-5</v>
      </c>
      <c r="AO20" s="8">
        <f>L20*AF!I18*ACT2FLO!J64/1000</f>
        <v>9.6935391833724192E-4</v>
      </c>
      <c r="AP20" s="8">
        <f>M20*AF!J18*ACT2FLO!K64/1000</f>
        <v>0</v>
      </c>
      <c r="AQ20" s="8">
        <f>N20*AF!K18*ACT2FLO!L64/1000</f>
        <v>1.5758252701260844E-3</v>
      </c>
      <c r="AR20" s="8">
        <f>O20*AF!L18*ACT2FLO!M64/1000</f>
        <v>3.5990272113500129E-3</v>
      </c>
      <c r="AS20" s="8">
        <f>P20*AF!M18*ACT2FLO!N64/1000</f>
        <v>1.7797161047785614E-4</v>
      </c>
      <c r="AT20" s="8">
        <f>Q20*AF!N18*ACT2FLO!O64/1000</f>
        <v>4.403522808483561E-4</v>
      </c>
      <c r="AU20" s="8">
        <f>R20*AF!O18*ACT2FLO!P64/1000</f>
        <v>1.8358455782674653E-4</v>
      </c>
      <c r="AV20" s="8">
        <f>S20*AF!P18*ACT2FLO!Q64/1000</f>
        <v>7.7574901112316191E-4</v>
      </c>
      <c r="AW20" s="8">
        <f>T20*AF!Q18*ACT2FLO!R64/1000</f>
        <v>3.905772844351894E-4</v>
      </c>
      <c r="AX20" s="8">
        <f>U20*AF!R18*ACT2FLO!S64/1000</f>
        <v>3.3137919084727874E-3</v>
      </c>
      <c r="AY20" s="8">
        <f>V20*AF!S18*ACT2FLO!T64/1000</f>
        <v>2.1424091858635616E-4</v>
      </c>
      <c r="AZ20" s="8">
        <f>W20*AF!T18*ACT2FLO!U64/1000</f>
        <v>2.8440902689588219E-3</v>
      </c>
      <c r="BA20" s="8">
        <f>X20*AF!U18*ACT2FLO!V64/1000</f>
        <v>1.7015645412126712E-4</v>
      </c>
      <c r="BB20" s="8">
        <f>Y20*AF!V18*ACT2FLO!W64/1000</f>
        <v>8.979522149006391E-5</v>
      </c>
      <c r="BC20" s="8">
        <f>Z20*AF!W18*ACT2FLO!X64/1000</f>
        <v>1.454532193377534E-3</v>
      </c>
      <c r="BD20" s="8">
        <f>AA20*AF!X18*ACT2FLO!Y64/1000</f>
        <v>0</v>
      </c>
      <c r="BE20" s="8">
        <f>AB20*AF!Y18*ACT2FLO!Z64/1000</f>
        <v>1.6365277589324657E-4</v>
      </c>
      <c r="BF20" s="8">
        <f>AC20*AF!Z18*ACT2FLO!AA64/1000</f>
        <v>0</v>
      </c>
      <c r="BG20" s="8">
        <f>AD20*AF!AA18*ACT2FLO!AB64/1000</f>
        <v>7.6865449633210022E-5</v>
      </c>
      <c r="BH20" s="8">
        <f>AE20*AF!AB18*ACT2FLO!AC64/1000</f>
        <v>6.39670100183356E-5</v>
      </c>
      <c r="BI20" s="8">
        <f>AF20*AF!AC18*ACT2FLO!AD64/1000</f>
        <v>8.8034647893123284E-5</v>
      </c>
      <c r="BJ20" s="8">
        <f>AG20*AF!AD18*ACT2FLO!AE64/1000</f>
        <v>0</v>
      </c>
      <c r="BM20" s="82" t="str">
        <f>BM12</f>
        <v>Technology</v>
      </c>
      <c r="BN20" s="332" t="str">
        <f t="shared" ref="BN20:CN20" si="36">BN12</f>
        <v>IE</v>
      </c>
      <c r="BO20" s="332" t="str">
        <f t="shared" si="36"/>
        <v>IE-CW</v>
      </c>
      <c r="BP20" s="332" t="str">
        <f t="shared" si="36"/>
        <v>IE-D</v>
      </c>
      <c r="BQ20" s="332" t="str">
        <f t="shared" si="36"/>
        <v>IE-KE</v>
      </c>
      <c r="BR20" s="332" t="str">
        <f t="shared" si="36"/>
        <v>IE-KK</v>
      </c>
      <c r="BS20" s="332" t="str">
        <f t="shared" si="36"/>
        <v>IE-LS</v>
      </c>
      <c r="BT20" s="332" t="str">
        <f t="shared" si="36"/>
        <v>IE-LD</v>
      </c>
      <c r="BU20" s="332" t="str">
        <f t="shared" si="36"/>
        <v>IE-LH</v>
      </c>
      <c r="BV20" s="332" t="str">
        <f t="shared" si="36"/>
        <v>IE-MH</v>
      </c>
      <c r="BW20" s="332" t="str">
        <f t="shared" si="36"/>
        <v>IE-OY</v>
      </c>
      <c r="BX20" s="332" t="str">
        <f t="shared" si="36"/>
        <v>IE-WH</v>
      </c>
      <c r="BY20" s="332" t="str">
        <f t="shared" si="36"/>
        <v>IE-WX</v>
      </c>
      <c r="BZ20" s="332" t="str">
        <f t="shared" si="36"/>
        <v>IE-WW</v>
      </c>
      <c r="CA20" s="332" t="str">
        <f t="shared" si="36"/>
        <v>IE-CE</v>
      </c>
      <c r="CB20" s="332" t="str">
        <f t="shared" si="36"/>
        <v>IE-CO</v>
      </c>
      <c r="CC20" s="332" t="str">
        <f t="shared" si="36"/>
        <v>IE-KY</v>
      </c>
      <c r="CD20" s="332" t="str">
        <f t="shared" si="36"/>
        <v>IE-LK</v>
      </c>
      <c r="CE20" s="332" t="str">
        <f t="shared" si="36"/>
        <v>IE-TA</v>
      </c>
      <c r="CF20" s="332" t="str">
        <f t="shared" si="36"/>
        <v>IE-WD</v>
      </c>
      <c r="CG20" s="332" t="str">
        <f t="shared" si="36"/>
        <v>IE-G</v>
      </c>
      <c r="CH20" s="332" t="str">
        <f t="shared" si="36"/>
        <v>IE-LM</v>
      </c>
      <c r="CI20" s="332" t="str">
        <f t="shared" si="36"/>
        <v>IE-MO</v>
      </c>
      <c r="CJ20" s="332" t="str">
        <f t="shared" si="36"/>
        <v>IE-RN</v>
      </c>
      <c r="CK20" s="332" t="str">
        <f t="shared" si="36"/>
        <v>IE-SO</v>
      </c>
      <c r="CL20" s="332" t="str">
        <f t="shared" si="36"/>
        <v>IE-CN</v>
      </c>
      <c r="CM20" s="332" t="str">
        <f t="shared" si="36"/>
        <v>IE-DL</v>
      </c>
      <c r="CN20" s="332" t="str">
        <f t="shared" si="36"/>
        <v>IE-MN</v>
      </c>
    </row>
    <row r="21" spans="3:92" ht="15.5">
      <c r="C21" s="143" t="s">
        <v>560</v>
      </c>
      <c r="D21" s="143"/>
      <c r="E21" s="142"/>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0"/>
      <c r="AI21" s="143" t="str">
        <f>C21</f>
        <v>*Large sevice vehicle</v>
      </c>
      <c r="AJ21" s="319"/>
      <c r="AK21" s="319"/>
      <c r="AL21" s="319"/>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19"/>
      <c r="BM21" s="329" t="s">
        <v>1000</v>
      </c>
      <c r="BN21" s="333">
        <f>BN6+BN7-BN29</f>
        <v>-0.59655451506099766</v>
      </c>
      <c r="BO21" s="333">
        <f t="shared" ref="BO21:CN21" si="37">BO6+BO7-BO29</f>
        <v>-3.1517603070495281E-3</v>
      </c>
      <c r="BP21" s="333">
        <f t="shared" si="37"/>
        <v>-0.89141106513013479</v>
      </c>
      <c r="BQ21" s="333">
        <f t="shared" si="37"/>
        <v>7.5590908462153772E-2</v>
      </c>
      <c r="BR21" s="333">
        <f t="shared" si="37"/>
        <v>7.9435948417108326E-2</v>
      </c>
      <c r="BS21" s="333">
        <f t="shared" si="37"/>
        <v>-1.9813840353940793E-3</v>
      </c>
      <c r="BT21" s="333">
        <f t="shared" si="37"/>
        <v>2.3205843333812412E-2</v>
      </c>
      <c r="BU21" s="333">
        <f t="shared" si="37"/>
        <v>1.3411024677606964E-2</v>
      </c>
      <c r="BV21" s="333">
        <f t="shared" si="37"/>
        <v>0.22510600347225351</v>
      </c>
      <c r="BW21" s="333">
        <f t="shared" si="37"/>
        <v>-5.7616871544297288E-2</v>
      </c>
      <c r="BX21" s="333">
        <f t="shared" si="37"/>
        <v>-9.1507771521531861E-2</v>
      </c>
      <c r="BY21" s="333">
        <f t="shared" si="37"/>
        <v>0.25555009028773518</v>
      </c>
      <c r="BZ21" s="333">
        <f t="shared" si="37"/>
        <v>-0.13203498340608325</v>
      </c>
      <c r="CA21" s="333">
        <f t="shared" si="37"/>
        <v>-0.12662200471541449</v>
      </c>
      <c r="CB21" s="333">
        <f t="shared" si="37"/>
        <v>-0.42301619523358491</v>
      </c>
      <c r="CC21" s="333">
        <f t="shared" si="37"/>
        <v>-0.21523189781081187</v>
      </c>
      <c r="CD21" s="333">
        <f t="shared" si="37"/>
        <v>-2.9204805378824084E-2</v>
      </c>
      <c r="CE21" s="333">
        <f t="shared" si="37"/>
        <v>2.9993218923668685E-2</v>
      </c>
      <c r="CF21" s="333">
        <f t="shared" si="37"/>
        <v>-0.2144988963545004</v>
      </c>
      <c r="CG21" s="333">
        <f t="shared" si="37"/>
        <v>-0.20497432659651604</v>
      </c>
      <c r="CH21" s="333">
        <f t="shared" si="37"/>
        <v>-1.5688754406707694E-2</v>
      </c>
      <c r="CI21" s="333">
        <f t="shared" si="37"/>
        <v>-0.14657533529183372</v>
      </c>
      <c r="CJ21" s="333">
        <f t="shared" si="37"/>
        <v>-5.9512522965203818E-3</v>
      </c>
      <c r="CK21" s="333">
        <f t="shared" si="37"/>
        <v>-6.552319193415472E-2</v>
      </c>
      <c r="CL21" s="333">
        <f t="shared" si="37"/>
        <v>8.4078673678353033E-2</v>
      </c>
      <c r="CM21" s="333">
        <f t="shared" si="37"/>
        <v>-8.8464060033277281E-2</v>
      </c>
      <c r="CN21" s="333">
        <f t="shared" si="37"/>
        <v>0.3875006220799444</v>
      </c>
    </row>
    <row r="22" spans="3:92">
      <c r="C22" t="str">
        <f>Processes!D25</f>
        <v>T-BUS-ICE_DST00</v>
      </c>
      <c r="D22" t="s">
        <v>1089</v>
      </c>
      <c r="E22" t="str">
        <f>Commodities!C9&amp;","&amp;Commodities!C11</f>
        <v>TRADST,TRABDL</v>
      </c>
      <c r="F22" t="str">
        <f>Commodities!C25&amp;","&amp;Commodities!C26&amp;","&amp;Commodities!C27</f>
        <v>TRAPS,TRAPM,TRAPL</v>
      </c>
      <c r="G22" s="9">
        <f>SUM(H22:AG22)</f>
        <v>10.695000000000004</v>
      </c>
      <c r="H22" s="8">
        <f t="shared" ref="H22:AG22" si="38">F198/1000</f>
        <v>0.14899999999999999</v>
      </c>
      <c r="I22" s="8">
        <f t="shared" si="38"/>
        <v>3.0659999999999998</v>
      </c>
      <c r="J22" s="8">
        <f t="shared" si="38"/>
        <v>0.501</v>
      </c>
      <c r="K22" s="8">
        <f t="shared" si="38"/>
        <v>0.29499999999999998</v>
      </c>
      <c r="L22" s="8">
        <f t="shared" si="38"/>
        <v>0.19800000000000001</v>
      </c>
      <c r="M22" s="8">
        <f t="shared" si="38"/>
        <v>0.105</v>
      </c>
      <c r="N22" s="8">
        <f t="shared" si="38"/>
        <v>0.23</v>
      </c>
      <c r="O22" s="8">
        <f t="shared" si="38"/>
        <v>0.376</v>
      </c>
      <c r="P22" s="8">
        <f t="shared" si="38"/>
        <v>0.21099999999999999</v>
      </c>
      <c r="Q22" s="8">
        <f t="shared" si="38"/>
        <v>0.16</v>
      </c>
      <c r="R22" s="8">
        <f t="shared" si="38"/>
        <v>0.28899999999999998</v>
      </c>
      <c r="S22" s="8">
        <f t="shared" si="38"/>
        <v>0.251</v>
      </c>
      <c r="T22" s="8">
        <f t="shared" si="38"/>
        <v>0.23799999999999999</v>
      </c>
      <c r="U22" s="8">
        <f t="shared" si="38"/>
        <v>0.89700000000000002</v>
      </c>
      <c r="V22" s="8">
        <f t="shared" si="38"/>
        <v>0.52400000000000002</v>
      </c>
      <c r="W22" s="8">
        <f t="shared" si="38"/>
        <v>0.314</v>
      </c>
      <c r="X22" s="8">
        <f t="shared" si="38"/>
        <v>0.39100000000000001</v>
      </c>
      <c r="Y22" s="8">
        <f t="shared" si="38"/>
        <v>0.17899999999999999</v>
      </c>
      <c r="Z22" s="8">
        <f t="shared" si="38"/>
        <v>0.59599999999999997</v>
      </c>
      <c r="AA22" s="8">
        <f t="shared" si="38"/>
        <v>9.9000000000000005E-2</v>
      </c>
      <c r="AB22" s="8">
        <f t="shared" si="38"/>
        <v>0.34100000000000003</v>
      </c>
      <c r="AC22" s="8">
        <f t="shared" si="38"/>
        <v>0.126</v>
      </c>
      <c r="AD22" s="8">
        <f t="shared" si="38"/>
        <v>0.11899999999999999</v>
      </c>
      <c r="AE22" s="8">
        <f t="shared" si="38"/>
        <v>0.19400000000000001</v>
      </c>
      <c r="AF22" s="8">
        <f t="shared" si="38"/>
        <v>0.625</v>
      </c>
      <c r="AG22" s="8">
        <f t="shared" si="38"/>
        <v>0.221</v>
      </c>
      <c r="AH22" s="140"/>
      <c r="AI22" s="52" t="str">
        <f t="shared" si="3"/>
        <v>T-BUS-ICE_DST00</v>
      </c>
      <c r="AJ22" s="8">
        <f>G22*AF!D19*ACT2FLO!E65/1000</f>
        <v>10.519481681250003</v>
      </c>
      <c r="AK22" s="8">
        <f>H22*AF!E19*ACT2FLO!F65/1000</f>
        <v>0.11808831099999999</v>
      </c>
      <c r="AL22" s="8">
        <f>I22*AF!F19*ACT2FLO!G65/1000</f>
        <v>3.5358560684999998</v>
      </c>
      <c r="AM22" s="8">
        <f>J22*AF!G19*ACT2FLO!H65/1000</f>
        <v>0.45269495775000002</v>
      </c>
      <c r="AN22" s="8">
        <f>K22*AF!H19*ACT2FLO!I65/1000</f>
        <v>0.29241756999999996</v>
      </c>
      <c r="AO22" s="8">
        <f>L22*AF!I19*ACT2FLO!J65/1000</f>
        <v>0.1493744175</v>
      </c>
      <c r="AP22" s="8">
        <f>M22*AF!J19*ACT2FLO!K65/1000</f>
        <v>8.4421181249999991E-2</v>
      </c>
      <c r="AQ22" s="8">
        <f>N22*AF!K19*ACT2FLO!L65/1000</f>
        <v>0.22892670500000004</v>
      </c>
      <c r="AR22" s="8">
        <f>O22*AF!L19*ACT2FLO!M65/1000</f>
        <v>0.30109920200000001</v>
      </c>
      <c r="AS22" s="8">
        <f>P22*AF!M19*ACT2FLO!N65/1000</f>
        <v>0.18289379775</v>
      </c>
      <c r="AT22" s="8">
        <f>Q22*AF!N19*ACT2FLO!O65/1000</f>
        <v>0.14101548000000003</v>
      </c>
      <c r="AU22" s="8">
        <f>R22*AF!O19*ACT2FLO!P65/1000</f>
        <v>0.26711272949999998</v>
      </c>
      <c r="AV22" s="8">
        <f>S22*AF!P19*ACT2FLO!Q65/1000</f>
        <v>0.24114906574999997</v>
      </c>
      <c r="AW22" s="8">
        <f>T22*AF!Q19*ACT2FLO!R65/1000</f>
        <v>0.20048626149999998</v>
      </c>
      <c r="AX22" s="8">
        <f>U22*AF!R19*ACT2FLO!S65/1000</f>
        <v>0.79161909450000012</v>
      </c>
      <c r="AY22" s="8">
        <f>V22*AF!S19*ACT2FLO!T65/1000</f>
        <v>0.49987923200000006</v>
      </c>
      <c r="AZ22" s="8">
        <f>W22*AF!T19*ACT2FLO!U65/1000</f>
        <v>0.29683354150000002</v>
      </c>
      <c r="BA22" s="8">
        <f>X22*AF!U19*ACT2FLO!V65/1000</f>
        <v>0.34555485200000002</v>
      </c>
      <c r="BB22" s="8">
        <f>Y22*AF!V19*ACT2FLO!W65/1000</f>
        <v>0.1514736485</v>
      </c>
      <c r="BC22" s="8">
        <f>Z22*AF!W19*ACT2FLO!X65/1000</f>
        <v>0.57002661799999998</v>
      </c>
      <c r="BD22" s="8">
        <f>AA22*AF!X19*ACT2FLO!Y65/1000</f>
        <v>5.9836094999999999E-2</v>
      </c>
      <c r="BE22" s="8">
        <f>AB22*AF!Y19*ACT2FLO!Z65/1000</f>
        <v>0.34838503700000001</v>
      </c>
      <c r="BF22" s="8">
        <f>AC22*AF!Z19*ACT2FLO!AA65/1000</f>
        <v>0.10867027499999998</v>
      </c>
      <c r="BG22" s="8">
        <f>AD22*AF!AA19*ACT2FLO!AB65/1000</f>
        <v>0.11319791700000001</v>
      </c>
      <c r="BH22" s="8">
        <f>AE22*AF!AB19*ACT2FLO!AC65/1000</f>
        <v>0.20658056049999998</v>
      </c>
      <c r="BI22" s="8">
        <f>AF22*AF!AC19*ACT2FLO!AD65/1000</f>
        <v>0.55923812499999992</v>
      </c>
      <c r="BJ22" s="8">
        <f>AG22*AF!AD19*ACT2FLO!AE65/1000</f>
        <v>0.27255499050000004</v>
      </c>
      <c r="BM22" t="s">
        <v>338</v>
      </c>
      <c r="BN22" s="334" t="e">
        <f>BN8-BN30</f>
        <v>#REF!</v>
      </c>
      <c r="BO22" s="334" t="e">
        <f t="shared" ref="BO22:CN22" si="39">BO8-BO30</f>
        <v>#REF!</v>
      </c>
      <c r="BP22" s="334" t="e">
        <f t="shared" si="39"/>
        <v>#REF!</v>
      </c>
      <c r="BQ22" s="334" t="e">
        <f t="shared" si="39"/>
        <v>#REF!</v>
      </c>
      <c r="BR22" s="334" t="e">
        <f t="shared" si="39"/>
        <v>#REF!</v>
      </c>
      <c r="BS22" s="334" t="e">
        <f t="shared" si="39"/>
        <v>#REF!</v>
      </c>
      <c r="BT22" s="334" t="e">
        <f t="shared" si="39"/>
        <v>#REF!</v>
      </c>
      <c r="BU22" s="334" t="e">
        <f t="shared" si="39"/>
        <v>#REF!</v>
      </c>
      <c r="BV22" s="334" t="e">
        <f t="shared" si="39"/>
        <v>#REF!</v>
      </c>
      <c r="BW22" s="334" t="e">
        <f t="shared" si="39"/>
        <v>#REF!</v>
      </c>
      <c r="BX22" s="334" t="e">
        <f t="shared" si="39"/>
        <v>#REF!</v>
      </c>
      <c r="BY22" s="334" t="e">
        <f t="shared" si="39"/>
        <v>#REF!</v>
      </c>
      <c r="BZ22" s="334" t="e">
        <f t="shared" si="39"/>
        <v>#REF!</v>
      </c>
      <c r="CA22" s="334" t="e">
        <f t="shared" si="39"/>
        <v>#REF!</v>
      </c>
      <c r="CB22" s="334" t="e">
        <f t="shared" si="39"/>
        <v>#REF!</v>
      </c>
      <c r="CC22" s="334" t="e">
        <f t="shared" si="39"/>
        <v>#REF!</v>
      </c>
      <c r="CD22" s="334" t="e">
        <f t="shared" si="39"/>
        <v>#REF!</v>
      </c>
      <c r="CE22" s="334" t="e">
        <f t="shared" si="39"/>
        <v>#REF!</v>
      </c>
      <c r="CF22" s="334" t="e">
        <f t="shared" si="39"/>
        <v>#REF!</v>
      </c>
      <c r="CG22" s="334" t="e">
        <f t="shared" si="39"/>
        <v>#REF!</v>
      </c>
      <c r="CH22" s="334" t="e">
        <f t="shared" si="39"/>
        <v>#REF!</v>
      </c>
      <c r="CI22" s="334" t="e">
        <f t="shared" si="39"/>
        <v>#REF!</v>
      </c>
      <c r="CJ22" s="334" t="e">
        <f t="shared" si="39"/>
        <v>#REF!</v>
      </c>
      <c r="CK22" s="334" t="e">
        <f t="shared" si="39"/>
        <v>#REF!</v>
      </c>
      <c r="CL22" s="334" t="e">
        <f t="shared" si="39"/>
        <v>#REF!</v>
      </c>
      <c r="CM22" s="334" t="e">
        <f t="shared" si="39"/>
        <v>#REF!</v>
      </c>
      <c r="CN22" s="334" t="e">
        <f t="shared" si="39"/>
        <v>#REF!</v>
      </c>
    </row>
    <row r="23" spans="3:92" ht="15.5">
      <c r="C23" s="143" t="s">
        <v>113</v>
      </c>
      <c r="D23" s="143"/>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0"/>
      <c r="AI23" s="143" t="str">
        <f>C23</f>
        <v>*Rail</v>
      </c>
      <c r="AJ23" s="319"/>
      <c r="AK23" s="319"/>
      <c r="AL23" s="319"/>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19"/>
      <c r="BM23" s="84" t="s">
        <v>1</v>
      </c>
      <c r="BN23" s="335" t="e">
        <f>SUM(BN21:BN22)</f>
        <v>#REF!</v>
      </c>
      <c r="BO23" s="335" t="e">
        <f t="shared" ref="BO23" si="40">SUM(BO21:BO22)</f>
        <v>#REF!</v>
      </c>
      <c r="BP23" s="335" t="e">
        <f t="shared" ref="BP23" si="41">SUM(BP21:BP22)</f>
        <v>#REF!</v>
      </c>
      <c r="BQ23" s="335" t="e">
        <f t="shared" ref="BQ23" si="42">SUM(BQ21:BQ22)</f>
        <v>#REF!</v>
      </c>
      <c r="BR23" s="335" t="e">
        <f t="shared" ref="BR23" si="43">SUM(BR21:BR22)</f>
        <v>#REF!</v>
      </c>
      <c r="BS23" s="335" t="e">
        <f t="shared" ref="BS23" si="44">SUM(BS21:BS22)</f>
        <v>#REF!</v>
      </c>
      <c r="BT23" s="335" t="e">
        <f t="shared" ref="BT23" si="45">SUM(BT21:BT22)</f>
        <v>#REF!</v>
      </c>
      <c r="BU23" s="335" t="e">
        <f t="shared" ref="BU23" si="46">SUM(BU21:BU22)</f>
        <v>#REF!</v>
      </c>
      <c r="BV23" s="335" t="e">
        <f t="shared" ref="BV23" si="47">SUM(BV21:BV22)</f>
        <v>#REF!</v>
      </c>
      <c r="BW23" s="335" t="e">
        <f t="shared" ref="BW23" si="48">SUM(BW21:BW22)</f>
        <v>#REF!</v>
      </c>
      <c r="BX23" s="335" t="e">
        <f t="shared" ref="BX23" si="49">SUM(BX21:BX22)</f>
        <v>#REF!</v>
      </c>
      <c r="BY23" s="335" t="e">
        <f t="shared" ref="BY23" si="50">SUM(BY21:BY22)</f>
        <v>#REF!</v>
      </c>
      <c r="BZ23" s="335" t="e">
        <f t="shared" ref="BZ23" si="51">SUM(BZ21:BZ22)</f>
        <v>#REF!</v>
      </c>
      <c r="CA23" s="335" t="e">
        <f t="shared" ref="CA23" si="52">SUM(CA21:CA22)</f>
        <v>#REF!</v>
      </c>
      <c r="CB23" s="335" t="e">
        <f t="shared" ref="CB23" si="53">SUM(CB21:CB22)</f>
        <v>#REF!</v>
      </c>
      <c r="CC23" s="335" t="e">
        <f t="shared" ref="CC23" si="54">SUM(CC21:CC22)</f>
        <v>#REF!</v>
      </c>
      <c r="CD23" s="335" t="e">
        <f t="shared" ref="CD23" si="55">SUM(CD21:CD22)</f>
        <v>#REF!</v>
      </c>
      <c r="CE23" s="335" t="e">
        <f t="shared" ref="CE23" si="56">SUM(CE21:CE22)</f>
        <v>#REF!</v>
      </c>
      <c r="CF23" s="335" t="e">
        <f t="shared" ref="CF23" si="57">SUM(CF21:CF22)</f>
        <v>#REF!</v>
      </c>
      <c r="CG23" s="335" t="e">
        <f t="shared" ref="CG23" si="58">SUM(CG21:CG22)</f>
        <v>#REF!</v>
      </c>
      <c r="CH23" s="335" t="e">
        <f t="shared" ref="CH23" si="59">SUM(CH21:CH22)</f>
        <v>#REF!</v>
      </c>
      <c r="CI23" s="335" t="e">
        <f t="shared" ref="CI23" si="60">SUM(CI21:CI22)</f>
        <v>#REF!</v>
      </c>
      <c r="CJ23" s="335" t="e">
        <f t="shared" ref="CJ23" si="61">SUM(CJ21:CJ22)</f>
        <v>#REF!</v>
      </c>
      <c r="CK23" s="335" t="e">
        <f t="shared" ref="CK23" si="62">SUM(CK21:CK22)</f>
        <v>#REF!</v>
      </c>
      <c r="CL23" s="335" t="e">
        <f t="shared" ref="CL23" si="63">SUM(CL21:CL22)</f>
        <v>#REF!</v>
      </c>
      <c r="CM23" s="335" t="e">
        <f t="shared" ref="CM23" si="64">SUM(CM21:CM22)</f>
        <v>#REF!</v>
      </c>
      <c r="CN23" s="335" t="e">
        <f t="shared" ref="CN23" si="65">SUM(CN21:CN22)</f>
        <v>#REF!</v>
      </c>
    </row>
    <row r="24" spans="3:92">
      <c r="C24" t="str">
        <f>Processes!D27</f>
        <v>T-LPT-BEV_ELC00</v>
      </c>
      <c r="D24" t="s">
        <v>1089</v>
      </c>
      <c r="E24" t="str">
        <f>Commodities!C15</f>
        <v>TRAELC</v>
      </c>
      <c r="F24" t="str">
        <f>Commodities!C25&amp;","&amp;Commodities!C26</f>
        <v>TRAPS,TRAPM</v>
      </c>
      <c r="G24" s="188">
        <f t="shared" ref="G24:G26" si="66">SUM(H24:AG24)</f>
        <v>7.2999999999999995E-2</v>
      </c>
      <c r="H24" s="269">
        <f t="shared" ref="H24:Q26" si="67">F199/1000</f>
        <v>0</v>
      </c>
      <c r="I24" s="269">
        <f t="shared" si="67"/>
        <v>7.2999999999999995E-2</v>
      </c>
      <c r="J24" s="269">
        <f t="shared" si="67"/>
        <v>0</v>
      </c>
      <c r="K24" s="269">
        <f t="shared" si="67"/>
        <v>0</v>
      </c>
      <c r="L24" s="269">
        <f t="shared" si="67"/>
        <v>0</v>
      </c>
      <c r="M24" s="269">
        <f t="shared" si="67"/>
        <v>0</v>
      </c>
      <c r="N24" s="269">
        <f t="shared" si="67"/>
        <v>0</v>
      </c>
      <c r="O24" s="269">
        <f t="shared" si="67"/>
        <v>0</v>
      </c>
      <c r="P24" s="269">
        <f t="shared" si="67"/>
        <v>0</v>
      </c>
      <c r="Q24" s="269">
        <f t="shared" si="67"/>
        <v>0</v>
      </c>
      <c r="R24" s="269">
        <f t="shared" ref="R24:AA26" si="68">P199/1000</f>
        <v>0</v>
      </c>
      <c r="S24" s="269">
        <f t="shared" si="68"/>
        <v>0</v>
      </c>
      <c r="T24" s="269">
        <f t="shared" si="68"/>
        <v>0</v>
      </c>
      <c r="U24" s="269">
        <f t="shared" si="68"/>
        <v>0</v>
      </c>
      <c r="V24" s="269">
        <f t="shared" si="68"/>
        <v>0</v>
      </c>
      <c r="W24" s="269">
        <f t="shared" si="68"/>
        <v>0</v>
      </c>
      <c r="X24" s="269">
        <f t="shared" si="68"/>
        <v>0</v>
      </c>
      <c r="Y24" s="269">
        <f t="shared" si="68"/>
        <v>0</v>
      </c>
      <c r="Z24" s="269">
        <f t="shared" si="68"/>
        <v>0</v>
      </c>
      <c r="AA24" s="269">
        <f t="shared" si="68"/>
        <v>0</v>
      </c>
      <c r="AB24" s="269">
        <f t="shared" ref="AB24:AG26" si="69">Z199/1000</f>
        <v>0</v>
      </c>
      <c r="AC24" s="269">
        <f t="shared" si="69"/>
        <v>0</v>
      </c>
      <c r="AD24" s="269">
        <f t="shared" si="69"/>
        <v>0</v>
      </c>
      <c r="AE24" s="269">
        <f t="shared" si="69"/>
        <v>0</v>
      </c>
      <c r="AF24" s="269">
        <f t="shared" si="69"/>
        <v>0</v>
      </c>
      <c r="AG24" s="269">
        <f t="shared" si="69"/>
        <v>0</v>
      </c>
      <c r="AH24" s="140"/>
      <c r="AI24" s="52" t="str">
        <f t="shared" si="3"/>
        <v>T-LPT-BEV_ELC00</v>
      </c>
      <c r="AJ24" s="8">
        <f>G24*AF!D20*ACT2FLO!E66/1000</f>
        <v>0.31718342830155838</v>
      </c>
      <c r="AK24" s="8">
        <f>H24*AF!E20*ACT2FLO!F66/1000</f>
        <v>0</v>
      </c>
      <c r="AL24" s="8">
        <f>I24*AF!F20*ACT2FLO!G66/1000</f>
        <v>0.31718342830155838</v>
      </c>
      <c r="AM24" s="8">
        <f>J24*AF!G20*ACT2FLO!H66/1000</f>
        <v>0</v>
      </c>
      <c r="AN24" s="8">
        <f>K24*AF!H20*ACT2FLO!I66/1000</f>
        <v>0</v>
      </c>
      <c r="AO24" s="8">
        <f>L24*AF!I20*ACT2FLO!J66/1000</f>
        <v>0</v>
      </c>
      <c r="AP24" s="8">
        <f>M24*AF!J20*ACT2FLO!K66/1000</f>
        <v>0</v>
      </c>
      <c r="AQ24" s="8">
        <f>N24*AF!K20*ACT2FLO!L66/1000</f>
        <v>0</v>
      </c>
      <c r="AR24" s="8">
        <f>O24*AF!L20*ACT2FLO!M66/1000</f>
        <v>0</v>
      </c>
      <c r="AS24" s="8">
        <f>P24*AF!M20*ACT2FLO!N66/1000</f>
        <v>0</v>
      </c>
      <c r="AT24" s="8">
        <f>Q24*AF!N20*ACT2FLO!O66/1000</f>
        <v>0</v>
      </c>
      <c r="AU24" s="8">
        <f>R24*AF!O20*ACT2FLO!P66/1000</f>
        <v>0</v>
      </c>
      <c r="AV24" s="8">
        <f>S24*AF!P20*ACT2FLO!Q66/1000</f>
        <v>0</v>
      </c>
      <c r="AW24" s="8">
        <f>T24*AF!Q20*ACT2FLO!R66/1000</f>
        <v>0</v>
      </c>
      <c r="AX24" s="8">
        <f>U24*AF!R20*ACT2FLO!S66/1000</f>
        <v>0</v>
      </c>
      <c r="AY24" s="8">
        <f>V24*AF!S20*ACT2FLO!T66/1000</f>
        <v>0</v>
      </c>
      <c r="AZ24" s="8">
        <f>W24*AF!T20*ACT2FLO!U66/1000</f>
        <v>0</v>
      </c>
      <c r="BA24" s="8">
        <f>X24*AF!U20*ACT2FLO!V66/1000</f>
        <v>0</v>
      </c>
      <c r="BB24" s="8">
        <f>Y24*AF!V20*ACT2FLO!W66/1000</f>
        <v>0</v>
      </c>
      <c r="BC24" s="8">
        <f>Z24*AF!W20*ACT2FLO!X66/1000</f>
        <v>0</v>
      </c>
      <c r="BD24" s="8">
        <f>AA24*AF!X20*ACT2FLO!Y66/1000</f>
        <v>0</v>
      </c>
      <c r="BE24" s="8">
        <f>AB24*AF!Y20*ACT2FLO!Z66/1000</f>
        <v>0</v>
      </c>
      <c r="BF24" s="8">
        <f>AC24*AF!Z20*ACT2FLO!AA66/1000</f>
        <v>0</v>
      </c>
      <c r="BG24" s="8">
        <f>AD24*AF!AA20*ACT2FLO!AB66/1000</f>
        <v>0</v>
      </c>
      <c r="BH24" s="8">
        <f>AE24*AF!AB20*ACT2FLO!AC66/1000</f>
        <v>0</v>
      </c>
      <c r="BI24" s="8">
        <f>AF24*AF!AC20*ACT2FLO!AD66/1000</f>
        <v>0</v>
      </c>
      <c r="BJ24" s="8">
        <f>AG24*AF!AD20*ACT2FLO!AE66/1000</f>
        <v>0</v>
      </c>
    </row>
    <row r="25" spans="3:92">
      <c r="C25" t="str">
        <f>Processes!D28</f>
        <v>T-HPT-BEV_ELC00</v>
      </c>
      <c r="D25" t="s">
        <v>1089</v>
      </c>
      <c r="E25" t="str">
        <f>Commodities!C15</f>
        <v>TRAELC</v>
      </c>
      <c r="F25" t="str">
        <f>Commodities!C27</f>
        <v>TRAPL</v>
      </c>
      <c r="G25" s="188">
        <f t="shared" si="66"/>
        <v>5.1999999999999998E-2</v>
      </c>
      <c r="H25" s="5">
        <f t="shared" si="67"/>
        <v>0</v>
      </c>
      <c r="I25" s="5">
        <f t="shared" si="67"/>
        <v>5.1999999999999998E-2</v>
      </c>
      <c r="J25" s="5">
        <f t="shared" si="67"/>
        <v>0</v>
      </c>
      <c r="K25" s="5">
        <f t="shared" si="67"/>
        <v>0</v>
      </c>
      <c r="L25" s="5">
        <f t="shared" si="67"/>
        <v>0</v>
      </c>
      <c r="M25" s="5">
        <f t="shared" si="67"/>
        <v>0</v>
      </c>
      <c r="N25" s="5">
        <f t="shared" si="67"/>
        <v>0</v>
      </c>
      <c r="O25" s="5">
        <f t="shared" si="67"/>
        <v>0</v>
      </c>
      <c r="P25" s="5">
        <f t="shared" si="67"/>
        <v>0</v>
      </c>
      <c r="Q25" s="5">
        <f t="shared" si="67"/>
        <v>0</v>
      </c>
      <c r="R25" s="5">
        <f t="shared" si="68"/>
        <v>0</v>
      </c>
      <c r="S25" s="5">
        <f t="shared" si="68"/>
        <v>0</v>
      </c>
      <c r="T25" s="5">
        <f t="shared" si="68"/>
        <v>0</v>
      </c>
      <c r="U25" s="5">
        <f t="shared" si="68"/>
        <v>0</v>
      </c>
      <c r="V25" s="5">
        <f t="shared" si="68"/>
        <v>0</v>
      </c>
      <c r="W25" s="5">
        <f t="shared" si="68"/>
        <v>0</v>
      </c>
      <c r="X25" s="5">
        <f t="shared" si="68"/>
        <v>0</v>
      </c>
      <c r="Y25" s="5">
        <f t="shared" si="68"/>
        <v>0</v>
      </c>
      <c r="Z25" s="5">
        <f t="shared" si="68"/>
        <v>0</v>
      </c>
      <c r="AA25" s="5">
        <f t="shared" si="68"/>
        <v>0</v>
      </c>
      <c r="AB25" s="5">
        <f t="shared" si="69"/>
        <v>0</v>
      </c>
      <c r="AC25" s="5">
        <f t="shared" si="69"/>
        <v>0</v>
      </c>
      <c r="AD25" s="5">
        <f t="shared" si="69"/>
        <v>0</v>
      </c>
      <c r="AE25" s="5">
        <f t="shared" si="69"/>
        <v>0</v>
      </c>
      <c r="AF25" s="5">
        <f t="shared" si="69"/>
        <v>0</v>
      </c>
      <c r="AG25" s="5">
        <f t="shared" si="69"/>
        <v>0</v>
      </c>
      <c r="AH25" s="140"/>
      <c r="AI25" s="52" t="str">
        <f t="shared" si="3"/>
        <v>T-HPT-BEV_ELC00</v>
      </c>
      <c r="AJ25" s="8">
        <f>G25*AF!D21*ACT2FLO!E67/1000</f>
        <v>0.64293853613072993</v>
      </c>
      <c r="AK25" s="8">
        <f>H25*AF!E21*ACT2FLO!F67/1000</f>
        <v>0</v>
      </c>
      <c r="AL25" s="8">
        <f>I25*AF!F21*ACT2FLO!G67/1000</f>
        <v>0.64293853613072993</v>
      </c>
      <c r="AM25" s="8">
        <f>J25*AF!G21*ACT2FLO!H67/1000</f>
        <v>0</v>
      </c>
      <c r="AN25" s="8">
        <f>K25*AF!H21*ACT2FLO!I67/1000</f>
        <v>0</v>
      </c>
      <c r="AO25" s="8">
        <f>L25*AF!I21*ACT2FLO!J67/1000</f>
        <v>0</v>
      </c>
      <c r="AP25" s="8">
        <f>M25*AF!J21*ACT2FLO!K67/1000</f>
        <v>0</v>
      </c>
      <c r="AQ25" s="8">
        <f>N25*AF!K21*ACT2FLO!L67/1000</f>
        <v>0</v>
      </c>
      <c r="AR25" s="8">
        <f>O25*AF!L21*ACT2FLO!M67/1000</f>
        <v>0</v>
      </c>
      <c r="AS25" s="8">
        <f>P25*AF!M21*ACT2FLO!N67/1000</f>
        <v>0</v>
      </c>
      <c r="AT25" s="8">
        <f>Q25*AF!N21*ACT2FLO!O67/1000</f>
        <v>0</v>
      </c>
      <c r="AU25" s="8">
        <f>R25*AF!O21*ACT2FLO!P67/1000</f>
        <v>0</v>
      </c>
      <c r="AV25" s="8">
        <f>S25*AF!P21*ACT2FLO!Q67/1000</f>
        <v>0</v>
      </c>
      <c r="AW25" s="8">
        <f>T25*AF!Q21*ACT2FLO!R67/1000</f>
        <v>0</v>
      </c>
      <c r="AX25" s="8">
        <f>U25*AF!R21*ACT2FLO!S67/1000</f>
        <v>0</v>
      </c>
      <c r="AY25" s="8">
        <f>V25*AF!S21*ACT2FLO!T67/1000</f>
        <v>0</v>
      </c>
      <c r="AZ25" s="8">
        <f>W25*AF!T21*ACT2FLO!U67/1000</f>
        <v>0</v>
      </c>
      <c r="BA25" s="8">
        <f>X25*AF!U21*ACT2FLO!V67/1000</f>
        <v>0</v>
      </c>
      <c r="BB25" s="8">
        <f>Y25*AF!V21*ACT2FLO!W67/1000</f>
        <v>0</v>
      </c>
      <c r="BC25" s="8">
        <f>Z25*AF!W21*ACT2FLO!X67/1000</f>
        <v>0</v>
      </c>
      <c r="BD25" s="8">
        <f>AA25*AF!X21*ACT2FLO!Y67/1000</f>
        <v>0</v>
      </c>
      <c r="BE25" s="8">
        <f>AB25*AF!Y21*ACT2FLO!Z67/1000</f>
        <v>0</v>
      </c>
      <c r="BF25" s="8">
        <f>AC25*AF!Z21*ACT2FLO!AA67/1000</f>
        <v>0</v>
      </c>
      <c r="BG25" s="8">
        <f>AD25*AF!AA21*ACT2FLO!AB67/1000</f>
        <v>0</v>
      </c>
      <c r="BH25" s="8">
        <f>AE25*AF!AB21*ACT2FLO!AC67/1000</f>
        <v>0</v>
      </c>
      <c r="BI25" s="8">
        <f>AF25*AF!AC21*ACT2FLO!AD67/1000</f>
        <v>0</v>
      </c>
      <c r="BJ25" s="8">
        <f>AG25*AF!AD21*ACT2FLO!AE67/1000</f>
        <v>0</v>
      </c>
    </row>
    <row r="26" spans="3:92">
      <c r="C26" t="str">
        <f>Processes!D29</f>
        <v>T-HPT-ICE_DST00</v>
      </c>
      <c r="D26" t="s">
        <v>1089</v>
      </c>
      <c r="E26" t="str">
        <f>Commodities!C9&amp;","&amp;Commodities!C11</f>
        <v>TRADST,TRABDL</v>
      </c>
      <c r="F26" t="str">
        <f>Commodities!C27</f>
        <v>TRAPL</v>
      </c>
      <c r="G26" s="188">
        <f t="shared" si="66"/>
        <v>0.14399999999999996</v>
      </c>
      <c r="H26" s="8">
        <f t="shared" si="67"/>
        <v>1.7216380556777638E-3</v>
      </c>
      <c r="I26" s="8">
        <f t="shared" si="67"/>
        <v>4.0744476376377785E-2</v>
      </c>
      <c r="J26" s="8">
        <f t="shared" si="67"/>
        <v>6.7285771436191438E-3</v>
      </c>
      <c r="K26" s="8">
        <f t="shared" si="67"/>
        <v>3.0008007366861492E-3</v>
      </c>
      <c r="L26" s="8">
        <f t="shared" si="67"/>
        <v>2.5612586665098632E-3</v>
      </c>
      <c r="M26" s="8">
        <f t="shared" si="67"/>
        <v>1.236009840682169E-3</v>
      </c>
      <c r="N26" s="8">
        <f t="shared" si="67"/>
        <v>3.8974847039972759E-3</v>
      </c>
      <c r="O26" s="8">
        <f t="shared" si="67"/>
        <v>5.8981798098014073E-3</v>
      </c>
      <c r="P26" s="8">
        <f t="shared" si="67"/>
        <v>2.357560325628717E-3</v>
      </c>
      <c r="Q26" s="8">
        <f t="shared" si="67"/>
        <v>2.6844272149672429E-3</v>
      </c>
      <c r="R26" s="8">
        <f t="shared" si="68"/>
        <v>4.5276310857195624E-3</v>
      </c>
      <c r="S26" s="8">
        <f t="shared" si="68"/>
        <v>4.3069679631824896E-3</v>
      </c>
      <c r="T26" s="8">
        <f t="shared" si="68"/>
        <v>3.5930560820182822E-3</v>
      </c>
      <c r="U26" s="8">
        <f t="shared" si="68"/>
        <v>1.6416465397486056E-2</v>
      </c>
      <c r="V26" s="8">
        <f t="shared" si="68"/>
        <v>4.4666969769197543E-3</v>
      </c>
      <c r="W26" s="8">
        <f t="shared" si="68"/>
        <v>5.8937949731880214E-3</v>
      </c>
      <c r="X26" s="8">
        <f t="shared" si="68"/>
        <v>4.8249230081071149E-3</v>
      </c>
      <c r="Y26" s="8">
        <f t="shared" si="68"/>
        <v>3.5131915751496498E-3</v>
      </c>
      <c r="Z26" s="8">
        <f t="shared" si="68"/>
        <v>7.8037390812213227E-3</v>
      </c>
      <c r="AA26" s="8">
        <f t="shared" si="68"/>
        <v>9.6901865130573773E-4</v>
      </c>
      <c r="AB26" s="8">
        <f t="shared" si="69"/>
        <v>3.9465646338146896E-3</v>
      </c>
      <c r="AC26" s="8">
        <f t="shared" si="69"/>
        <v>1.9518268577542609E-3</v>
      </c>
      <c r="AD26" s="8">
        <f t="shared" si="69"/>
        <v>1.9817949479878144E-3</v>
      </c>
      <c r="AE26" s="8">
        <f t="shared" si="69"/>
        <v>2.3035814749053137E-3</v>
      </c>
      <c r="AF26" s="8">
        <f t="shared" si="69"/>
        <v>4.8140062769524089E-3</v>
      </c>
      <c r="AG26" s="8">
        <f t="shared" si="69"/>
        <v>1.8563281403399705E-3</v>
      </c>
      <c r="AH26" s="140"/>
      <c r="AI26" s="52" t="str">
        <f t="shared" si="3"/>
        <v>T-HPT-ICE_DST00</v>
      </c>
      <c r="AJ26" s="8">
        <f>G26*AF!D22*ACT2FLO!E68/1000</f>
        <v>1.2767155199999995</v>
      </c>
      <c r="AK26" s="8">
        <f>H26*AF!E22*ACT2FLO!F68/1000</f>
        <v>1.5264180732683506E-2</v>
      </c>
      <c r="AL26" s="8">
        <f>I26*AF!F22*ACT2FLO!G68/1000</f>
        <v>0.36124378711107558</v>
      </c>
      <c r="AM26" s="8">
        <f>J26*AF!G22*ACT2FLO!H68/1000</f>
        <v>5.9656103241498816E-2</v>
      </c>
      <c r="AN26" s="8">
        <f>K26*AF!H22*ACT2FLO!I68/1000</f>
        <v>2.6605339395518336E-2</v>
      </c>
      <c r="AO26" s="8">
        <f>L26*AF!I22*ACT2FLO!J68/1000</f>
        <v>2.2708324237969767E-2</v>
      </c>
      <c r="AP26" s="8">
        <f>M26*AF!J22*ACT2FLO!K68/1000</f>
        <v>1.0958562128275364E-2</v>
      </c>
      <c r="AQ26" s="8">
        <f>N26*AF!K22*ACT2FLO!L68/1000</f>
        <v>3.4555411184416164E-2</v>
      </c>
      <c r="AR26" s="8">
        <f>O26*AF!L22*ACT2FLO!M68/1000</f>
        <v>5.2293734048084059E-2</v>
      </c>
      <c r="AS26" s="8">
        <f>P26*AF!M22*ACT2FLO!N68/1000</f>
        <v>2.0902318451850255E-2</v>
      </c>
      <c r="AT26" s="8">
        <f>Q26*AF!N22*ACT2FLO!O68/1000</f>
        <v>2.3800346442076771E-2</v>
      </c>
      <c r="AU26" s="8">
        <f>R26*AF!O22*ACT2FLO!P68/1000</f>
        <v>4.0142339416476505E-2</v>
      </c>
      <c r="AV26" s="8">
        <f>S26*AF!P22*ACT2FLO!Q68/1000</f>
        <v>3.8185922519013003E-2</v>
      </c>
      <c r="AW26" s="8">
        <f>T26*AF!Q22*ACT2FLO!R68/1000</f>
        <v>3.1856322667660655E-2</v>
      </c>
      <c r="AX26" s="8">
        <f>U26*AF!R22*ACT2FLO!S68/1000</f>
        <v>0.1455496955313432</v>
      </c>
      <c r="AY26" s="8">
        <f>V26*AF!S22*ACT2FLO!T68/1000</f>
        <v>3.9602092733128702E-2</v>
      </c>
      <c r="AZ26" s="8">
        <f>W26*AF!T22*ACT2FLO!U68/1000</f>
        <v>5.2254857735882849E-2</v>
      </c>
      <c r="BA26" s="8">
        <f>X26*AF!U22*ACT2FLO!V68/1000</f>
        <v>4.2778153383718334E-2</v>
      </c>
      <c r="BB26" s="8">
        <f>Y26*AF!V22*ACT2FLO!W68/1000</f>
        <v>3.1148237560602809E-2</v>
      </c>
      <c r="BC26" s="8">
        <f>Z26*AF!W22*ACT2FLO!X68/1000</f>
        <v>6.9188574993234747E-2</v>
      </c>
      <c r="BD26" s="8">
        <f>AA26*AF!X22*ACT2FLO!Y68/1000</f>
        <v>8.5913968839687761E-3</v>
      </c>
      <c r="BE26" s="8">
        <f>AB26*AF!Y22*ACT2FLO!Z68/1000</f>
        <v>3.4990557768571746E-2</v>
      </c>
      <c r="BF26" s="8">
        <f>AC26*AF!Z22*ACT2FLO!AA68/1000</f>
        <v>1.7305053066997901E-2</v>
      </c>
      <c r="BG26" s="8">
        <f>AD26*AF!AA22*ACT2FLO!AB68/1000</f>
        <v>1.7570752552455802E-2</v>
      </c>
      <c r="BH26" s="8">
        <f>AE26*AF!AB22*ACT2FLO!AC68/1000</f>
        <v>2.0423737643028506E-2</v>
      </c>
      <c r="BI26" s="8">
        <f>AF26*AF!AC22*ACT2FLO!AD68/1000</f>
        <v>4.2681364771962209E-2</v>
      </c>
      <c r="BJ26" s="8">
        <f>AG26*AF!AD22*ACT2FLO!AE68/1000</f>
        <v>1.6458353798505406E-2</v>
      </c>
    </row>
    <row r="27" spans="3:92" ht="15.5">
      <c r="C27" s="143" t="s">
        <v>678</v>
      </c>
      <c r="D27" s="143"/>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0"/>
      <c r="AI27" s="143" t="s">
        <v>632</v>
      </c>
      <c r="AJ27" s="319"/>
      <c r="AK27" s="319"/>
      <c r="AL27" s="319"/>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19"/>
      <c r="BM27" t="s">
        <v>999</v>
      </c>
      <c r="BN27" s="101"/>
      <c r="BO27" s="101"/>
    </row>
    <row r="28" spans="3:92">
      <c r="C28" t="str">
        <f>Processes!D32</f>
        <v>T-LGT-ICE_GSL00</v>
      </c>
      <c r="D28" t="s">
        <v>1089</v>
      </c>
      <c r="E28" t="str">
        <f>Commodities!C8&amp;","&amp;Commodities!C10</f>
        <v>TRAGSL,TRAETH</v>
      </c>
      <c r="F28" t="str">
        <f>Commodities!C28</f>
        <v>TRAF</v>
      </c>
      <c r="G28" s="9">
        <f t="shared" ref="G28:G30" si="70">SUM(H28:AG28)</f>
        <v>0.89000000000000035</v>
      </c>
      <c r="H28" s="8">
        <f t="shared" ref="H28:Q32" si="71">F202/1000</f>
        <v>0.01</v>
      </c>
      <c r="I28" s="8">
        <f t="shared" si="71"/>
        <v>0.27800000000000002</v>
      </c>
      <c r="J28" s="8">
        <f t="shared" si="71"/>
        <v>4.9000000000000002E-2</v>
      </c>
      <c r="K28" s="8">
        <f t="shared" si="71"/>
        <v>1.4999999999999999E-2</v>
      </c>
      <c r="L28" s="8">
        <f t="shared" si="71"/>
        <v>2.1000000000000001E-2</v>
      </c>
      <c r="M28" s="8">
        <f t="shared" si="71"/>
        <v>8.0000000000000002E-3</v>
      </c>
      <c r="N28" s="8">
        <f t="shared" si="71"/>
        <v>1.4999999999999999E-2</v>
      </c>
      <c r="O28" s="8">
        <f t="shared" si="71"/>
        <v>2.1000000000000001E-2</v>
      </c>
      <c r="P28" s="8">
        <f t="shared" si="71"/>
        <v>0.01</v>
      </c>
      <c r="Q28" s="8">
        <f t="shared" si="71"/>
        <v>1.4E-2</v>
      </c>
      <c r="R28" s="8">
        <f t="shared" ref="R28:AA32" si="72">P202/1000</f>
        <v>2.8000000000000001E-2</v>
      </c>
      <c r="S28" s="8">
        <f t="shared" si="72"/>
        <v>4.5999999999999999E-2</v>
      </c>
      <c r="T28" s="8">
        <f t="shared" si="72"/>
        <v>1.6E-2</v>
      </c>
      <c r="U28" s="8">
        <f t="shared" si="72"/>
        <v>0.13100000000000001</v>
      </c>
      <c r="V28" s="8">
        <f t="shared" si="72"/>
        <v>2.1000000000000001E-2</v>
      </c>
      <c r="W28" s="8">
        <f t="shared" si="72"/>
        <v>1.4E-2</v>
      </c>
      <c r="X28" s="8">
        <f t="shared" si="72"/>
        <v>2.7E-2</v>
      </c>
      <c r="Y28" s="8">
        <f t="shared" si="72"/>
        <v>0.03</v>
      </c>
      <c r="Z28" s="8">
        <f t="shared" si="72"/>
        <v>4.3999999999999997E-2</v>
      </c>
      <c r="AA28" s="8">
        <f t="shared" si="72"/>
        <v>2E-3</v>
      </c>
      <c r="AB28" s="8">
        <f t="shared" ref="AB28:AG32" si="73">Z202/1000</f>
        <v>1.9E-2</v>
      </c>
      <c r="AC28" s="8">
        <f t="shared" si="73"/>
        <v>1.4E-2</v>
      </c>
      <c r="AD28" s="8">
        <f t="shared" si="73"/>
        <v>8.9999999999999993E-3</v>
      </c>
      <c r="AE28" s="8">
        <f t="shared" si="73"/>
        <v>7.0000000000000001E-3</v>
      </c>
      <c r="AF28" s="8">
        <f t="shared" si="73"/>
        <v>2.9000000000000001E-2</v>
      </c>
      <c r="AG28" s="8">
        <f t="shared" si="73"/>
        <v>1.2E-2</v>
      </c>
      <c r="AH28" s="140"/>
      <c r="AI28" s="52" t="str">
        <f>C49</f>
        <v>T-WLK_WLK</v>
      </c>
      <c r="AJ28" s="8">
        <f>G49*AF!D4*ACT2FLO!E50/1000</f>
        <v>37.6</v>
      </c>
      <c r="AK28" s="8">
        <f>H49*AF!E4*ACT2FLO!F50/1000</f>
        <v>0.44953882564919384</v>
      </c>
      <c r="AL28" s="8">
        <f>I49*AF!F4*ACT2FLO!G50/1000</f>
        <v>10.638835498276421</v>
      </c>
      <c r="AM28" s="8">
        <f>J49*AF!G4*ACT2FLO!H50/1000</f>
        <v>1.7569062541672209</v>
      </c>
      <c r="AN28" s="8">
        <f>K49*AF!H4*ACT2FLO!I50/1000</f>
        <v>0.78354241457916107</v>
      </c>
      <c r="AO28" s="8">
        <f>L49*AF!I4*ACT2FLO!J50/1000</f>
        <v>0.66877309625535331</v>
      </c>
      <c r="AP28" s="8">
        <f>M49*AF!J4*ACT2FLO!K50/1000</f>
        <v>0.32273590284478854</v>
      </c>
      <c r="AQ28" s="8">
        <f>N49*AF!K4*ACT2FLO!L50/1000</f>
        <v>1.0176765615992887</v>
      </c>
      <c r="AR28" s="8">
        <f>O49*AF!L4*ACT2FLO!M50/1000</f>
        <v>1.5400802836703673</v>
      </c>
      <c r="AS28" s="8">
        <f>P49*AF!M4*ACT2FLO!N50/1000</f>
        <v>0.61558519613638729</v>
      </c>
      <c r="AT28" s="8">
        <f>Q49*AF!N4*ACT2FLO!O50/1000</f>
        <v>0.70093377279700231</v>
      </c>
      <c r="AU28" s="8">
        <f>R49*AF!O4*ACT2FLO!P50/1000</f>
        <v>1.1822147834934413</v>
      </c>
      <c r="AV28" s="8">
        <f>S49*AF!P4*ACT2FLO!Q50/1000</f>
        <v>1.1245971903865388</v>
      </c>
      <c r="AW28" s="8">
        <f>T49*AF!Q4*ACT2FLO!R50/1000</f>
        <v>0.93818686586032929</v>
      </c>
      <c r="AX28" s="8">
        <f>U49*AF!R4*ACT2FLO!S50/1000</f>
        <v>4.2865215204546931</v>
      </c>
      <c r="AY28" s="8">
        <f>V49*AF!S4*ACT2FLO!T50/1000</f>
        <v>1.166304210640158</v>
      </c>
      <c r="AZ28" s="8">
        <f>W49*AF!T4*ACT2FLO!U50/1000</f>
        <v>1.5389353541102058</v>
      </c>
      <c r="BA28" s="8">
        <f>X49*AF!U4*ACT2FLO!V50/1000</f>
        <v>1.2598410076724134</v>
      </c>
      <c r="BB28" s="8">
        <f>Y49*AF!V4*ACT2FLO!W50/1000</f>
        <v>0.9173333557335196</v>
      </c>
      <c r="BC28" s="8">
        <f>Z49*AF!W4*ACT2FLO!X50/1000</f>
        <v>2.0376429823189008</v>
      </c>
      <c r="BD28" s="8">
        <f>AA49*AF!X4*ACT2FLO!Y50/1000</f>
        <v>0.25302153672983152</v>
      </c>
      <c r="BE28" s="8">
        <f>AB49*AF!Y4*ACT2FLO!Z50/1000</f>
        <v>1.0304918766071689</v>
      </c>
      <c r="BF28" s="8">
        <f>AC49*AF!Z4*ACT2FLO!AA50/1000</f>
        <v>0.50964367952472356</v>
      </c>
      <c r="BG28" s="8">
        <f>AD49*AF!AA4*ACT2FLO!AB50/1000</f>
        <v>0.51746868086348474</v>
      </c>
      <c r="BH28" s="8">
        <f>AE49*AF!AB4*ACT2FLO!AC50/1000</f>
        <v>0.60149071844749857</v>
      </c>
      <c r="BI28" s="8">
        <f>AF49*AF!AC4*ACT2FLO!AD50/1000</f>
        <v>1.2569905278709066</v>
      </c>
      <c r="BJ28" s="8">
        <f>AG49*AF!AD4*ACT2FLO!AE50/1000</f>
        <v>0.48470790331099228</v>
      </c>
      <c r="BM28" s="82" t="str">
        <f>BM20</f>
        <v>Technology</v>
      </c>
      <c r="BN28" s="82" t="str">
        <f t="shared" ref="BN28:CN28" si="74">BN20</f>
        <v>IE</v>
      </c>
      <c r="BO28" s="82" t="str">
        <f t="shared" si="74"/>
        <v>IE-CW</v>
      </c>
      <c r="BP28" s="82" t="str">
        <f t="shared" si="74"/>
        <v>IE-D</v>
      </c>
      <c r="BQ28" s="82" t="str">
        <f t="shared" si="74"/>
        <v>IE-KE</v>
      </c>
      <c r="BR28" s="82" t="str">
        <f t="shared" si="74"/>
        <v>IE-KK</v>
      </c>
      <c r="BS28" s="82" t="str">
        <f t="shared" si="74"/>
        <v>IE-LS</v>
      </c>
      <c r="BT28" s="82" t="str">
        <f t="shared" si="74"/>
        <v>IE-LD</v>
      </c>
      <c r="BU28" s="82" t="str">
        <f t="shared" si="74"/>
        <v>IE-LH</v>
      </c>
      <c r="BV28" s="82" t="str">
        <f t="shared" si="74"/>
        <v>IE-MH</v>
      </c>
      <c r="BW28" s="82" t="str">
        <f t="shared" si="74"/>
        <v>IE-OY</v>
      </c>
      <c r="BX28" s="82" t="str">
        <f t="shared" si="74"/>
        <v>IE-WH</v>
      </c>
      <c r="BY28" s="82" t="str">
        <f t="shared" si="74"/>
        <v>IE-WX</v>
      </c>
      <c r="BZ28" s="82" t="str">
        <f t="shared" si="74"/>
        <v>IE-WW</v>
      </c>
      <c r="CA28" s="82" t="str">
        <f t="shared" si="74"/>
        <v>IE-CE</v>
      </c>
      <c r="CB28" s="82" t="str">
        <f t="shared" si="74"/>
        <v>IE-CO</v>
      </c>
      <c r="CC28" s="82" t="str">
        <f t="shared" si="74"/>
        <v>IE-KY</v>
      </c>
      <c r="CD28" s="82" t="str">
        <f t="shared" si="74"/>
        <v>IE-LK</v>
      </c>
      <c r="CE28" s="82" t="str">
        <f t="shared" si="74"/>
        <v>IE-TA</v>
      </c>
      <c r="CF28" s="82" t="str">
        <f t="shared" si="74"/>
        <v>IE-WD</v>
      </c>
      <c r="CG28" s="82" t="str">
        <f t="shared" si="74"/>
        <v>IE-G</v>
      </c>
      <c r="CH28" s="82" t="str">
        <f t="shared" si="74"/>
        <v>IE-LM</v>
      </c>
      <c r="CI28" s="82" t="str">
        <f t="shared" si="74"/>
        <v>IE-MO</v>
      </c>
      <c r="CJ28" s="82" t="str">
        <f t="shared" si="74"/>
        <v>IE-RN</v>
      </c>
      <c r="CK28" s="82" t="str">
        <f t="shared" si="74"/>
        <v>IE-SO</v>
      </c>
      <c r="CL28" s="82" t="str">
        <f t="shared" si="74"/>
        <v>IE-CN</v>
      </c>
      <c r="CM28" s="82" t="str">
        <f t="shared" si="74"/>
        <v>IE-DL</v>
      </c>
      <c r="CN28" s="82" t="str">
        <f t="shared" si="74"/>
        <v>IE-MN</v>
      </c>
    </row>
    <row r="29" spans="3:92">
      <c r="C29" t="str">
        <f>Processes!D33</f>
        <v>T-LGT-ICE_DST00</v>
      </c>
      <c r="D29" t="s">
        <v>1089</v>
      </c>
      <c r="E29" t="str">
        <f>Commodities!C9&amp;","&amp;Commodities!C11</f>
        <v>TRADST,TRABDL</v>
      </c>
      <c r="F29" t="str">
        <f>Commodities!C28</f>
        <v>TRAF</v>
      </c>
      <c r="G29" s="9">
        <f t="shared" si="70"/>
        <v>320.88299999999998</v>
      </c>
      <c r="H29" s="8">
        <f t="shared" si="71"/>
        <v>5.2619999999999996</v>
      </c>
      <c r="I29" s="8">
        <f t="shared" si="71"/>
        <v>67.396000000000001</v>
      </c>
      <c r="J29" s="8">
        <f t="shared" si="71"/>
        <v>14.377000000000001</v>
      </c>
      <c r="K29" s="8">
        <f t="shared" si="71"/>
        <v>7.2439999999999998</v>
      </c>
      <c r="L29" s="8">
        <f t="shared" si="71"/>
        <v>5.3410000000000002</v>
      </c>
      <c r="M29" s="8">
        <f t="shared" si="71"/>
        <v>3.5209999999999999</v>
      </c>
      <c r="N29" s="8">
        <f t="shared" si="71"/>
        <v>7.1390000000000002</v>
      </c>
      <c r="O29" s="8">
        <f t="shared" si="71"/>
        <v>12.86</v>
      </c>
      <c r="P29" s="8">
        <f t="shared" si="71"/>
        <v>6.0270000000000001</v>
      </c>
      <c r="Q29" s="8">
        <f t="shared" si="71"/>
        <v>7.5810000000000004</v>
      </c>
      <c r="R29" s="8">
        <f t="shared" si="72"/>
        <v>12.180999999999999</v>
      </c>
      <c r="S29" s="8">
        <f t="shared" si="72"/>
        <v>8.7870000000000008</v>
      </c>
      <c r="T29" s="8">
        <f t="shared" si="72"/>
        <v>8.8019999999999996</v>
      </c>
      <c r="U29" s="8">
        <f t="shared" si="72"/>
        <v>37.667000000000002</v>
      </c>
      <c r="V29" s="8">
        <f t="shared" si="72"/>
        <v>11.12</v>
      </c>
      <c r="W29" s="8">
        <f t="shared" si="72"/>
        <v>11.993</v>
      </c>
      <c r="X29" s="8">
        <f t="shared" si="72"/>
        <v>12.476000000000001</v>
      </c>
      <c r="Y29" s="8">
        <f t="shared" si="72"/>
        <v>7.5670000000000002</v>
      </c>
      <c r="Z29" s="8">
        <f t="shared" si="72"/>
        <v>18.739999999999998</v>
      </c>
      <c r="AA29" s="8">
        <f t="shared" si="72"/>
        <v>3.1930000000000001</v>
      </c>
      <c r="AB29" s="8">
        <f t="shared" si="73"/>
        <v>12.510999999999999</v>
      </c>
      <c r="AC29" s="8">
        <f t="shared" si="73"/>
        <v>5.8959999999999999</v>
      </c>
      <c r="AD29" s="8">
        <f t="shared" si="73"/>
        <v>5.6</v>
      </c>
      <c r="AE29" s="8">
        <f t="shared" si="73"/>
        <v>7.37</v>
      </c>
      <c r="AF29" s="8">
        <f t="shared" si="73"/>
        <v>13.568</v>
      </c>
      <c r="AG29" s="8">
        <f t="shared" si="73"/>
        <v>6.6639999999999997</v>
      </c>
      <c r="AH29" s="140"/>
      <c r="AI29" s="84" t="str">
        <f>C50</f>
        <v>T-CYC_CYC</v>
      </c>
      <c r="AJ29" s="321">
        <f>G50*AF!D5*ACT2FLO!E51/1000</f>
        <v>16</v>
      </c>
      <c r="AK29" s="321">
        <f>H50*AF!E5*ACT2FLO!F51/1000</f>
        <v>0.19129311729752929</v>
      </c>
      <c r="AL29" s="321">
        <f>I50*AF!F5*ACT2FLO!G51/1000</f>
        <v>4.5271640418197538</v>
      </c>
      <c r="AM29" s="321">
        <f>J50*AF!G5*ACT2FLO!H51/1000</f>
        <v>0.7476196826243493</v>
      </c>
      <c r="AN29" s="321">
        <f>K50*AF!H5*ACT2FLO!I51/1000</f>
        <v>0.3334223040762388</v>
      </c>
      <c r="AO29" s="321">
        <f>L50*AF!I5*ACT2FLO!J51/1000</f>
        <v>0.28458429627887372</v>
      </c>
      <c r="AP29" s="321">
        <f>M50*AF!J5*ACT2FLO!K51/1000</f>
        <v>0.13733442674246321</v>
      </c>
      <c r="AQ29" s="321">
        <f>N50*AF!K5*ACT2FLO!L51/1000</f>
        <v>0.43305385599969731</v>
      </c>
      <c r="AR29" s="321">
        <f>O50*AF!L5*ACT2FLO!M51/1000</f>
        <v>0.65535331220015636</v>
      </c>
      <c r="AS29" s="321">
        <f>P50*AF!M5*ACT2FLO!N51/1000</f>
        <v>0.26195114729207969</v>
      </c>
      <c r="AT29" s="321">
        <f>Q50*AF!N5*ACT2FLO!O51/1000</f>
        <v>0.29826969055191588</v>
      </c>
      <c r="AU29" s="321">
        <f>R50*AF!O5*ACT2FLO!P51/1000</f>
        <v>0.50307012063550693</v>
      </c>
      <c r="AV29" s="321">
        <f>S50*AF!P5*ACT2FLO!Q51/1000</f>
        <v>0.47855199590916547</v>
      </c>
      <c r="AW29" s="321">
        <f>T50*AF!Q5*ACT2FLO!R51/1000</f>
        <v>0.3992284535575869</v>
      </c>
      <c r="AX29" s="321">
        <f>U50*AF!R5*ACT2FLO!S51/1000</f>
        <v>1.8240517108317842</v>
      </c>
      <c r="AY29" s="321">
        <f>V50*AF!S5*ACT2FLO!T51/1000</f>
        <v>0.49629966410219495</v>
      </c>
      <c r="AZ29" s="321">
        <f>W50*AF!T5*ACT2FLO!U51/1000</f>
        <v>0.65486610813200241</v>
      </c>
      <c r="BA29" s="321">
        <f>X50*AF!U5*ACT2FLO!V51/1000</f>
        <v>0.53610255645634608</v>
      </c>
      <c r="BB29" s="321">
        <f>Y50*AF!V5*ACT2FLO!W51/1000</f>
        <v>0.39035461946107219</v>
      </c>
      <c r="BC29" s="321">
        <f>Z50*AF!W5*ACT2FLO!X51/1000</f>
        <v>0.86708212013570252</v>
      </c>
      <c r="BD29" s="321">
        <f>AA50*AF!X5*ACT2FLO!Y51/1000</f>
        <v>0.10766873903397085</v>
      </c>
      <c r="BE29" s="321">
        <f>AB50*AF!Y5*ACT2FLO!Z51/1000</f>
        <v>0.43850718153496554</v>
      </c>
      <c r="BF29" s="321">
        <f>AC50*AF!Z5*ACT2FLO!AA51/1000</f>
        <v>0.21686965086158452</v>
      </c>
      <c r="BG29" s="321">
        <f>AD50*AF!AA5*ACT2FLO!AB51/1000</f>
        <v>0.22019943866531269</v>
      </c>
      <c r="BH29" s="321">
        <f>AE50*AF!AB5*ACT2FLO!AC51/1000</f>
        <v>0.25595349721170152</v>
      </c>
      <c r="BI29" s="321">
        <f>AF50*AF!AC5*ACT2FLO!AD51/1000</f>
        <v>0.5348895863280454</v>
      </c>
      <c r="BJ29" s="321">
        <f>AG50*AF!AD5*ACT2FLO!AE51/1000</f>
        <v>0.20625868225999672</v>
      </c>
      <c r="BM29" s="329" t="s">
        <v>1000</v>
      </c>
      <c r="BN29" s="330">
        <f>Demands!C7</f>
        <v>10.702591</v>
      </c>
      <c r="BO29" s="330">
        <f>Demands!D7</f>
        <v>0.17794099599204954</v>
      </c>
      <c r="BP29" s="330">
        <f>Demands!E7</f>
        <v>2.6576907930321347</v>
      </c>
      <c r="BQ29" s="330">
        <f>Demands!F7</f>
        <v>0.48228404218784626</v>
      </c>
      <c r="BR29" s="330">
        <f>Demands!G7</f>
        <v>0.31014966827589163</v>
      </c>
      <c r="BS29" s="330">
        <f>Demands!H7</f>
        <v>0.22090468018989404</v>
      </c>
      <c r="BT29" s="330">
        <f>Demands!I7</f>
        <v>0.10660397645018758</v>
      </c>
      <c r="BU29" s="330">
        <f>Demands!J7</f>
        <v>0.27935990585939297</v>
      </c>
      <c r="BV29" s="330">
        <f>Demands!K7</f>
        <v>0.43225128206324637</v>
      </c>
      <c r="BW29" s="330">
        <f>Demands!L7</f>
        <v>0.20333600685129727</v>
      </c>
      <c r="BX29" s="330">
        <f>Demands!M7</f>
        <v>0.23152778091853185</v>
      </c>
      <c r="BY29" s="330">
        <f>Demands!N7</f>
        <v>0.46795618987426485</v>
      </c>
      <c r="BZ29" s="330">
        <f>Demands!O7</f>
        <v>0.30871042636808321</v>
      </c>
      <c r="CA29" s="330">
        <f>Demands!P7</f>
        <v>0.30378726686741447</v>
      </c>
      <c r="CB29" s="330">
        <f>Demands!Q7</f>
        <v>1.625427705266085</v>
      </c>
      <c r="CC29" s="330">
        <f>Demands!R7</f>
        <v>0.44225677339931185</v>
      </c>
      <c r="CD29" s="330">
        <f>Demands!S7</f>
        <v>0.49831113834882401</v>
      </c>
      <c r="CE29" s="330">
        <f>Demands!T7</f>
        <v>0.40793968700183131</v>
      </c>
      <c r="CF29" s="330">
        <f>Demands!U7</f>
        <v>0.37892082777350039</v>
      </c>
      <c r="CG29" s="330">
        <f>Demands!V7</f>
        <v>0.60506096800451603</v>
      </c>
      <c r="CH29" s="330">
        <f>Demands!W7</f>
        <v>8.0693470189707711E-2</v>
      </c>
      <c r="CI29" s="330">
        <f>Demands!X7</f>
        <v>0.34078379979033369</v>
      </c>
      <c r="CJ29" s="330">
        <f>Demands!Y7</f>
        <v>0.1513344097795204</v>
      </c>
      <c r="CK29" s="330">
        <f>Demands!Z7</f>
        <v>0.16503078794415471</v>
      </c>
      <c r="CL29" s="330">
        <f>Demands!AA7</f>
        <v>0.19182704360164693</v>
      </c>
      <c r="CM29" s="330">
        <f>Demands!AB7</f>
        <v>0.40087863270627727</v>
      </c>
      <c r="CN29" s="330">
        <f>Demands!AC7</f>
        <v>0.15458274126405555</v>
      </c>
    </row>
    <row r="30" spans="3:92">
      <c r="C30" t="str">
        <f>Processes!D34</f>
        <v>T-MGT-ICE_DST00</v>
      </c>
      <c r="D30" t="s">
        <v>1089</v>
      </c>
      <c r="E30" t="str">
        <f>Commodities!C9&amp;","&amp;Commodities!C11</f>
        <v>TRADST,TRABDL</v>
      </c>
      <c r="F30" t="str">
        <f>Commodities!C28</f>
        <v>TRAF</v>
      </c>
      <c r="G30" s="98">
        <f t="shared" si="70"/>
        <v>11.035</v>
      </c>
      <c r="H30" s="8">
        <f t="shared" si="71"/>
        <v>0.14699999999999999</v>
      </c>
      <c r="I30" s="8">
        <f t="shared" si="71"/>
        <v>2.9660000000000002</v>
      </c>
      <c r="J30" s="8">
        <f t="shared" si="71"/>
        <v>0.55300000000000005</v>
      </c>
      <c r="K30" s="8">
        <f t="shared" si="71"/>
        <v>0.249</v>
      </c>
      <c r="L30" s="8">
        <f t="shared" si="71"/>
        <v>0.217</v>
      </c>
      <c r="M30" s="8">
        <f t="shared" si="71"/>
        <v>0.13400000000000001</v>
      </c>
      <c r="N30" s="8">
        <f t="shared" si="71"/>
        <v>0.372</v>
      </c>
      <c r="O30" s="8">
        <f t="shared" si="71"/>
        <v>0.47899999999999998</v>
      </c>
      <c r="P30" s="8">
        <f t="shared" si="71"/>
        <v>0.16600000000000001</v>
      </c>
      <c r="Q30" s="8">
        <f t="shared" si="71"/>
        <v>0.19800000000000001</v>
      </c>
      <c r="R30" s="8">
        <f t="shared" si="72"/>
        <v>0.38900000000000001</v>
      </c>
      <c r="S30" s="8">
        <f t="shared" si="72"/>
        <v>0.20699999999999999</v>
      </c>
      <c r="T30" s="8">
        <f t="shared" si="72"/>
        <v>0.22</v>
      </c>
      <c r="U30" s="8">
        <f t="shared" si="72"/>
        <v>1.167</v>
      </c>
      <c r="V30" s="8">
        <f t="shared" si="72"/>
        <v>0.26200000000000001</v>
      </c>
      <c r="W30" s="8">
        <f t="shared" si="72"/>
        <v>0.7</v>
      </c>
      <c r="X30" s="8">
        <f t="shared" si="72"/>
        <v>0.40899999999999997</v>
      </c>
      <c r="Y30" s="8">
        <f t="shared" si="72"/>
        <v>0.20699999999999999</v>
      </c>
      <c r="Z30" s="8">
        <f t="shared" si="72"/>
        <v>0.54700000000000004</v>
      </c>
      <c r="AA30" s="8">
        <f t="shared" si="72"/>
        <v>7.3999999999999996E-2</v>
      </c>
      <c r="AB30" s="8">
        <f t="shared" si="73"/>
        <v>0.26100000000000001</v>
      </c>
      <c r="AC30" s="8">
        <f t="shared" si="73"/>
        <v>0.14799999999999999</v>
      </c>
      <c r="AD30" s="8">
        <f t="shared" si="73"/>
        <v>0.20499999999999999</v>
      </c>
      <c r="AE30" s="8">
        <f t="shared" si="73"/>
        <v>0.184</v>
      </c>
      <c r="AF30" s="8">
        <f t="shared" si="73"/>
        <v>0.318</v>
      </c>
      <c r="AG30" s="8">
        <f t="shared" si="73"/>
        <v>0.25600000000000001</v>
      </c>
      <c r="AH30" s="140"/>
      <c r="AI30" s="52"/>
      <c r="BM30" t="s">
        <v>338</v>
      </c>
      <c r="BN30" s="8" t="e">
        <f>Demands!#REF!</f>
        <v>#REF!</v>
      </c>
      <c r="BO30" s="8" t="e">
        <f>Demands!#REF!</f>
        <v>#REF!</v>
      </c>
      <c r="BP30" s="8" t="e">
        <f>Demands!#REF!</f>
        <v>#REF!</v>
      </c>
      <c r="BQ30" s="8" t="e">
        <f>Demands!#REF!</f>
        <v>#REF!</v>
      </c>
      <c r="BR30" s="8" t="e">
        <f>Demands!#REF!</f>
        <v>#REF!</v>
      </c>
      <c r="BS30" s="8" t="e">
        <f>Demands!#REF!</f>
        <v>#REF!</v>
      </c>
      <c r="BT30" s="8" t="e">
        <f>Demands!#REF!</f>
        <v>#REF!</v>
      </c>
      <c r="BU30" s="8" t="e">
        <f>Demands!#REF!</f>
        <v>#REF!</v>
      </c>
      <c r="BV30" s="8" t="e">
        <f>Demands!#REF!</f>
        <v>#REF!</v>
      </c>
      <c r="BW30" s="8" t="e">
        <f>Demands!#REF!</f>
        <v>#REF!</v>
      </c>
      <c r="BX30" s="8" t="e">
        <f>Demands!#REF!</f>
        <v>#REF!</v>
      </c>
      <c r="BY30" s="8" t="e">
        <f>Demands!#REF!</f>
        <v>#REF!</v>
      </c>
      <c r="BZ30" s="8" t="e">
        <f>Demands!#REF!</f>
        <v>#REF!</v>
      </c>
      <c r="CA30" s="8" t="e">
        <f>Demands!#REF!</f>
        <v>#REF!</v>
      </c>
      <c r="CB30" s="8" t="e">
        <f>Demands!#REF!</f>
        <v>#REF!</v>
      </c>
      <c r="CC30" s="8" t="e">
        <f>Demands!#REF!</f>
        <v>#REF!</v>
      </c>
      <c r="CD30" s="8" t="e">
        <f>Demands!#REF!</f>
        <v>#REF!</v>
      </c>
      <c r="CE30" s="8" t="e">
        <f>Demands!#REF!</f>
        <v>#REF!</v>
      </c>
      <c r="CF30" s="8" t="e">
        <f>Demands!#REF!</f>
        <v>#REF!</v>
      </c>
      <c r="CG30" s="8" t="e">
        <f>Demands!#REF!</f>
        <v>#REF!</v>
      </c>
      <c r="CH30" s="8" t="e">
        <f>Demands!#REF!</f>
        <v>#REF!</v>
      </c>
      <c r="CI30" s="8" t="e">
        <f>Demands!#REF!</f>
        <v>#REF!</v>
      </c>
      <c r="CJ30" s="8" t="e">
        <f>Demands!#REF!</f>
        <v>#REF!</v>
      </c>
      <c r="CK30" s="8" t="e">
        <f>Demands!#REF!</f>
        <v>#REF!</v>
      </c>
      <c r="CL30" s="8" t="e">
        <f>Demands!#REF!</f>
        <v>#REF!</v>
      </c>
      <c r="CM30" s="8" t="e">
        <f>Demands!#REF!</f>
        <v>#REF!</v>
      </c>
      <c r="CN30" s="8" t="e">
        <f>Demands!#REF!</f>
        <v>#REF!</v>
      </c>
    </row>
    <row r="31" spans="3:92">
      <c r="C31" t="str">
        <f>Processes!D35</f>
        <v>T-HGT-ICE_DST00</v>
      </c>
      <c r="D31" t="s">
        <v>1089</v>
      </c>
      <c r="E31" t="str">
        <f>Commodities!C9&amp;","&amp;Commodities!C11</f>
        <v>TRADST,TRABDL</v>
      </c>
      <c r="F31" t="str">
        <f>Commodities!C28</f>
        <v>TRAF</v>
      </c>
      <c r="G31" s="98">
        <f>SUM(H31:AG31)</f>
        <v>21.648000000000003</v>
      </c>
      <c r="H31" s="8">
        <f t="shared" si="71"/>
        <v>0.39</v>
      </c>
      <c r="I31" s="8">
        <f t="shared" si="71"/>
        <v>3.883</v>
      </c>
      <c r="J31" s="8">
        <f t="shared" si="71"/>
        <v>1.1120000000000001</v>
      </c>
      <c r="K31" s="8">
        <f t="shared" si="71"/>
        <v>0.71299999999999997</v>
      </c>
      <c r="L31" s="8">
        <f t="shared" si="71"/>
        <v>0.45500000000000002</v>
      </c>
      <c r="M31" s="8">
        <f t="shared" si="71"/>
        <v>0.27600000000000002</v>
      </c>
      <c r="N31" s="8">
        <f t="shared" si="71"/>
        <v>0.61699999999999999</v>
      </c>
      <c r="O31" s="8">
        <f t="shared" si="71"/>
        <v>1.4239999999999999</v>
      </c>
      <c r="P31" s="8">
        <f t="shared" si="71"/>
        <v>0.32300000000000001</v>
      </c>
      <c r="Q31" s="8">
        <f t="shared" si="71"/>
        <v>0.316</v>
      </c>
      <c r="R31" s="8">
        <f t="shared" si="72"/>
        <v>1.39</v>
      </c>
      <c r="S31" s="8">
        <f t="shared" si="72"/>
        <v>0.39600000000000002</v>
      </c>
      <c r="T31" s="8">
        <f t="shared" si="72"/>
        <v>0.39700000000000002</v>
      </c>
      <c r="U31" s="8">
        <f t="shared" si="72"/>
        <v>2.5579999999999998</v>
      </c>
      <c r="V31" s="8">
        <f t="shared" si="72"/>
        <v>0.51600000000000001</v>
      </c>
      <c r="W31" s="8">
        <f t="shared" si="72"/>
        <v>0.94099999999999995</v>
      </c>
      <c r="X31" s="8">
        <f t="shared" si="72"/>
        <v>1.05</v>
      </c>
      <c r="Y31" s="8">
        <f t="shared" si="72"/>
        <v>0.35799999999999998</v>
      </c>
      <c r="Z31" s="8">
        <f t="shared" si="72"/>
        <v>1.026</v>
      </c>
      <c r="AA31" s="8">
        <f t="shared" si="72"/>
        <v>0.13500000000000001</v>
      </c>
      <c r="AB31" s="8">
        <f t="shared" si="73"/>
        <v>0.56999999999999995</v>
      </c>
      <c r="AC31" s="8">
        <f t="shared" si="73"/>
        <v>0.32600000000000001</v>
      </c>
      <c r="AD31" s="8">
        <f t="shared" si="73"/>
        <v>0.23200000000000001</v>
      </c>
      <c r="AE31" s="8">
        <f t="shared" si="73"/>
        <v>0.48799999999999999</v>
      </c>
      <c r="AF31" s="8">
        <f t="shared" si="73"/>
        <v>0.72</v>
      </c>
      <c r="AG31" s="8">
        <f t="shared" si="73"/>
        <v>1.036</v>
      </c>
      <c r="AH31" s="140"/>
      <c r="BM31" s="84" t="s">
        <v>1</v>
      </c>
      <c r="BN31" s="331" t="e">
        <f>SUM(BN29:BN30)</f>
        <v>#REF!</v>
      </c>
      <c r="BO31" s="331" t="e">
        <f t="shared" ref="BO31:CN31" si="75">SUM(BO29:BO30)</f>
        <v>#REF!</v>
      </c>
      <c r="BP31" s="331" t="e">
        <f t="shared" si="75"/>
        <v>#REF!</v>
      </c>
      <c r="BQ31" s="331" t="e">
        <f t="shared" si="75"/>
        <v>#REF!</v>
      </c>
      <c r="BR31" s="331" t="e">
        <f t="shared" si="75"/>
        <v>#REF!</v>
      </c>
      <c r="BS31" s="331" t="e">
        <f t="shared" si="75"/>
        <v>#REF!</v>
      </c>
      <c r="BT31" s="331" t="e">
        <f t="shared" si="75"/>
        <v>#REF!</v>
      </c>
      <c r="BU31" s="331" t="e">
        <f t="shared" si="75"/>
        <v>#REF!</v>
      </c>
      <c r="BV31" s="331" t="e">
        <f t="shared" si="75"/>
        <v>#REF!</v>
      </c>
      <c r="BW31" s="331" t="e">
        <f t="shared" si="75"/>
        <v>#REF!</v>
      </c>
      <c r="BX31" s="331" t="e">
        <f t="shared" si="75"/>
        <v>#REF!</v>
      </c>
      <c r="BY31" s="331" t="e">
        <f t="shared" si="75"/>
        <v>#REF!</v>
      </c>
      <c r="BZ31" s="331" t="e">
        <f t="shared" si="75"/>
        <v>#REF!</v>
      </c>
      <c r="CA31" s="331" t="e">
        <f t="shared" si="75"/>
        <v>#REF!</v>
      </c>
      <c r="CB31" s="331" t="e">
        <f t="shared" si="75"/>
        <v>#REF!</v>
      </c>
      <c r="CC31" s="331" t="e">
        <f t="shared" si="75"/>
        <v>#REF!</v>
      </c>
      <c r="CD31" s="331" t="e">
        <f t="shared" si="75"/>
        <v>#REF!</v>
      </c>
      <c r="CE31" s="331" t="e">
        <f t="shared" si="75"/>
        <v>#REF!</v>
      </c>
      <c r="CF31" s="331" t="e">
        <f t="shared" si="75"/>
        <v>#REF!</v>
      </c>
      <c r="CG31" s="331" t="e">
        <f t="shared" si="75"/>
        <v>#REF!</v>
      </c>
      <c r="CH31" s="331" t="e">
        <f t="shared" si="75"/>
        <v>#REF!</v>
      </c>
      <c r="CI31" s="331" t="e">
        <f t="shared" si="75"/>
        <v>#REF!</v>
      </c>
      <c r="CJ31" s="331" t="e">
        <f t="shared" si="75"/>
        <v>#REF!</v>
      </c>
      <c r="CK31" s="331" t="e">
        <f t="shared" si="75"/>
        <v>#REF!</v>
      </c>
      <c r="CL31" s="331" t="e">
        <f t="shared" si="75"/>
        <v>#REF!</v>
      </c>
      <c r="CM31" s="331" t="e">
        <f t="shared" si="75"/>
        <v>#REF!</v>
      </c>
      <c r="CN31" s="331" t="e">
        <f t="shared" si="75"/>
        <v>#REF!</v>
      </c>
    </row>
    <row r="32" spans="3:92" ht="15.5">
      <c r="C32" t="str">
        <f>Processes!D36</f>
        <v>T-GTR-ICE_DST00</v>
      </c>
      <c r="D32" t="s">
        <v>1089</v>
      </c>
      <c r="E32" t="str">
        <f>Commodities!C9&amp;","&amp;Commodities!C11</f>
        <v>TRADST,TRABDL</v>
      </c>
      <c r="F32" t="str">
        <f>Commodities!C28</f>
        <v>TRAF</v>
      </c>
      <c r="G32" s="188">
        <f>E206/1000</f>
        <v>1.4E-2</v>
      </c>
      <c r="H32" s="188">
        <f t="shared" si="71"/>
        <v>0</v>
      </c>
      <c r="I32" s="188">
        <f t="shared" si="71"/>
        <v>1.4E-2</v>
      </c>
      <c r="J32" s="188">
        <f t="shared" si="71"/>
        <v>0</v>
      </c>
      <c r="K32" s="188">
        <f t="shared" si="71"/>
        <v>0</v>
      </c>
      <c r="L32" s="188">
        <f t="shared" si="71"/>
        <v>0</v>
      </c>
      <c r="M32" s="188">
        <f t="shared" si="71"/>
        <v>0</v>
      </c>
      <c r="N32" s="188">
        <f t="shared" si="71"/>
        <v>0</v>
      </c>
      <c r="O32" s="188">
        <f t="shared" si="71"/>
        <v>1.4E-2</v>
      </c>
      <c r="P32" s="188">
        <f t="shared" si="71"/>
        <v>0</v>
      </c>
      <c r="Q32" s="188">
        <f t="shared" si="71"/>
        <v>0</v>
      </c>
      <c r="R32" s="188">
        <f t="shared" si="72"/>
        <v>0</v>
      </c>
      <c r="S32" s="188">
        <f t="shared" si="72"/>
        <v>0</v>
      </c>
      <c r="T32" s="188">
        <f t="shared" si="72"/>
        <v>0</v>
      </c>
      <c r="U32" s="188">
        <f t="shared" si="72"/>
        <v>0</v>
      </c>
      <c r="V32" s="188">
        <f t="shared" si="72"/>
        <v>0</v>
      </c>
      <c r="W32" s="188">
        <f t="shared" si="72"/>
        <v>0</v>
      </c>
      <c r="X32" s="188">
        <f t="shared" si="72"/>
        <v>0</v>
      </c>
      <c r="Y32" s="188">
        <f t="shared" si="72"/>
        <v>1.4E-2</v>
      </c>
      <c r="Z32" s="188">
        <f t="shared" si="72"/>
        <v>0</v>
      </c>
      <c r="AA32" s="188">
        <f t="shared" si="72"/>
        <v>0</v>
      </c>
      <c r="AB32" s="188">
        <f t="shared" si="73"/>
        <v>1.4E-2</v>
      </c>
      <c r="AC32" s="188">
        <f t="shared" si="73"/>
        <v>0</v>
      </c>
      <c r="AD32" s="188">
        <f t="shared" si="73"/>
        <v>0</v>
      </c>
      <c r="AE32" s="188">
        <f t="shared" si="73"/>
        <v>0</v>
      </c>
      <c r="AF32" s="188">
        <f t="shared" si="73"/>
        <v>0</v>
      </c>
      <c r="AG32" s="188">
        <f t="shared" si="73"/>
        <v>0</v>
      </c>
      <c r="AH32" s="140"/>
      <c r="AI32" t="s">
        <v>992</v>
      </c>
      <c r="AJ32" s="101"/>
      <c r="AK32" s="101"/>
    </row>
    <row r="33" spans="3:92" ht="15.5">
      <c r="C33" s="143" t="s">
        <v>713</v>
      </c>
      <c r="D33" s="143"/>
      <c r="E33" s="142"/>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0"/>
      <c r="AI33" s="82" t="s">
        <v>331</v>
      </c>
      <c r="AJ33" s="82" t="str">
        <f>AJ4</f>
        <v>IE</v>
      </c>
      <c r="AK33" s="82" t="str">
        <f t="shared" ref="AK33:BJ33" si="76">AK4</f>
        <v>IE-CW</v>
      </c>
      <c r="AL33" s="82" t="str">
        <f t="shared" si="76"/>
        <v>IE-D</v>
      </c>
      <c r="AM33" s="82" t="str">
        <f t="shared" si="76"/>
        <v>IE-KE</v>
      </c>
      <c r="AN33" s="82" t="str">
        <f t="shared" si="76"/>
        <v>IE-KK</v>
      </c>
      <c r="AO33" s="82" t="str">
        <f t="shared" si="76"/>
        <v>IE-LS</v>
      </c>
      <c r="AP33" s="82" t="str">
        <f t="shared" si="76"/>
        <v>IE-LD</v>
      </c>
      <c r="AQ33" s="82" t="str">
        <f t="shared" si="76"/>
        <v>IE-LH</v>
      </c>
      <c r="AR33" s="82" t="str">
        <f t="shared" si="76"/>
        <v>IE-MH</v>
      </c>
      <c r="AS33" s="82" t="str">
        <f t="shared" si="76"/>
        <v>IE-OY</v>
      </c>
      <c r="AT33" s="82" t="str">
        <f t="shared" si="76"/>
        <v>IE-WH</v>
      </c>
      <c r="AU33" s="82" t="str">
        <f t="shared" si="76"/>
        <v>IE-WX</v>
      </c>
      <c r="AV33" s="82" t="str">
        <f t="shared" si="76"/>
        <v>IE-WW</v>
      </c>
      <c r="AW33" s="82" t="str">
        <f t="shared" si="76"/>
        <v>IE-CE</v>
      </c>
      <c r="AX33" s="82" t="str">
        <f t="shared" si="76"/>
        <v>IE-CO</v>
      </c>
      <c r="AY33" s="82" t="str">
        <f t="shared" si="76"/>
        <v>IE-KY</v>
      </c>
      <c r="AZ33" s="82" t="str">
        <f t="shared" si="76"/>
        <v>IE-LK</v>
      </c>
      <c r="BA33" s="82" t="str">
        <f t="shared" si="76"/>
        <v>IE-TA</v>
      </c>
      <c r="BB33" s="82" t="str">
        <f t="shared" si="76"/>
        <v>IE-WD</v>
      </c>
      <c r="BC33" s="82" t="str">
        <f t="shared" si="76"/>
        <v>IE-G</v>
      </c>
      <c r="BD33" s="82" t="str">
        <f t="shared" si="76"/>
        <v>IE-LM</v>
      </c>
      <c r="BE33" s="82" t="str">
        <f t="shared" si="76"/>
        <v>IE-MO</v>
      </c>
      <c r="BF33" s="82" t="str">
        <f t="shared" si="76"/>
        <v>IE-RN</v>
      </c>
      <c r="BG33" s="82" t="str">
        <f t="shared" si="76"/>
        <v>IE-SO</v>
      </c>
      <c r="BH33" s="82" t="str">
        <f t="shared" si="76"/>
        <v>IE-CN</v>
      </c>
      <c r="BI33" s="82" t="str">
        <f t="shared" si="76"/>
        <v>IE-DL</v>
      </c>
      <c r="BJ33" s="82" t="str">
        <f t="shared" si="76"/>
        <v>IE-MN</v>
      </c>
      <c r="BN33" s="338"/>
      <c r="BO33" s="338"/>
      <c r="BP33" s="338"/>
      <c r="BQ33" s="338"/>
      <c r="BR33" s="338"/>
      <c r="BS33" s="338"/>
      <c r="BT33" s="338"/>
      <c r="BU33" s="338"/>
      <c r="BV33" s="338"/>
      <c r="BW33" s="338"/>
      <c r="BX33" s="338"/>
      <c r="BY33" s="338"/>
      <c r="BZ33" s="338"/>
      <c r="CA33" s="338"/>
      <c r="CB33" s="338"/>
      <c r="CC33" s="338"/>
      <c r="CD33" s="338"/>
      <c r="CE33" s="338"/>
      <c r="CF33" s="338"/>
      <c r="CG33" s="338"/>
      <c r="CH33" s="338"/>
      <c r="CI33" s="338"/>
      <c r="CJ33" s="338"/>
      <c r="CK33" s="338"/>
      <c r="CL33" s="338"/>
      <c r="CM33" s="338"/>
      <c r="CN33" s="338"/>
    </row>
    <row r="34" spans="3:92">
      <c r="C34" t="str">
        <f>Processes!D38</f>
        <v>T-TUR_CON00</v>
      </c>
      <c r="D34" t="s">
        <v>794</v>
      </c>
      <c r="E34" t="str">
        <f>Commodities!C9&amp;","&amp;Commodities!C11</f>
        <v>TRADST,TRABDL</v>
      </c>
      <c r="F34" t="str">
        <f>Commodities!C29</f>
        <v>TTURS</v>
      </c>
      <c r="G34" s="273"/>
      <c r="H34" s="273"/>
      <c r="I34" s="273"/>
      <c r="J34" s="273"/>
      <c r="K34" s="273"/>
      <c r="L34" s="273"/>
      <c r="M34" s="273"/>
      <c r="N34" s="273"/>
      <c r="O34" s="273"/>
      <c r="P34" s="273"/>
      <c r="Q34" s="273"/>
      <c r="R34" s="273"/>
      <c r="S34" s="273"/>
      <c r="T34" s="273"/>
      <c r="U34" s="273"/>
      <c r="V34" s="273"/>
      <c r="W34" s="273"/>
      <c r="X34" s="273"/>
      <c r="Y34" s="273"/>
      <c r="Z34" s="273"/>
      <c r="AA34" s="273"/>
      <c r="AB34" s="273"/>
      <c r="AC34" s="273"/>
      <c r="AD34" s="273"/>
      <c r="AE34" s="273"/>
      <c r="AF34" s="273"/>
      <c r="AG34" s="273"/>
      <c r="AH34" s="140"/>
      <c r="AI34" t="s">
        <v>340</v>
      </c>
      <c r="AJ34" s="8">
        <f>AJ6</f>
        <v>0.1197193932</v>
      </c>
      <c r="AK34" s="8">
        <f>AK6</f>
        <v>1.6330940999999999E-3</v>
      </c>
      <c r="AL34" s="8">
        <f>AL6</f>
        <v>3.8829524800000001E-2</v>
      </c>
      <c r="AM34" s="8">
        <f t="shared" ref="AM34:BJ34" si="77">AM6</f>
        <v>6.505734400000001E-3</v>
      </c>
      <c r="AN34" s="8">
        <f t="shared" si="77"/>
        <v>2.5437984E-3</v>
      </c>
      <c r="AO34" s="8">
        <f t="shared" si="77"/>
        <v>1.5292530000000002E-3</v>
      </c>
      <c r="AP34" s="8">
        <f t="shared" si="77"/>
        <v>6.2534670000000006E-4</v>
      </c>
      <c r="AQ34" s="8">
        <f t="shared" si="77"/>
        <v>2.5938989999999998E-3</v>
      </c>
      <c r="AR34" s="8">
        <f t="shared" si="77"/>
        <v>5.0422328000000001E-3</v>
      </c>
      <c r="AS34" s="8">
        <f t="shared" si="77"/>
        <v>1.9545504000000003E-3</v>
      </c>
      <c r="AT34" s="8">
        <f t="shared" si="77"/>
        <v>1.7978663999999999E-3</v>
      </c>
      <c r="AU34" s="8">
        <f t="shared" si="77"/>
        <v>4.4015862000000008E-3</v>
      </c>
      <c r="AV34" s="8">
        <f t="shared" si="77"/>
        <v>4.6495680000000015E-3</v>
      </c>
      <c r="AW34" s="8">
        <f t="shared" si="77"/>
        <v>2.7707064000000005E-3</v>
      </c>
      <c r="AX34" s="8">
        <f t="shared" si="77"/>
        <v>1.6120473600000004E-2</v>
      </c>
      <c r="AY34" s="8">
        <f t="shared" si="77"/>
        <v>3.1307760000000005E-3</v>
      </c>
      <c r="AZ34" s="8">
        <f t="shared" si="77"/>
        <v>4.4223300000000012E-3</v>
      </c>
      <c r="BA34" s="8">
        <f t="shared" si="77"/>
        <v>4.1843208000000003E-3</v>
      </c>
      <c r="BB34" s="8">
        <f t="shared" si="77"/>
        <v>3.7662504000000002E-3</v>
      </c>
      <c r="BC34" s="8">
        <f t="shared" si="77"/>
        <v>4.3318637999999994E-3</v>
      </c>
      <c r="BD34" s="8">
        <f t="shared" si="77"/>
        <v>4.796E-4</v>
      </c>
      <c r="BE34" s="8">
        <f t="shared" si="77"/>
        <v>1.8088290000000003E-3</v>
      </c>
      <c r="BF34" s="8">
        <f t="shared" si="77"/>
        <v>8.8556050000000003E-4</v>
      </c>
      <c r="BG34" s="8">
        <f t="shared" si="77"/>
        <v>1.1651200000000002E-3</v>
      </c>
      <c r="BH34" s="8">
        <f t="shared" si="77"/>
        <v>1.3359808000000001E-3</v>
      </c>
      <c r="BI34" s="8">
        <f t="shared" si="77"/>
        <v>2.2612128000000006E-3</v>
      </c>
      <c r="BJ34" s="8">
        <f t="shared" si="77"/>
        <v>9.2045800000000008E-4</v>
      </c>
    </row>
    <row r="35" spans="3:92" ht="15.5">
      <c r="C35" t="str">
        <f>Processes!D39</f>
        <v>T-NAV_CON00</v>
      </c>
      <c r="D35" t="s">
        <v>794</v>
      </c>
      <c r="E35" t="str">
        <f>Commodities!C9&amp;","&amp;Commodities!C11</f>
        <v>TRADST,TRABDL</v>
      </c>
      <c r="F35" t="str">
        <f>Commodities!C30</f>
        <v>TNAV</v>
      </c>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0"/>
      <c r="AI35" t="s">
        <v>339</v>
      </c>
      <c r="AJ35" s="8">
        <f>SUM(AJ8:AJ16)</f>
        <v>53.757978579999495</v>
      </c>
      <c r="AK35" s="8">
        <f t="shared" ref="AK35:BJ35" si="78">SUM(AK8:AK16)</f>
        <v>0.78966407904147462</v>
      </c>
      <c r="AL35" s="8">
        <f t="shared" si="78"/>
        <v>11.079564756060126</v>
      </c>
      <c r="AM35" s="8">
        <f t="shared" si="78"/>
        <v>2.6964779761585058</v>
      </c>
      <c r="AN35" s="8">
        <f t="shared" si="78"/>
        <v>1.2690988363284785</v>
      </c>
      <c r="AO35" s="8">
        <f t="shared" si="78"/>
        <v>1.0068606202341559</v>
      </c>
      <c r="AP35" s="8">
        <f t="shared" si="78"/>
        <v>0.52947645374390007</v>
      </c>
      <c r="AQ35" s="8">
        <f t="shared" si="78"/>
        <v>1.3352294033040024</v>
      </c>
      <c r="AR35" s="8">
        <f t="shared" si="78"/>
        <v>2.3869119684108218</v>
      </c>
      <c r="AS35" s="8">
        <f t="shared" si="78"/>
        <v>0.98093561302287224</v>
      </c>
      <c r="AT35" s="8">
        <f t="shared" si="78"/>
        <v>1.175222403819151</v>
      </c>
      <c r="AU35" s="8">
        <f t="shared" si="78"/>
        <v>2.0626315938238249</v>
      </c>
      <c r="AV35" s="8">
        <f t="shared" si="78"/>
        <v>1.7237353997585985</v>
      </c>
      <c r="AW35" s="8">
        <f t="shared" si="78"/>
        <v>1.5984164656182818</v>
      </c>
      <c r="AX35" s="8">
        <f t="shared" si="78"/>
        <v>6.4232698866175211</v>
      </c>
      <c r="AY35" s="8">
        <f t="shared" si="78"/>
        <v>1.9344771216245975</v>
      </c>
      <c r="AZ35" s="8">
        <f t="shared" si="78"/>
        <v>2.3378489986886493</v>
      </c>
      <c r="BA35" s="8">
        <f t="shared" si="78"/>
        <v>2.2506745506428643</v>
      </c>
      <c r="BB35" s="8">
        <f t="shared" si="78"/>
        <v>1.4711859036504289</v>
      </c>
      <c r="BC35" s="8">
        <f t="shared" si="78"/>
        <v>3.4157125375195854</v>
      </c>
      <c r="BD35" s="8">
        <f t="shared" si="78"/>
        <v>0.43240953811041527</v>
      </c>
      <c r="BE35" s="8">
        <f t="shared" si="78"/>
        <v>1.7032425856842379</v>
      </c>
      <c r="BF35" s="8">
        <f t="shared" si="78"/>
        <v>0.99024429529398805</v>
      </c>
      <c r="BG35" s="8">
        <f t="shared" si="78"/>
        <v>0.78418802822583822</v>
      </c>
      <c r="BH35" s="8">
        <f t="shared" si="78"/>
        <v>0.9154658907750638</v>
      </c>
      <c r="BI35" s="8">
        <f t="shared" si="78"/>
        <v>1.7427772833553983</v>
      </c>
      <c r="BJ35" s="8">
        <f t="shared" si="78"/>
        <v>0.76583177166814842</v>
      </c>
      <c r="BM35" t="s">
        <v>1001</v>
      </c>
      <c r="BN35" s="101"/>
      <c r="BO35" s="101"/>
    </row>
    <row r="36" spans="3:92">
      <c r="C36" t="str">
        <f>Processes!D40</f>
        <v>T-OTH_CON00</v>
      </c>
      <c r="D36" t="s">
        <v>794</v>
      </c>
      <c r="E36" t="str">
        <f>Commodities!C8&amp;","&amp;Commodities!C10&amp;","&amp;Commodities!C9&amp;","&amp;Commodities!C11&amp;","&amp;Commodities!C13</f>
        <v>TRAGSL,TRAETH,TRADST,TRABDL,TRACNG</v>
      </c>
      <c r="F36" t="str">
        <f>Commodities!C31</f>
        <v>TOTH</v>
      </c>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0"/>
      <c r="AI36" t="s">
        <v>336</v>
      </c>
      <c r="AJ36" s="8">
        <f t="shared" ref="AJ36:BJ36" si="79">SUM(AJ18:AJ20)</f>
        <v>1.2560687371407953</v>
      </c>
      <c r="AK36" s="8">
        <f t="shared" si="79"/>
        <v>8.6519167029038106E-3</v>
      </c>
      <c r="AL36" s="8">
        <f t="shared" si="79"/>
        <v>0.64155712623289118</v>
      </c>
      <c r="AM36" s="8">
        <f t="shared" si="79"/>
        <v>5.2060708829763568E-2</v>
      </c>
      <c r="AN36" s="8">
        <f t="shared" si="79"/>
        <v>1.337629360534914E-2</v>
      </c>
      <c r="AO36" s="8">
        <f t="shared" si="79"/>
        <v>1.3999979786088411E-2</v>
      </c>
      <c r="AP36" s="8">
        <f t="shared" si="79"/>
        <v>5.8868284440788919E-3</v>
      </c>
      <c r="AQ36" s="8">
        <f t="shared" si="79"/>
        <v>3.6544391764975877E-2</v>
      </c>
      <c r="AR36" s="8">
        <f t="shared" si="79"/>
        <v>6.333299165780075E-2</v>
      </c>
      <c r="AS36" s="8">
        <f t="shared" si="79"/>
        <v>9.4047320049095353E-3</v>
      </c>
      <c r="AT36" s="8">
        <f t="shared" si="79"/>
        <v>1.7567036174527199E-2</v>
      </c>
      <c r="AU36" s="8">
        <f t="shared" si="79"/>
        <v>1.5509834274720994E-2</v>
      </c>
      <c r="AV36" s="8">
        <f t="shared" si="79"/>
        <v>2.0545174726743252E-2</v>
      </c>
      <c r="AW36" s="8">
        <f t="shared" si="79"/>
        <v>2.0828449526479477E-2</v>
      </c>
      <c r="AX36" s="8">
        <f t="shared" si="79"/>
        <v>0.10429714230065162</v>
      </c>
      <c r="AY36" s="8">
        <f t="shared" si="79"/>
        <v>2.7021552127919037E-2</v>
      </c>
      <c r="AZ36" s="8">
        <f t="shared" si="79"/>
        <v>3.9025323445254577E-2</v>
      </c>
      <c r="BA36" s="8">
        <f t="shared" si="79"/>
        <v>1.5267985174916173E-2</v>
      </c>
      <c r="BB36" s="8">
        <f t="shared" si="79"/>
        <v>1.7575606288714341E-2</v>
      </c>
      <c r="BC36" s="8">
        <f t="shared" si="79"/>
        <v>5.7645097586095456E-2</v>
      </c>
      <c r="BD36" s="8">
        <f t="shared" si="79"/>
        <v>4.1674567453412322E-3</v>
      </c>
      <c r="BE36" s="8">
        <f t="shared" si="79"/>
        <v>1.6589908876156006E-2</v>
      </c>
      <c r="BF36" s="8">
        <f t="shared" si="79"/>
        <v>7.6486165383991157E-3</v>
      </c>
      <c r="BG36" s="8">
        <f t="shared" si="79"/>
        <v>9.9008437403891314E-3</v>
      </c>
      <c r="BH36" s="8">
        <f t="shared" si="79"/>
        <v>1.0753641718562811E-2</v>
      </c>
      <c r="BI36" s="8">
        <f t="shared" si="79"/>
        <v>2.2082561304006636E-2</v>
      </c>
      <c r="BJ36" s="8">
        <f t="shared" si="79"/>
        <v>4.8388917708456604E-3</v>
      </c>
      <c r="BM36" s="82" t="str">
        <f>BM28</f>
        <v>Technology</v>
      </c>
      <c r="BN36" s="82" t="str">
        <f t="shared" ref="BN36:CN36" si="80">BN28</f>
        <v>IE</v>
      </c>
      <c r="BO36" s="82" t="str">
        <f t="shared" si="80"/>
        <v>IE-CW</v>
      </c>
      <c r="BP36" s="82" t="str">
        <f t="shared" si="80"/>
        <v>IE-D</v>
      </c>
      <c r="BQ36" s="82" t="str">
        <f t="shared" si="80"/>
        <v>IE-KE</v>
      </c>
      <c r="BR36" s="82" t="str">
        <f t="shared" si="80"/>
        <v>IE-KK</v>
      </c>
      <c r="BS36" s="82" t="str">
        <f t="shared" si="80"/>
        <v>IE-LS</v>
      </c>
      <c r="BT36" s="82" t="str">
        <f t="shared" si="80"/>
        <v>IE-LD</v>
      </c>
      <c r="BU36" s="82" t="str">
        <f t="shared" si="80"/>
        <v>IE-LH</v>
      </c>
      <c r="BV36" s="82" t="str">
        <f t="shared" si="80"/>
        <v>IE-MH</v>
      </c>
      <c r="BW36" s="82" t="str">
        <f t="shared" si="80"/>
        <v>IE-OY</v>
      </c>
      <c r="BX36" s="82" t="str">
        <f t="shared" si="80"/>
        <v>IE-WH</v>
      </c>
      <c r="BY36" s="82" t="str">
        <f t="shared" si="80"/>
        <v>IE-WX</v>
      </c>
      <c r="BZ36" s="82" t="str">
        <f t="shared" si="80"/>
        <v>IE-WW</v>
      </c>
      <c r="CA36" s="82" t="str">
        <f t="shared" si="80"/>
        <v>IE-CE</v>
      </c>
      <c r="CB36" s="82" t="str">
        <f t="shared" si="80"/>
        <v>IE-CO</v>
      </c>
      <c r="CC36" s="82" t="str">
        <f t="shared" si="80"/>
        <v>IE-KY</v>
      </c>
      <c r="CD36" s="82" t="str">
        <f t="shared" si="80"/>
        <v>IE-LK</v>
      </c>
      <c r="CE36" s="82" t="str">
        <f t="shared" si="80"/>
        <v>IE-TA</v>
      </c>
      <c r="CF36" s="82" t="str">
        <f t="shared" si="80"/>
        <v>IE-WD</v>
      </c>
      <c r="CG36" s="82" t="str">
        <f t="shared" si="80"/>
        <v>IE-G</v>
      </c>
      <c r="CH36" s="82" t="str">
        <f t="shared" si="80"/>
        <v>IE-LM</v>
      </c>
      <c r="CI36" s="82" t="str">
        <f t="shared" si="80"/>
        <v>IE-MO</v>
      </c>
      <c r="CJ36" s="82" t="str">
        <f t="shared" si="80"/>
        <v>IE-RN</v>
      </c>
      <c r="CK36" s="82" t="str">
        <f t="shared" si="80"/>
        <v>IE-SO</v>
      </c>
      <c r="CL36" s="82" t="str">
        <f t="shared" si="80"/>
        <v>IE-CN</v>
      </c>
      <c r="CM36" s="82" t="str">
        <f t="shared" si="80"/>
        <v>IE-DL</v>
      </c>
      <c r="CN36" s="82" t="str">
        <f t="shared" si="80"/>
        <v>IE-MN</v>
      </c>
    </row>
    <row r="37" spans="3:92" ht="15.5">
      <c r="C37" s="143" t="s">
        <v>714</v>
      </c>
      <c r="D37" s="143"/>
      <c r="E37" s="142"/>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0"/>
      <c r="AI37" t="s">
        <v>558</v>
      </c>
      <c r="AJ37" s="8">
        <f>AJ22</f>
        <v>10.519481681250003</v>
      </c>
      <c r="AK37" s="8">
        <f t="shared" ref="AK37:BJ37" si="81">AK22</f>
        <v>0.11808831099999999</v>
      </c>
      <c r="AL37" s="8">
        <f t="shared" si="81"/>
        <v>3.5358560684999998</v>
      </c>
      <c r="AM37" s="8">
        <f t="shared" si="81"/>
        <v>0.45269495775000002</v>
      </c>
      <c r="AN37" s="8">
        <f t="shared" si="81"/>
        <v>0.29241756999999996</v>
      </c>
      <c r="AO37" s="8">
        <f t="shared" si="81"/>
        <v>0.1493744175</v>
      </c>
      <c r="AP37" s="8">
        <f t="shared" si="81"/>
        <v>8.4421181249999991E-2</v>
      </c>
      <c r="AQ37" s="8">
        <f t="shared" si="81"/>
        <v>0.22892670500000004</v>
      </c>
      <c r="AR37" s="8">
        <f t="shared" si="81"/>
        <v>0.30109920200000001</v>
      </c>
      <c r="AS37" s="8">
        <f t="shared" si="81"/>
        <v>0.18289379775</v>
      </c>
      <c r="AT37" s="8">
        <f t="shared" si="81"/>
        <v>0.14101548000000003</v>
      </c>
      <c r="AU37" s="8">
        <f t="shared" si="81"/>
        <v>0.26711272949999998</v>
      </c>
      <c r="AV37" s="8">
        <f t="shared" si="81"/>
        <v>0.24114906574999997</v>
      </c>
      <c r="AW37" s="8">
        <f t="shared" si="81"/>
        <v>0.20048626149999998</v>
      </c>
      <c r="AX37" s="8">
        <f t="shared" si="81"/>
        <v>0.79161909450000012</v>
      </c>
      <c r="AY37" s="8">
        <f t="shared" si="81"/>
        <v>0.49987923200000006</v>
      </c>
      <c r="AZ37" s="8">
        <f t="shared" si="81"/>
        <v>0.29683354150000002</v>
      </c>
      <c r="BA37" s="8">
        <f t="shared" si="81"/>
        <v>0.34555485200000002</v>
      </c>
      <c r="BB37" s="8">
        <f t="shared" si="81"/>
        <v>0.1514736485</v>
      </c>
      <c r="BC37" s="8">
        <f t="shared" si="81"/>
        <v>0.57002661799999998</v>
      </c>
      <c r="BD37" s="8">
        <f t="shared" si="81"/>
        <v>5.9836094999999999E-2</v>
      </c>
      <c r="BE37" s="8">
        <f t="shared" si="81"/>
        <v>0.34838503700000001</v>
      </c>
      <c r="BF37" s="8">
        <f t="shared" si="81"/>
        <v>0.10867027499999998</v>
      </c>
      <c r="BG37" s="8">
        <f t="shared" si="81"/>
        <v>0.11319791700000001</v>
      </c>
      <c r="BH37" s="8">
        <f t="shared" si="81"/>
        <v>0.20658056049999998</v>
      </c>
      <c r="BI37" s="8">
        <f t="shared" si="81"/>
        <v>0.55923812499999992</v>
      </c>
      <c r="BJ37" s="8">
        <f t="shared" si="81"/>
        <v>0.27255499050000004</v>
      </c>
      <c r="BM37" s="329" t="s">
        <v>1000</v>
      </c>
      <c r="BN37" s="330">
        <f>1000*BN29/SUMPRODUCT(G28:G31,AF!D23:'AF'!D26)</f>
        <v>1.3184200884893891</v>
      </c>
      <c r="BO37" s="330">
        <f>1000*BO29/SUMPRODUCT(H28:H31,AF!E23:'AF'!E26)</f>
        <v>1.3428425077521915</v>
      </c>
      <c r="BP37" s="330">
        <f>1000*BP29/SUMPRODUCT(I28:I31,AF!F23:'AF'!F26)</f>
        <v>1.4718999323407369</v>
      </c>
      <c r="BQ37" s="330">
        <f>1000*BQ29/SUMPRODUCT(J28:J31,AF!G23:'AF'!G26)</f>
        <v>1.2553303843672037</v>
      </c>
      <c r="BR37" s="330">
        <f>1000*BR29/SUMPRODUCT(K28:K31,AF!H23:'AF'!H26)</f>
        <v>1.5999301336917628</v>
      </c>
      <c r="BS37" s="330">
        <f>1000*BS29/SUMPRODUCT(L28:L31,AF!I23:'AF'!I26)</f>
        <v>1.5754341558491574</v>
      </c>
      <c r="BT37" s="330">
        <f>1000*BT29/SUMPRODUCT(M28:M31,AF!J23:'AF'!J26)</f>
        <v>1.1939297728276914</v>
      </c>
      <c r="BU37" s="330">
        <f>1000*BU29/SUMPRODUCT(N28:N31,AF!K23:'AF'!K26)</f>
        <v>1.4478861918745998</v>
      </c>
      <c r="BV37" s="330">
        <f>1000*BV29/SUMPRODUCT(O28:O31,AF!L23:'AF'!L26)</f>
        <v>1.174662104728061</v>
      </c>
      <c r="BW37" s="330">
        <f>1000*BW29/SUMPRODUCT(P28:P31,AF!M23:'AF'!M26)</f>
        <v>1.4365816026400364</v>
      </c>
      <c r="BX37" s="330">
        <f>1000*BX29/SUMPRODUCT(Q28:Q31,AF!N23:'AF'!N26)</f>
        <v>1.304457012077233</v>
      </c>
      <c r="BY37" s="330">
        <f>1000*BY29/SUMPRODUCT(R28:R31,AF!O23:'AF'!O26)</f>
        <v>1.3647535702128299</v>
      </c>
      <c r="BZ37" s="330">
        <f>1000*BZ29/SUMPRODUCT(S28:S31,AF!P23:'AF'!P26)</f>
        <v>1.5394934805056175</v>
      </c>
      <c r="CA37" s="330">
        <f>1000*CA29/SUMPRODUCT(T28:T31,AF!Q23:'AF'!Q26)</f>
        <v>1.488179977367716</v>
      </c>
      <c r="CB37" s="330">
        <f>1000*CB29/SUMPRODUCT(U28:U31,AF!R23:'AF'!R26)</f>
        <v>1.7862534509163968</v>
      </c>
      <c r="CC37" s="330">
        <f>1000*CC29/SUMPRODUCT(V28:V31,AF!S23:'AF'!S26)</f>
        <v>1.7356132853156252</v>
      </c>
      <c r="CD37" s="330">
        <f>1000*CD29/SUMPRODUCT(W28:W31,AF!T23:'AF'!T26)</f>
        <v>1.5265980187930983</v>
      </c>
      <c r="CE37" s="330">
        <f>1000*CE29/SUMPRODUCT(X28:X31,AF!U23:'AF'!U26)</f>
        <v>1.3242407658598228</v>
      </c>
      <c r="CF37" s="330">
        <f>1000*CF29/SUMPRODUCT(Y28:Y31,AF!V23:'AF'!V26)</f>
        <v>2.2800272052255446</v>
      </c>
      <c r="CG37" s="330">
        <f>1000*CG29/SUMPRODUCT(Z28:Z31,AF!W23:'AF'!W26)</f>
        <v>1.3696122110589324</v>
      </c>
      <c r="CH37" s="330">
        <f>1000*CH29/SUMPRODUCT(AA28:AA31,AF!X23:'AF'!X26)</f>
        <v>1.0828461761403867</v>
      </c>
      <c r="CI37" s="330">
        <f>1000*CI29/SUMPRODUCT(AB28:AB31,AF!Y23:'AF'!Y26)</f>
        <v>1.2038996686486059</v>
      </c>
      <c r="CJ37" s="330">
        <f>1000*CJ29/SUMPRODUCT(AC28:AC31,AF!Z23:'AF'!Z26)</f>
        <v>1.0559418434038761</v>
      </c>
      <c r="CK37" s="330">
        <f>1000*CK29/SUMPRODUCT(AD28:AD31,AF!AA23:'AF'!AA26)</f>
        <v>1.3046286204306352</v>
      </c>
      <c r="CL37" s="330">
        <f>1000*CL29/SUMPRODUCT(AE28:AE31,AF!AB23:'AF'!AB26)</f>
        <v>1.0075467300875378</v>
      </c>
      <c r="CM37" s="330">
        <f>1000*CM29/SUMPRODUCT(AF28:AF31,AF!AC23:'AF'!AC26)</f>
        <v>1.315754910870683</v>
      </c>
      <c r="CN37" s="330">
        <f>1000*CN29/SUMPRODUCT(AG28:AG31,AF!AD23:'AF'!AD26)</f>
        <v>0.74828744672264424</v>
      </c>
    </row>
    <row r="38" spans="3:92">
      <c r="C38" t="str">
        <f>Processes!D42</f>
        <v>T-AVI_DOM00</v>
      </c>
      <c r="D38" t="s">
        <v>794</v>
      </c>
      <c r="E38" t="str">
        <f>Commodities!C20</f>
        <v>AVIKER</v>
      </c>
      <c r="F38" t="str">
        <f>Commodities!C32</f>
        <v>TAVIDOM</v>
      </c>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0"/>
      <c r="AI38" t="s">
        <v>545</v>
      </c>
      <c r="AJ38" s="8">
        <f t="shared" ref="AJ38:BJ38" si="82">AJ24</f>
        <v>0.31718342830155838</v>
      </c>
      <c r="AK38" s="8">
        <f t="shared" si="82"/>
        <v>0</v>
      </c>
      <c r="AL38" s="8">
        <f t="shared" si="82"/>
        <v>0.31718342830155838</v>
      </c>
      <c r="AM38" s="8">
        <f t="shared" si="82"/>
        <v>0</v>
      </c>
      <c r="AN38" s="8">
        <f t="shared" si="82"/>
        <v>0</v>
      </c>
      <c r="AO38" s="8">
        <f t="shared" si="82"/>
        <v>0</v>
      </c>
      <c r="AP38" s="8">
        <f t="shared" si="82"/>
        <v>0</v>
      </c>
      <c r="AQ38" s="8">
        <f t="shared" si="82"/>
        <v>0</v>
      </c>
      <c r="AR38" s="8">
        <f t="shared" si="82"/>
        <v>0</v>
      </c>
      <c r="AS38" s="8">
        <f t="shared" si="82"/>
        <v>0</v>
      </c>
      <c r="AT38" s="8">
        <f t="shared" si="82"/>
        <v>0</v>
      </c>
      <c r="AU38" s="8">
        <f t="shared" si="82"/>
        <v>0</v>
      </c>
      <c r="AV38" s="8">
        <f t="shared" si="82"/>
        <v>0</v>
      </c>
      <c r="AW38" s="8">
        <f t="shared" si="82"/>
        <v>0</v>
      </c>
      <c r="AX38" s="8">
        <f t="shared" si="82"/>
        <v>0</v>
      </c>
      <c r="AY38" s="8">
        <f t="shared" si="82"/>
        <v>0</v>
      </c>
      <c r="AZ38" s="8">
        <f t="shared" si="82"/>
        <v>0</v>
      </c>
      <c r="BA38" s="8">
        <f t="shared" si="82"/>
        <v>0</v>
      </c>
      <c r="BB38" s="8">
        <f t="shared" si="82"/>
        <v>0</v>
      </c>
      <c r="BC38" s="8">
        <f t="shared" si="82"/>
        <v>0</v>
      </c>
      <c r="BD38" s="8">
        <f t="shared" si="82"/>
        <v>0</v>
      </c>
      <c r="BE38" s="8">
        <f t="shared" si="82"/>
        <v>0</v>
      </c>
      <c r="BF38" s="8">
        <f t="shared" si="82"/>
        <v>0</v>
      </c>
      <c r="BG38" s="8">
        <f t="shared" si="82"/>
        <v>0</v>
      </c>
      <c r="BH38" s="8">
        <f t="shared" si="82"/>
        <v>0</v>
      </c>
      <c r="BI38" s="8">
        <f t="shared" si="82"/>
        <v>0</v>
      </c>
      <c r="BJ38" s="8">
        <f t="shared" si="82"/>
        <v>0</v>
      </c>
    </row>
    <row r="39" spans="3:92">
      <c r="C39" s="79" t="str">
        <f>Processes!D43</f>
        <v>T-AVI_INT00</v>
      </c>
      <c r="D39" s="79" t="s">
        <v>794</v>
      </c>
      <c r="E39" s="79" t="str">
        <f>Commodities!C20</f>
        <v>AVIKER</v>
      </c>
      <c r="F39" s="79" t="str">
        <f>Commodities!C33</f>
        <v>TAVIINT</v>
      </c>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140"/>
      <c r="AI39" t="s">
        <v>338</v>
      </c>
      <c r="AJ39" s="8">
        <f t="shared" ref="AJ39:BJ39" si="83">SUM(AJ25:AJ26)</f>
        <v>1.9196540561307294</v>
      </c>
      <c r="AK39" s="8">
        <f t="shared" si="83"/>
        <v>1.5264180732683506E-2</v>
      </c>
      <c r="AL39" s="8">
        <f t="shared" si="83"/>
        <v>1.0041823232418055</v>
      </c>
      <c r="AM39" s="8">
        <f t="shared" si="83"/>
        <v>5.9656103241498816E-2</v>
      </c>
      <c r="AN39" s="8">
        <f t="shared" si="83"/>
        <v>2.6605339395518336E-2</v>
      </c>
      <c r="AO39" s="8">
        <f t="shared" si="83"/>
        <v>2.2708324237969767E-2</v>
      </c>
      <c r="AP39" s="8">
        <f t="shared" si="83"/>
        <v>1.0958562128275364E-2</v>
      </c>
      <c r="AQ39" s="8">
        <f t="shared" si="83"/>
        <v>3.4555411184416164E-2</v>
      </c>
      <c r="AR39" s="8">
        <f t="shared" si="83"/>
        <v>5.2293734048084059E-2</v>
      </c>
      <c r="AS39" s="8">
        <f t="shared" si="83"/>
        <v>2.0902318451850255E-2</v>
      </c>
      <c r="AT39" s="8">
        <f t="shared" si="83"/>
        <v>2.3800346442076771E-2</v>
      </c>
      <c r="AU39" s="8">
        <f t="shared" si="83"/>
        <v>4.0142339416476505E-2</v>
      </c>
      <c r="AV39" s="8">
        <f t="shared" si="83"/>
        <v>3.8185922519013003E-2</v>
      </c>
      <c r="AW39" s="8">
        <f t="shared" si="83"/>
        <v>3.1856322667660655E-2</v>
      </c>
      <c r="AX39" s="8">
        <f t="shared" si="83"/>
        <v>0.1455496955313432</v>
      </c>
      <c r="AY39" s="8">
        <f t="shared" si="83"/>
        <v>3.9602092733128702E-2</v>
      </c>
      <c r="AZ39" s="8">
        <f t="shared" si="83"/>
        <v>5.2254857735882849E-2</v>
      </c>
      <c r="BA39" s="8">
        <f t="shared" si="83"/>
        <v>4.2778153383718334E-2</v>
      </c>
      <c r="BB39" s="8">
        <f t="shared" si="83"/>
        <v>3.1148237560602809E-2</v>
      </c>
      <c r="BC39" s="8">
        <f t="shared" si="83"/>
        <v>6.9188574993234747E-2</v>
      </c>
      <c r="BD39" s="8">
        <f t="shared" si="83"/>
        <v>8.5913968839687761E-3</v>
      </c>
      <c r="BE39" s="8">
        <f t="shared" si="83"/>
        <v>3.4990557768571746E-2</v>
      </c>
      <c r="BF39" s="8">
        <f t="shared" si="83"/>
        <v>1.7305053066997901E-2</v>
      </c>
      <c r="BG39" s="8">
        <f t="shared" si="83"/>
        <v>1.7570752552455802E-2</v>
      </c>
      <c r="BH39" s="8">
        <f t="shared" si="83"/>
        <v>2.0423737643028506E-2</v>
      </c>
      <c r="BI39" s="8">
        <f t="shared" si="83"/>
        <v>4.2681364771962209E-2</v>
      </c>
      <c r="BJ39" s="8">
        <f t="shared" si="83"/>
        <v>1.6458353798505406E-2</v>
      </c>
      <c r="BM39" t="s">
        <v>1002</v>
      </c>
      <c r="BN39" s="10">
        <f>G28*AF!D23*Stock!BN37/1000</f>
        <v>2.4400139011782424E-2</v>
      </c>
      <c r="BO39" s="10">
        <f>H28*AF!E23*Stock!BO37/1000</f>
        <v>2.772902636382888E-4</v>
      </c>
      <c r="BP39" s="10">
        <f>I28*AF!F23*Stock!BP37/1000</f>
        <v>9.1555855541424706E-3</v>
      </c>
      <c r="BQ39" s="10">
        <f>J28*AF!G23*Stock!BQ37/1000</f>
        <v>1.3196610452444854E-3</v>
      </c>
      <c r="BR39" s="10">
        <f>K28*AF!H23*Stock!BR37/1000</f>
        <v>4.8000303905953431E-4</v>
      </c>
      <c r="BS39" s="10">
        <f>L28*AF!I23*Stock!BS37/1000</f>
        <v>6.8290580668716816E-4</v>
      </c>
      <c r="BT39" s="10">
        <f>M28*AF!J23*Stock!BT37/1000</f>
        <v>1.9441952420726127E-4</v>
      </c>
      <c r="BU39" s="10">
        <f>N28*AF!K23*Stock!BU37/1000</f>
        <v>4.5549775653278967E-4</v>
      </c>
      <c r="BV39" s="10">
        <f>O28*AF!L23*Stock!BV37/1000</f>
        <v>5.4162083855169502E-4</v>
      </c>
      <c r="BW39" s="10">
        <f>P28*AF!M23*Stock!BW37/1000</f>
        <v>2.8930598604766372E-4</v>
      </c>
      <c r="BX39" s="10">
        <f>Q28*AF!N23*Stock!BX37/1000</f>
        <v>3.7731027737230341E-4</v>
      </c>
      <c r="BY39" s="10">
        <f>R28*AF!O23*Stock!BY37/1000</f>
        <v>7.8682683484908365E-4</v>
      </c>
      <c r="BZ39" s="10">
        <f>S28*AF!P23*Stock!BZ37/1000</f>
        <v>1.4093231487549455E-3</v>
      </c>
      <c r="CA39" s="10">
        <f>T28*AF!Q23*Stock!CA37/1000</f>
        <v>4.8377754704269712E-4</v>
      </c>
      <c r="CB39" s="10">
        <f>U28*AF!R23*Stock!CB37/1000</f>
        <v>4.6089652835726996E-3</v>
      </c>
      <c r="CC39" s="10">
        <f>V28*AF!S23*Stock!CC37/1000</f>
        <v>7.2981410498886587E-4</v>
      </c>
      <c r="CD39" s="10">
        <f>W28*AF!T23*Stock!CD37/1000</f>
        <v>4.521752799704782E-4</v>
      </c>
      <c r="CE39" s="10">
        <f>X28*AF!U23*Stock!CE37/1000</f>
        <v>7.131413932773415E-4</v>
      </c>
      <c r="CF39" s="10">
        <f>Y28*AF!V23*Stock!CF37/1000</f>
        <v>1.2864483498683827E-3</v>
      </c>
      <c r="CG39" s="10">
        <f>Z28*AF!W23*Stock!CG37/1000</f>
        <v>1.2267123514058875E-3</v>
      </c>
      <c r="CH39" s="10">
        <f>AA28*AF!X23*Stock!CH37/1000</f>
        <v>4.4376119144409193E-5</v>
      </c>
      <c r="CI39" s="10">
        <f>AB28*AF!Y23*Stock!CI37/1000</f>
        <v>4.6504176205574915E-4</v>
      </c>
      <c r="CJ39" s="10">
        <f>AC28*AF!Z23*Stock!CJ37/1000</f>
        <v>3.0624108559846192E-4</v>
      </c>
      <c r="CK39" s="10">
        <f>AD28*AF!AA23*Stock!CK37/1000</f>
        <v>2.3236740358490042E-4</v>
      </c>
      <c r="CL39" s="10">
        <f>AE28*AF!AB23*Stock!CL37/1000</f>
        <v>1.4782725623844356E-4</v>
      </c>
      <c r="CM39" s="10">
        <f>AF28*AF!AC23*Stock!CM37/1000</f>
        <v>7.3867928026682115E-4</v>
      </c>
      <c r="CN39" s="10">
        <f>AG28*AF!AD23*Stock!CN37/1000</f>
        <v>1.8738314925849766E-4</v>
      </c>
    </row>
    <row r="40" spans="3:92">
      <c r="AI40" s="107" t="s">
        <v>16</v>
      </c>
      <c r="AJ40" s="322">
        <f t="shared" ref="AJ40:BJ40" si="84">SUM(AJ34:AJ39)</f>
        <v>67.890085876022582</v>
      </c>
      <c r="AK40" s="322">
        <f t="shared" si="84"/>
        <v>0.93330158157706189</v>
      </c>
      <c r="AL40" s="322">
        <f t="shared" si="84"/>
        <v>16.61717322713638</v>
      </c>
      <c r="AM40" s="322">
        <f t="shared" si="84"/>
        <v>3.2673954803797685</v>
      </c>
      <c r="AN40" s="322">
        <f t="shared" si="84"/>
        <v>1.6040418377293462</v>
      </c>
      <c r="AO40" s="322">
        <f t="shared" si="84"/>
        <v>1.194472594758214</v>
      </c>
      <c r="AP40" s="322">
        <f t="shared" si="84"/>
        <v>0.63136837226625431</v>
      </c>
      <c r="AQ40" s="322">
        <f t="shared" si="84"/>
        <v>1.6378498102533947</v>
      </c>
      <c r="AR40" s="322">
        <f t="shared" si="84"/>
        <v>2.8086801289167069</v>
      </c>
      <c r="AS40" s="322">
        <f t="shared" si="84"/>
        <v>1.1960910116296319</v>
      </c>
      <c r="AT40" s="322">
        <f t="shared" si="84"/>
        <v>1.3594031328357552</v>
      </c>
      <c r="AU40" s="322">
        <f t="shared" si="84"/>
        <v>2.3897980832150227</v>
      </c>
      <c r="AV40" s="322">
        <f t="shared" si="84"/>
        <v>2.0282651307543547</v>
      </c>
      <c r="AW40" s="322">
        <f t="shared" si="84"/>
        <v>1.8543582057124219</v>
      </c>
      <c r="AX40" s="322">
        <f t="shared" si="84"/>
        <v>7.4808562925495163</v>
      </c>
      <c r="AY40" s="322">
        <f t="shared" si="84"/>
        <v>2.5041107744856452</v>
      </c>
      <c r="AZ40" s="322">
        <f t="shared" si="84"/>
        <v>2.7303850513697867</v>
      </c>
      <c r="BA40" s="322">
        <f t="shared" si="84"/>
        <v>2.6584598620014983</v>
      </c>
      <c r="BB40" s="322">
        <f t="shared" si="84"/>
        <v>1.675149646399746</v>
      </c>
      <c r="BC40" s="322">
        <f t="shared" si="84"/>
        <v>4.1169046918989158</v>
      </c>
      <c r="BD40" s="322">
        <f t="shared" si="84"/>
        <v>0.50548408673972534</v>
      </c>
      <c r="BE40" s="322">
        <f t="shared" si="84"/>
        <v>2.1050169183289658</v>
      </c>
      <c r="BF40" s="322">
        <f t="shared" si="84"/>
        <v>1.1247538003993849</v>
      </c>
      <c r="BG40" s="322">
        <f t="shared" si="84"/>
        <v>0.92602266151868318</v>
      </c>
      <c r="BH40" s="322">
        <f t="shared" si="84"/>
        <v>1.1545598114366551</v>
      </c>
      <c r="BI40" s="322">
        <f t="shared" si="84"/>
        <v>2.3690405472313669</v>
      </c>
      <c r="BJ40" s="322">
        <f t="shared" si="84"/>
        <v>1.0606044657374996</v>
      </c>
      <c r="BM40" t="s">
        <v>1003</v>
      </c>
      <c r="BN40" s="10">
        <f>G31*AF!D26*Stock!BN37/1000</f>
        <v>1.4532016045781813</v>
      </c>
      <c r="BO40" s="10">
        <f>H31*AF!E26*Stock!BO37/1000</f>
        <v>2.5600184565226638E-2</v>
      </c>
      <c r="BP40" s="10">
        <f>I31*AF!F26*Stock!BP37/1000</f>
        <v>0.28352893998854062</v>
      </c>
      <c r="BQ40" s="10">
        <f>J31*AF!G26*Stock!BQ37/1000</f>
        <v>7.638095885725936E-2</v>
      </c>
      <c r="BR40" s="10">
        <f>K31*AF!H26*Stock!BR37/1000</f>
        <v>6.7985288794648754E-2</v>
      </c>
      <c r="BS40" s="10">
        <f>L31*AF!I26*Stock!BS37/1000</f>
        <v>3.7616696479405784E-2</v>
      </c>
      <c r="BT40" s="10">
        <f>M31*AF!J26*Stock!BT37/1000</f>
        <v>1.6903953818278118E-2</v>
      </c>
      <c r="BU40" s="10">
        <f>N31*AF!K26*Stock!BU37/1000</f>
        <v>4.6234664191019736E-2</v>
      </c>
      <c r="BV40" s="10">
        <f>O31*AF!L26*Stock!BV37/1000</f>
        <v>8.4222229809052959E-2</v>
      </c>
      <c r="BW40" s="10">
        <f>P31*AF!M26*Stock!BW37/1000</f>
        <v>2.2832132283731495E-2</v>
      </c>
      <c r="BX40" s="10">
        <f>Q31*AF!N26*Stock!BX37/1000</f>
        <v>1.9920796111159433E-2</v>
      </c>
      <c r="BY40" s="10">
        <f>R31*AF!O26*Stock!BY37/1000</f>
        <v>0.10769785617022197</v>
      </c>
      <c r="BZ40" s="10">
        <f>S31*AF!P26*Stock!BZ37/1000</f>
        <v>2.9660786617587764E-2</v>
      </c>
      <c r="CA40" s="10">
        <f>T31*AF!Q26*Stock!CA37/1000</f>
        <v>2.8755780255801264E-2</v>
      </c>
      <c r="CB40" s="10">
        <f>U31*AF!R26*Stock!CB37/1000</f>
        <v>0.23425103879907888</v>
      </c>
      <c r="CC40" s="10">
        <f>V31*AF!S26*Stock!CC37/1000</f>
        <v>4.2975131780324284E-2</v>
      </c>
      <c r="CD40" s="10">
        <f>W31*AF!T26*Stock!CD37/1000</f>
        <v>7.8110531738466257E-2</v>
      </c>
      <c r="CE40" s="10">
        <f>X31*AF!U26*Stock!CE37/1000</f>
        <v>6.325239328731358E-2</v>
      </c>
      <c r="CF40" s="10">
        <f>Y31*AF!V26*Stock!CF37/1000</f>
        <v>4.088472507548041E-2</v>
      </c>
      <c r="CG40" s="10">
        <f>Z31*AF!W26*Stock!CG37/1000</f>
        <v>5.9763394516016866E-2</v>
      </c>
      <c r="CH40" s="10">
        <f>AA31*AF!X26*Stock!CH37/1000</f>
        <v>7.6775959580705705E-3</v>
      </c>
      <c r="CI40" s="10">
        <f>AB31*AF!Y26*Stock!CI37/1000</f>
        <v>2.5500382772985414E-2</v>
      </c>
      <c r="CJ40" s="10">
        <f>AC31*AF!Z26*Stock!CJ37/1000</f>
        <v>1.674334543475069E-2</v>
      </c>
      <c r="CK40" s="10">
        <f>AD31*AF!AA26*Stock!CK37/1000</f>
        <v>1.4159082232388868E-2</v>
      </c>
      <c r="CL40" s="10">
        <f>AE31*AF!AB26*Stock!CL37/1000</f>
        <v>3.0320849333104537E-2</v>
      </c>
      <c r="CM40" s="10">
        <f>AF31*AF!AC26*Stock!CM37/1000</f>
        <v>4.4833032833007651E-2</v>
      </c>
      <c r="CN40" s="10">
        <f>AG31*AF!AD26*Stock!CN37/1000</f>
        <v>4.4243686561091525E-2</v>
      </c>
    </row>
    <row r="41" spans="3:92">
      <c r="BM41" t="s">
        <v>1004</v>
      </c>
      <c r="BN41">
        <f t="shared" ref="BN41:CN41" si="85">SUM(BN39:BN40)</f>
        <v>1.4776017435899638</v>
      </c>
      <c r="BO41">
        <f t="shared" si="85"/>
        <v>2.5877474828864926E-2</v>
      </c>
      <c r="BP41">
        <f t="shared" si="85"/>
        <v>0.29268452554268309</v>
      </c>
      <c r="BQ41">
        <f t="shared" si="85"/>
        <v>7.7700619902503848E-2</v>
      </c>
      <c r="BR41">
        <f t="shared" si="85"/>
        <v>6.8465291833708294E-2</v>
      </c>
      <c r="BS41">
        <f t="shared" si="85"/>
        <v>3.829960228609295E-2</v>
      </c>
      <c r="BT41">
        <f t="shared" si="85"/>
        <v>1.709837334248538E-2</v>
      </c>
      <c r="BU41">
        <f t="shared" si="85"/>
        <v>4.6690161947552523E-2</v>
      </c>
      <c r="BV41">
        <f t="shared" si="85"/>
        <v>8.4763850647604652E-2</v>
      </c>
      <c r="BW41">
        <f t="shared" si="85"/>
        <v>2.3121438269779158E-2</v>
      </c>
      <c r="BX41">
        <f t="shared" si="85"/>
        <v>2.0298106388531738E-2</v>
      </c>
      <c r="BY41">
        <f t="shared" si="85"/>
        <v>0.10848468300507105</v>
      </c>
      <c r="BZ41">
        <f t="shared" si="85"/>
        <v>3.107010976634271E-2</v>
      </c>
      <c r="CA41">
        <f t="shared" si="85"/>
        <v>2.9239557802843961E-2</v>
      </c>
      <c r="CB41">
        <f t="shared" si="85"/>
        <v>0.23886000408265157</v>
      </c>
      <c r="CC41">
        <f t="shared" si="85"/>
        <v>4.3704945885313151E-2</v>
      </c>
      <c r="CD41">
        <f t="shared" si="85"/>
        <v>7.8562707018436734E-2</v>
      </c>
      <c r="CE41">
        <f t="shared" si="85"/>
        <v>6.3965534680590921E-2</v>
      </c>
      <c r="CF41">
        <f t="shared" si="85"/>
        <v>4.217117342534879E-2</v>
      </c>
      <c r="CG41">
        <f t="shared" si="85"/>
        <v>6.0990106867422754E-2</v>
      </c>
      <c r="CH41">
        <f t="shared" si="85"/>
        <v>7.7219720772149798E-3</v>
      </c>
      <c r="CI41">
        <f t="shared" si="85"/>
        <v>2.5965424535041162E-2</v>
      </c>
      <c r="CJ41">
        <f t="shared" si="85"/>
        <v>1.7049586520349151E-2</v>
      </c>
      <c r="CK41">
        <f t="shared" si="85"/>
        <v>1.4391449635973769E-2</v>
      </c>
      <c r="CL41">
        <f t="shared" si="85"/>
        <v>3.0468676589342981E-2</v>
      </c>
      <c r="CM41">
        <f t="shared" si="85"/>
        <v>4.5571712113274473E-2</v>
      </c>
      <c r="CN41">
        <f t="shared" si="85"/>
        <v>4.4431069710350025E-2</v>
      </c>
    </row>
    <row r="42" spans="3:92" ht="15.5">
      <c r="AI42" t="s">
        <v>991</v>
      </c>
      <c r="AJ42" s="101"/>
      <c r="AK42" s="101"/>
      <c r="BM42" t="s">
        <v>1005</v>
      </c>
      <c r="BN42" s="339">
        <f>BN41-Demands!C7</f>
        <v>-9.2249892564100371</v>
      </c>
      <c r="BO42" s="339">
        <f>BO41-Demands!D7</f>
        <v>-0.15206352116318461</v>
      </c>
      <c r="BP42" s="339">
        <f>BP41-Demands!E7</f>
        <v>-2.3650062674894516</v>
      </c>
      <c r="BQ42" s="339">
        <f>BQ41-Demands!F7</f>
        <v>-0.40458342228534239</v>
      </c>
      <c r="BR42" s="339">
        <f>BR41-Demands!G7</f>
        <v>-0.24168437644218332</v>
      </c>
      <c r="BS42" s="339">
        <f>BS41-Demands!H7</f>
        <v>-0.18260507790380109</v>
      </c>
      <c r="BT42" s="339">
        <f>BT41-Demands!I7</f>
        <v>-8.9505603107702197E-2</v>
      </c>
      <c r="BU42" s="339">
        <f>BU41-Demands!J7</f>
        <v>-0.23266974391184045</v>
      </c>
      <c r="BV42" s="339">
        <f>BV41-Demands!K7</f>
        <v>-0.3474874314156417</v>
      </c>
      <c r="BW42" s="339">
        <f>BW41-Demands!L7</f>
        <v>-0.1802145685815181</v>
      </c>
      <c r="BX42" s="339">
        <f>BX41-Demands!M7</f>
        <v>-0.21122967453000011</v>
      </c>
      <c r="BY42" s="339">
        <f>BY41-Demands!N7</f>
        <v>-0.35947150686919382</v>
      </c>
      <c r="BZ42" s="339">
        <f>BZ41-Demands!O7</f>
        <v>-0.27764031660174049</v>
      </c>
      <c r="CA42" s="339">
        <f>CA41-Demands!P7</f>
        <v>-0.27454770906457049</v>
      </c>
      <c r="CB42" s="339">
        <f>CB41-Demands!Q7</f>
        <v>-1.3865677011834334</v>
      </c>
      <c r="CC42" s="339">
        <f>CC41-Demands!R7</f>
        <v>-0.3985518275139987</v>
      </c>
      <c r="CD42" s="339">
        <f>CD41-Demands!S7</f>
        <v>-0.41974843133038731</v>
      </c>
      <c r="CE42" s="339">
        <f>CE41-Demands!T7</f>
        <v>-0.3439741523212404</v>
      </c>
      <c r="CF42" s="339">
        <f>CF41-Demands!U7</f>
        <v>-0.33674965434815163</v>
      </c>
      <c r="CG42" s="339">
        <f>CG41-Demands!V7</f>
        <v>-0.54407086113709324</v>
      </c>
      <c r="CH42" s="339">
        <f>CH41-Demands!W7</f>
        <v>-7.2971498112492733E-2</v>
      </c>
      <c r="CI42" s="339">
        <f>CI41-Demands!X7</f>
        <v>-0.31481837525529255</v>
      </c>
      <c r="CJ42" s="339">
        <f>CJ41-Demands!Y7</f>
        <v>-0.13428482325917124</v>
      </c>
      <c r="CK42" s="339">
        <f>CK41-Demands!Z7</f>
        <v>-0.15063933830818094</v>
      </c>
      <c r="CL42" s="339">
        <f>CL41-Demands!AA7</f>
        <v>-0.16135836701230394</v>
      </c>
      <c r="CM42" s="339">
        <f>CM41-Demands!AB7</f>
        <v>-0.35530692059300278</v>
      </c>
      <c r="CN42" s="339">
        <f>CN41-Demands!AC7</f>
        <v>-0.11015167155370553</v>
      </c>
    </row>
    <row r="43" spans="3:92">
      <c r="AI43" s="82" t="s">
        <v>331</v>
      </c>
      <c r="AJ43" s="82" t="str">
        <f t="shared" ref="AJ43:BJ43" si="86">AJ33</f>
        <v>IE</v>
      </c>
      <c r="AK43" s="82" t="str">
        <f t="shared" si="86"/>
        <v>IE-CW</v>
      </c>
      <c r="AL43" s="82" t="str">
        <f t="shared" si="86"/>
        <v>IE-D</v>
      </c>
      <c r="AM43" s="82" t="str">
        <f t="shared" si="86"/>
        <v>IE-KE</v>
      </c>
      <c r="AN43" s="82" t="str">
        <f t="shared" si="86"/>
        <v>IE-KK</v>
      </c>
      <c r="AO43" s="82" t="str">
        <f t="shared" si="86"/>
        <v>IE-LS</v>
      </c>
      <c r="AP43" s="82" t="str">
        <f t="shared" si="86"/>
        <v>IE-LD</v>
      </c>
      <c r="AQ43" s="82" t="str">
        <f t="shared" si="86"/>
        <v>IE-LH</v>
      </c>
      <c r="AR43" s="82" t="str">
        <f t="shared" si="86"/>
        <v>IE-MH</v>
      </c>
      <c r="AS43" s="82" t="str">
        <f t="shared" si="86"/>
        <v>IE-OY</v>
      </c>
      <c r="AT43" s="82" t="str">
        <f t="shared" si="86"/>
        <v>IE-WH</v>
      </c>
      <c r="AU43" s="82" t="str">
        <f t="shared" si="86"/>
        <v>IE-WX</v>
      </c>
      <c r="AV43" s="82" t="str">
        <f t="shared" si="86"/>
        <v>IE-WW</v>
      </c>
      <c r="AW43" s="82" t="str">
        <f t="shared" si="86"/>
        <v>IE-CE</v>
      </c>
      <c r="AX43" s="82" t="str">
        <f t="shared" si="86"/>
        <v>IE-CO</v>
      </c>
      <c r="AY43" s="82" t="str">
        <f t="shared" si="86"/>
        <v>IE-KY</v>
      </c>
      <c r="AZ43" s="82" t="str">
        <f t="shared" si="86"/>
        <v>IE-LK</v>
      </c>
      <c r="BA43" s="82" t="str">
        <f t="shared" si="86"/>
        <v>IE-TA</v>
      </c>
      <c r="BB43" s="82" t="str">
        <f t="shared" si="86"/>
        <v>IE-WD</v>
      </c>
      <c r="BC43" s="82" t="str">
        <f t="shared" si="86"/>
        <v>IE-G</v>
      </c>
      <c r="BD43" s="82" t="str">
        <f t="shared" si="86"/>
        <v>IE-LM</v>
      </c>
      <c r="BE43" s="82" t="str">
        <f t="shared" si="86"/>
        <v>IE-MO</v>
      </c>
      <c r="BF43" s="82" t="str">
        <f t="shared" si="86"/>
        <v>IE-RN</v>
      </c>
      <c r="BG43" s="82" t="str">
        <f t="shared" si="86"/>
        <v>IE-SO</v>
      </c>
      <c r="BH43" s="82" t="str">
        <f t="shared" si="86"/>
        <v>IE-CN</v>
      </c>
      <c r="BI43" s="82" t="str">
        <f t="shared" si="86"/>
        <v>IE-DL</v>
      </c>
      <c r="BJ43" s="82" t="str">
        <f t="shared" si="86"/>
        <v>IE-MN</v>
      </c>
    </row>
    <row r="44" spans="3:92">
      <c r="AI44" t="s">
        <v>340</v>
      </c>
      <c r="AJ44" s="8">
        <f>G6*AF!D6*ACT2FLO!E10/1000</f>
        <v>0.12080775131999999</v>
      </c>
      <c r="AK44" s="326">
        <f>H6*AF!E6*ACT2FLO!F10/1000</f>
        <v>1.4846309999999997E-3</v>
      </c>
      <c r="AL44" s="326">
        <f>I6*AF!F6*ACT2FLO!G10/1000</f>
        <v>3.7417542080000005E-2</v>
      </c>
      <c r="AM44" s="326">
        <f>J6*AF!G6*ACT2FLO!H10/1000</f>
        <v>7.27459392E-3</v>
      </c>
      <c r="AN44" s="326">
        <f>K6*AF!H6*ACT2FLO!I10/1000</f>
        <v>2.3125440000000001E-3</v>
      </c>
      <c r="AO44" s="326">
        <f>L6*AF!I6*ACT2FLO!J10/1000</f>
        <v>1.3902300000000001E-3</v>
      </c>
      <c r="AP44" s="326">
        <f>M6*AF!J6*ACT2FLO!K10/1000</f>
        <v>1.1028841800000001E-3</v>
      </c>
      <c r="AQ44" s="326">
        <f>N6*AF!K6*ACT2FLO!L10/1000</f>
        <v>2.3580899999999998E-3</v>
      </c>
      <c r="AR44" s="326">
        <f>O6*AF!L6*ACT2FLO!M10/1000</f>
        <v>5.5006175999999995E-3</v>
      </c>
      <c r="AS44" s="326">
        <f>P6*AF!M6*ACT2FLO!N10/1000</f>
        <v>2.2033113600000002E-3</v>
      </c>
      <c r="AT44" s="326">
        <f>Q6*AF!N6*ACT2FLO!O10/1000</f>
        <v>2.2064723999999998E-3</v>
      </c>
      <c r="AU44" s="326">
        <f>R6*AF!O6*ACT2FLO!P10/1000</f>
        <v>4.4015862000000008E-3</v>
      </c>
      <c r="AV44" s="326">
        <f>S6*AF!P6*ACT2FLO!Q10/1000</f>
        <v>4.438224000000001E-3</v>
      </c>
      <c r="AW44" s="326">
        <f>T6*AF!Q6*ACT2FLO!R10/1000</f>
        <v>3.32484768E-3</v>
      </c>
      <c r="AX44" s="326">
        <f>U6*AF!R6*ACT2FLO!S10/1000</f>
        <v>1.656012288E-2</v>
      </c>
      <c r="AY44" s="326">
        <f>V6*AF!S6*ACT2FLO!T10/1000</f>
        <v>3.3015455999999997E-3</v>
      </c>
      <c r="AZ44" s="326">
        <f>W6*AF!T6*ACT2FLO!U10/1000</f>
        <v>4.4223300000000012E-3</v>
      </c>
      <c r="BA44" s="326">
        <f>X6*AF!U6*ACT2FLO!V10/1000</f>
        <v>4.4125564799999996E-3</v>
      </c>
      <c r="BB44" s="326">
        <f>Y6*AF!V6*ACT2FLO!W10/1000</f>
        <v>3.423864E-3</v>
      </c>
      <c r="BC44" s="326">
        <f>Z6*AF!W6*ACT2FLO!X10/1000</f>
        <v>4.4106249599999998E-3</v>
      </c>
      <c r="BD44" s="326">
        <f>AA6*AF!X6*ACT2FLO!Y10/1000</f>
        <v>1.1030799999999998E-3</v>
      </c>
      <c r="BE44" s="326">
        <f>AB6*AF!Y6*ACT2FLO!Z10/1000</f>
        <v>2.2034825999999999E-3</v>
      </c>
      <c r="BF44" s="326">
        <f>AC6*AF!Z6*ACT2FLO!AA10/1000</f>
        <v>1.1029253499999999E-3</v>
      </c>
      <c r="BG44" s="326">
        <f>AD6*AF!AA6*ACT2FLO!AB10/1000</f>
        <v>1.101568E-3</v>
      </c>
      <c r="BH44" s="326">
        <f>AE6*AF!AB6*ACT2FLO!AC10/1000</f>
        <v>1.2145280000000001E-3</v>
      </c>
      <c r="BI44" s="326">
        <f>AF6*AF!AC6*ACT2FLO!AD10/1000</f>
        <v>2.2200998400000007E-3</v>
      </c>
      <c r="BJ44" s="326">
        <f>AG6*AF!AD6*ACT2FLO!AE10/1000</f>
        <v>1.1045496000000002E-3</v>
      </c>
    </row>
    <row r="45" spans="3:92">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I45" t="s">
        <v>339</v>
      </c>
      <c r="AJ45" s="8">
        <f>SUMPRODUCT(G8:G16,AF!D7:'AF'!D15,ACT2FLO!E11:'ACT2FLO'!E19)/1000</f>
        <v>53.685502329239995</v>
      </c>
      <c r="AK45" s="8">
        <f>SUMPRODUCT(H8:H16,AF!E7:'AF'!E15,ACT2FLO!F11:'ACT2FLO'!F19)/1000</f>
        <v>0.79389207150000007</v>
      </c>
      <c r="AL45" s="8">
        <f>SUMPRODUCT(I8:I16,AF!F7:'AF'!F15,ACT2FLO!G11:'ACT2FLO'!G19)/1000</f>
        <v>11.361664315170001</v>
      </c>
      <c r="AM45" s="8">
        <f>SUMPRODUCT(J8:J16,AF!G7:'AF'!G15,ACT2FLO!H11:'ACT2FLO'!H19)/1000</f>
        <v>2.7289881356100003</v>
      </c>
      <c r="AN45" s="8">
        <f>SUMPRODUCT(K8:K16,AF!H7:'AF'!H15,ACT2FLO!I11:'ACT2FLO'!I19)/1000</f>
        <v>1.2418699672799998</v>
      </c>
      <c r="AO45" s="8">
        <f>SUMPRODUCT(L8:L16,AF!I7:'AF'!I15,ACT2FLO!J11:'ACT2FLO'!J19)/1000</f>
        <v>1.0055031755399999</v>
      </c>
      <c r="AP45" s="8">
        <f>SUMPRODUCT(M8:M16,AF!J7:'AF'!J15,ACT2FLO!K11:'ACT2FLO'!K19)/1000</f>
        <v>0.50747016177000004</v>
      </c>
      <c r="AQ45" s="8">
        <f>SUMPRODUCT(N8:N16,AF!K7:'AF'!K15,ACT2FLO!L11:'ACT2FLO'!L19)/1000</f>
        <v>1.3513276326200001</v>
      </c>
      <c r="AR45" s="8">
        <f>SUMPRODUCT(O8:O16,AF!L7:'AF'!L15,ACT2FLO!M11:'ACT2FLO'!M19)/1000</f>
        <v>2.4156898369399995</v>
      </c>
      <c r="AS45" s="8">
        <f>SUMPRODUCT(P8:P16,AF!M7:'AF'!M15,ACT2FLO!N11:'ACT2FLO'!N19)/1000</f>
        <v>0.98618770499999997</v>
      </c>
      <c r="AT45" s="8">
        <f>SUMPRODUCT(Q8:Q16,AF!N7:'AF'!N15,ACT2FLO!O11:'ACT2FLO'!O19)/1000</f>
        <v>1.1736379745699999</v>
      </c>
      <c r="AU45" s="8">
        <f>SUMPRODUCT(R8:R16,AF!O7:'AF'!O15,ACT2FLO!P11:'ACT2FLO'!P19)/1000</f>
        <v>2.0736752655000004</v>
      </c>
      <c r="AV45" s="8">
        <f>SUMPRODUCT(S8:S16,AF!P7:'AF'!P15,ACT2FLO!Q11:'ACT2FLO'!Q19)/1000</f>
        <v>1.7329645650000001</v>
      </c>
      <c r="AW45" s="8">
        <f>SUMPRODUCT(T8:T16,AF!Q7:'AF'!Q15,ACT2FLO!R11:'ACT2FLO'!R19)/1000</f>
        <v>1.6069746525000002</v>
      </c>
      <c r="AX45" s="8">
        <f>SUMPRODUCT(U8:U16,AF!R7:'AF'!R15,ACT2FLO!S11:'ACT2FLO'!S19)/1000</f>
        <v>6.4146100647400006</v>
      </c>
      <c r="AY45" s="8">
        <f>SUMPRODUCT(V8:V16,AF!S7:'AF'!S15,ACT2FLO!T11:'ACT2FLO'!T19)/1000</f>
        <v>1.91890350456</v>
      </c>
      <c r="AZ45" s="8">
        <f>SUMPRODUCT(W8:W16,AF!T7:'AF'!T15,ACT2FLO!U11:'ACT2FLO'!U19)/1000</f>
        <v>2.3660353382000001</v>
      </c>
      <c r="BA45" s="8">
        <f>SUMPRODUCT(X8:X16,AF!U7:'AF'!U15,ACT2FLO!V11:'ACT2FLO'!V19)/1000</f>
        <v>2.2627250354999995</v>
      </c>
      <c r="BB45" s="8">
        <f>SUMPRODUCT(Y8:Y16,AF!V7:'AF'!V15,ACT2FLO!W11:'ACT2FLO'!W19)/1000</f>
        <v>1.46920245782</v>
      </c>
      <c r="BC45" s="8">
        <f>SUMPRODUCT(Z8:Z16,AF!W7:'AF'!W15,ACT2FLO!X11:'ACT2FLO'!X19)/1000</f>
        <v>3.0906007461000007</v>
      </c>
      <c r="BD45" s="8">
        <f>SUMPRODUCT(AA8:AA16,AF!X7:'AF'!X15,ACT2FLO!Y11:'ACT2FLO'!Y19)/1000</f>
        <v>0.42603023589000005</v>
      </c>
      <c r="BE45" s="8">
        <f>SUMPRODUCT(AB8:AB16,AF!Y7:'AF'!Y15,ACT2FLO!Z11:'ACT2FLO'!Z19)/1000</f>
        <v>1.7009462821399999</v>
      </c>
      <c r="BF45" s="8">
        <f>SUMPRODUCT(AC8:AC16,AF!Z7:'AF'!Z15,ACT2FLO!AA11:'ACT2FLO'!AA19)/1000</f>
        <v>0.98890925265000007</v>
      </c>
      <c r="BG45" s="8">
        <f>SUMPRODUCT(AD8:AD16,AF!AA7:'AF'!AA15,ACT2FLO!AB11:'ACT2FLO'!AB19)/1000</f>
        <v>0.78838670099999986</v>
      </c>
      <c r="BH45" s="8">
        <f>SUMPRODUCT(AE8:AE16,AF!AB7:'AF'!AB15,ACT2FLO!AC11:'ACT2FLO'!AC19)/1000</f>
        <v>0.92036744699999995</v>
      </c>
      <c r="BI45" s="8">
        <f>SUMPRODUCT(AF8:AF16,AF!AC7:'AF'!AC15,ACT2FLO!AD11:'ACT2FLO'!AD19)/1000</f>
        <v>1.7521084019999997</v>
      </c>
      <c r="BJ45" s="8">
        <f>SUMPRODUCT(AG8:AG16,AF!AD7:'AF'!AD15,ACT2FLO!AE11:'ACT2FLO'!AE19)/1000</f>
        <v>0.73913487552000012</v>
      </c>
    </row>
    <row r="46" spans="3:92">
      <c r="F46" s="279" t="s">
        <v>799</v>
      </c>
      <c r="AI46" t="s">
        <v>336</v>
      </c>
      <c r="AJ46" s="8">
        <f>SUMPRODUCT(G18:G20,AF!D16:'AF'!D18,ACT2FLO!E20:'ACT2FLO'!E22)/1000</f>
        <v>1.2543753112499998</v>
      </c>
      <c r="AK46" s="8">
        <f>SUMPRODUCT(H18:H20,AF!E16:'AF'!E18,ACT2FLO!F20:'ACT2FLO'!F22)/1000</f>
        <v>7.480486829999999E-3</v>
      </c>
      <c r="AL46" s="8">
        <f>SUMPRODUCT(I18:I20,AF!F16:'AF'!F18,ACT2FLO!G20:'ACT2FLO'!G22)/1000</f>
        <v>0.64499212950000007</v>
      </c>
      <c r="AM46" s="8">
        <f>SUMPRODUCT(J18:J20,AF!G16:'AF'!G18,ACT2FLO!H20:'ACT2FLO'!H22)/1000</f>
        <v>5.2339450499999995E-2</v>
      </c>
      <c r="AN46" s="8">
        <f>SUMPRODUCT(K18:K20,AF!H16:'AF'!H18,ACT2FLO!I20:'ACT2FLO'!I22)/1000</f>
        <v>1.3447912499999999E-2</v>
      </c>
      <c r="AO46" s="8">
        <f>SUMPRODUCT(L18:L20,AF!I16:'AF'!I18,ACT2FLO!J20:'ACT2FLO'!J22)/1000</f>
        <v>1.351194048E-2</v>
      </c>
      <c r="AP46" s="8">
        <f>SUMPRODUCT(M18:M20,AF!J16:'AF'!J18,ACT2FLO!K20:'ACT2FLO'!K22)/1000</f>
        <v>5.9972588000000004E-3</v>
      </c>
      <c r="AQ46" s="8">
        <f>SUMPRODUCT(N18:N20,AF!K16:'AF'!K18,ACT2FLO!L20:'ACT2FLO'!L22)/1000</f>
        <v>3.7474857630000004E-2</v>
      </c>
      <c r="AR46" s="8">
        <f>SUMPRODUCT(O18:O20,AF!L16:'AF'!L18,ACT2FLO!M20:'ACT2FLO'!M22)/1000</f>
        <v>6.2823125840000008E-2</v>
      </c>
      <c r="AS46" s="8">
        <f>SUMPRODUCT(P18:P20,AF!M16:'AF'!M18,ACT2FLO!N20:'ACT2FLO'!N22)/1000</f>
        <v>9.0138491300000012E-3</v>
      </c>
      <c r="AT46" s="8">
        <f>SUMPRODUCT(Q18:Q20,AF!N16:'AF'!N18,ACT2FLO!O20:'ACT2FLO'!O22)/1000</f>
        <v>1.8014314859999998E-2</v>
      </c>
      <c r="AU46" s="8">
        <f>SUMPRODUCT(R18:R20,AF!O16:'AF'!O18,ACT2FLO!P20:'ACT2FLO'!P22)/1000</f>
        <v>1.642449658E-2</v>
      </c>
      <c r="AV46" s="8">
        <f>SUMPRODUCT(S18:S20,AF!P16:'AF'!P18,ACT2FLO!Q20:'ACT2FLO'!Q22)/1000</f>
        <v>2.093057936E-2</v>
      </c>
      <c r="AW46" s="8">
        <f>SUMPRODUCT(T18:T20,AF!Q16:'AF'!Q18,ACT2FLO!R20:'ACT2FLO'!R22)/1000</f>
        <v>2.0939968499999996E-2</v>
      </c>
      <c r="AX46" s="8">
        <f>SUMPRODUCT(U18:U20,AF!R16:'AF'!R18,ACT2FLO!S20:'ACT2FLO'!S22)/1000</f>
        <v>0.10485556650000001</v>
      </c>
      <c r="AY46" s="8">
        <f>SUMPRODUCT(V18:V20,AF!S16:'AF'!S18,ACT2FLO!T20:'ACT2FLO'!T22)/1000</f>
        <v>2.6985121799999998E-2</v>
      </c>
      <c r="AZ46" s="8">
        <f>SUMPRODUCT(W18:W20,AF!T16:'AF'!T18,ACT2FLO!U20:'ACT2FLO'!U22)/1000</f>
        <v>4.0542080549999998E-2</v>
      </c>
      <c r="BA46" s="8">
        <f>SUMPRODUCT(X18:X20,AF!U16:'AF'!U18,ACT2FLO!V20:'ACT2FLO'!V22)/1000</f>
        <v>1.49404063E-2</v>
      </c>
      <c r="BB46" s="8">
        <f>SUMPRODUCT(Y18:Y20,AF!V16:'AF'!V18,ACT2FLO!W20:'ACT2FLO'!W22)/1000</f>
        <v>1.6491728400000003E-2</v>
      </c>
      <c r="BC46" s="8">
        <f>SUMPRODUCT(Z18:Z20,AF!W16:'AF'!W18,ACT2FLO!X20:'ACT2FLO'!X22)/1000</f>
        <v>5.6794664219999985E-2</v>
      </c>
      <c r="BD46" s="8">
        <f>SUMPRODUCT(AA18:AA20,AF!X16:'AF'!X18,ACT2FLO!Y20:'ACT2FLO'!Y22)/1000</f>
        <v>4.4970197999999999E-3</v>
      </c>
      <c r="BE46" s="8">
        <f>SUMPRODUCT(AB18:AB20,AF!Y16:'AF'!Y18,ACT2FLO!Z20:'ACT2FLO'!Z22)/1000</f>
        <v>1.6456350880000001E-2</v>
      </c>
      <c r="BF46" s="8">
        <f>SUMPRODUCT(AC18:AC20,AF!Z16:'AF'!Z18,ACT2FLO!AA20:'ACT2FLO'!AA22)/1000</f>
        <v>7.4845133400000003E-3</v>
      </c>
      <c r="BG46" s="8">
        <f>SUMPRODUCT(AD18:AD20,AF!AA16:'AF'!AA18,ACT2FLO!AB20:'ACT2FLO'!AB22)/1000</f>
        <v>8.9584690500000008E-3</v>
      </c>
      <c r="BH46" s="8">
        <f>SUMPRODUCT(AE18:AE20,AF!AB16:'AF'!AB18,ACT2FLO!AC20:'ACT2FLO'!AC22)/1000</f>
        <v>1.0450844549999999E-2</v>
      </c>
      <c r="BI46" s="8">
        <f>SUMPRODUCT(AF18:AF20,AF!AC16:'AF'!AC18,ACT2FLO!AD20:'ACT2FLO'!AD22)/1000</f>
        <v>2.2496805599999999E-2</v>
      </c>
      <c r="BJ46" s="8">
        <f>SUMPRODUCT(AG18:AG20,AF!AD16:'AF'!AD18,ACT2FLO!AE20:'ACT2FLO'!AE22)/1000</f>
        <v>4.5080479999999997E-3</v>
      </c>
      <c r="BM46" s="143" t="s">
        <v>678</v>
      </c>
      <c r="BN46" s="82" t="str">
        <f>BN36</f>
        <v>IE</v>
      </c>
      <c r="BO46" s="82" t="str">
        <f t="shared" ref="BO46:CN46" si="87">BO36</f>
        <v>IE-CW</v>
      </c>
      <c r="BP46" s="82" t="str">
        <f t="shared" si="87"/>
        <v>IE-D</v>
      </c>
      <c r="BQ46" s="82" t="str">
        <f t="shared" si="87"/>
        <v>IE-KE</v>
      </c>
      <c r="BR46" s="82" t="str">
        <f t="shared" si="87"/>
        <v>IE-KK</v>
      </c>
      <c r="BS46" s="82" t="str">
        <f t="shared" si="87"/>
        <v>IE-LS</v>
      </c>
      <c r="BT46" s="82" t="str">
        <f t="shared" si="87"/>
        <v>IE-LD</v>
      </c>
      <c r="BU46" s="82" t="str">
        <f t="shared" si="87"/>
        <v>IE-LH</v>
      </c>
      <c r="BV46" s="82" t="str">
        <f t="shared" si="87"/>
        <v>IE-MH</v>
      </c>
      <c r="BW46" s="82" t="str">
        <f t="shared" si="87"/>
        <v>IE-OY</v>
      </c>
      <c r="BX46" s="82" t="str">
        <f t="shared" si="87"/>
        <v>IE-WH</v>
      </c>
      <c r="BY46" s="82" t="str">
        <f t="shared" si="87"/>
        <v>IE-WX</v>
      </c>
      <c r="BZ46" s="82" t="str">
        <f t="shared" si="87"/>
        <v>IE-WW</v>
      </c>
      <c r="CA46" s="82" t="str">
        <f t="shared" si="87"/>
        <v>IE-CE</v>
      </c>
      <c r="CB46" s="82" t="str">
        <f t="shared" si="87"/>
        <v>IE-CO</v>
      </c>
      <c r="CC46" s="82" t="str">
        <f t="shared" si="87"/>
        <v>IE-KY</v>
      </c>
      <c r="CD46" s="82" t="str">
        <f t="shared" si="87"/>
        <v>IE-LK</v>
      </c>
      <c r="CE46" s="82" t="str">
        <f t="shared" si="87"/>
        <v>IE-TA</v>
      </c>
      <c r="CF46" s="82" t="str">
        <f t="shared" si="87"/>
        <v>IE-WD</v>
      </c>
      <c r="CG46" s="82" t="str">
        <f t="shared" si="87"/>
        <v>IE-G</v>
      </c>
      <c r="CH46" s="82" t="str">
        <f t="shared" si="87"/>
        <v>IE-LM</v>
      </c>
      <c r="CI46" s="82" t="str">
        <f t="shared" si="87"/>
        <v>IE-MO</v>
      </c>
      <c r="CJ46" s="82" t="str">
        <f t="shared" si="87"/>
        <v>IE-RN</v>
      </c>
      <c r="CK46" s="82" t="str">
        <f t="shared" si="87"/>
        <v>IE-SO</v>
      </c>
      <c r="CL46" s="82" t="str">
        <f t="shared" si="87"/>
        <v>IE-CN</v>
      </c>
      <c r="CM46" s="82" t="str">
        <f t="shared" si="87"/>
        <v>IE-DL</v>
      </c>
      <c r="CN46" s="82" t="str">
        <f t="shared" si="87"/>
        <v>IE-MN</v>
      </c>
    </row>
    <row r="47" spans="3:92" ht="15" thickBot="1">
      <c r="C47" s="35" t="str">
        <f>C4</f>
        <v>TechName</v>
      </c>
      <c r="D47" s="35" t="str">
        <f>D4</f>
        <v>*Unit</v>
      </c>
      <c r="E47" s="35" t="str">
        <f>E4</f>
        <v>Comm-IN</v>
      </c>
      <c r="F47" s="35" t="str">
        <f>F4</f>
        <v>Comm-OUT</v>
      </c>
      <c r="G47" s="35" t="str">
        <f>Regions!C3</f>
        <v>IE</v>
      </c>
      <c r="H47" s="35" t="str">
        <f>Regions!E3</f>
        <v>IE-CW</v>
      </c>
      <c r="I47" s="35" t="str">
        <f>Regions!F3</f>
        <v>IE-D</v>
      </c>
      <c r="J47" s="35" t="str">
        <f>Regions!G3</f>
        <v>IE-KE</v>
      </c>
      <c r="K47" s="35" t="str">
        <f>Regions!H3</f>
        <v>IE-KK</v>
      </c>
      <c r="L47" s="35" t="str">
        <f>Regions!I3</f>
        <v>IE-LS</v>
      </c>
      <c r="M47" s="35" t="str">
        <f>Regions!J3</f>
        <v>IE-LD</v>
      </c>
      <c r="N47" s="35" t="str">
        <f>Regions!K3</f>
        <v>IE-LH</v>
      </c>
      <c r="O47" s="35" t="str">
        <f>Regions!L3</f>
        <v>IE-MH</v>
      </c>
      <c r="P47" s="35" t="str">
        <f>Regions!M3</f>
        <v>IE-OY</v>
      </c>
      <c r="Q47" s="35" t="str">
        <f>Regions!N3</f>
        <v>IE-WH</v>
      </c>
      <c r="R47" s="35" t="str">
        <f>Regions!O3</f>
        <v>IE-WX</v>
      </c>
      <c r="S47" s="35" t="str">
        <f>Regions!P3</f>
        <v>IE-WW</v>
      </c>
      <c r="T47" s="35" t="str">
        <f>Regions!Q3</f>
        <v>IE-CE</v>
      </c>
      <c r="U47" s="35" t="str">
        <f>Regions!R3</f>
        <v>IE-CO</v>
      </c>
      <c r="V47" s="35" t="str">
        <f>Regions!S3</f>
        <v>IE-KY</v>
      </c>
      <c r="W47" s="35" t="str">
        <f>Regions!T3</f>
        <v>IE-LK</v>
      </c>
      <c r="X47" s="35" t="str">
        <f>Regions!U3</f>
        <v>IE-TA</v>
      </c>
      <c r="Y47" s="35" t="str">
        <f>Regions!V3</f>
        <v>IE-WD</v>
      </c>
      <c r="Z47" s="35" t="str">
        <f>Regions!W3</f>
        <v>IE-G</v>
      </c>
      <c r="AA47" s="35" t="str">
        <f>Regions!X3</f>
        <v>IE-LM</v>
      </c>
      <c r="AB47" s="35" t="str">
        <f>Regions!Y3</f>
        <v>IE-MO</v>
      </c>
      <c r="AC47" s="35" t="str">
        <f>Regions!Z3</f>
        <v>IE-RN</v>
      </c>
      <c r="AD47" s="35" t="str">
        <f>Regions!AA3</f>
        <v>IE-SO</v>
      </c>
      <c r="AE47" s="35" t="str">
        <f>Regions!AB3</f>
        <v>IE-CN</v>
      </c>
      <c r="AF47" s="35" t="str">
        <f>Regions!AC3</f>
        <v>IE-DL</v>
      </c>
      <c r="AG47" s="35" t="str">
        <f>Regions!AD3</f>
        <v>IE-MN</v>
      </c>
      <c r="AI47" t="s">
        <v>558</v>
      </c>
      <c r="AJ47" s="8">
        <f>G22*AF!D19*ACT2FLO!E23/1000</f>
        <v>9.8168961157500032</v>
      </c>
      <c r="AK47" s="8">
        <f>H22*AF!E19*ACT2FLO!F23/1000</f>
        <v>0.10903126255999998</v>
      </c>
      <c r="AL47" s="8">
        <f>I22*AF!F19*ACT2FLO!G23/1000</f>
        <v>3.54364143966</v>
      </c>
      <c r="AM47" s="8">
        <f>J22*AF!G19*ACT2FLO!H23/1000</f>
        <v>0.46332705951000003</v>
      </c>
      <c r="AN47" s="8">
        <f>K22*AF!H19*ACT2FLO!I23/1000</f>
        <v>0.29982190479999998</v>
      </c>
      <c r="AO47" s="8">
        <f>L22*AF!I19*ACT2FLO!J23/1000</f>
        <v>0.13627332180000001</v>
      </c>
      <c r="AP47" s="8">
        <f>M22*AF!J19*ACT2FLO!K23/1000</f>
        <v>8.1756879749999997E-2</v>
      </c>
      <c r="AQ47" s="8">
        <f>N22*AF!K19*ACT2FLO!L23/1000</f>
        <v>0.21800543100000006</v>
      </c>
      <c r="AR47" s="8">
        <f>O22*AF!L19*ACT2FLO!M23/1000</f>
        <v>0.29977326056000003</v>
      </c>
      <c r="AS47" s="8">
        <f>P22*AF!M19*ACT2FLO!N23/1000</f>
        <v>0.19081360257000002</v>
      </c>
      <c r="AT47" s="8">
        <f>Q22*AF!N19*ACT2FLO!O23/1000</f>
        <v>0.13625459040000004</v>
      </c>
      <c r="AU47" s="8">
        <f>R22*AF!O19*ACT2FLO!P23/1000</f>
        <v>0.27250399559999999</v>
      </c>
      <c r="AV47" s="8">
        <f>S22*AF!P19*ACT2FLO!Q23/1000</f>
        <v>0.24530833403999999</v>
      </c>
      <c r="AW47" s="8">
        <f>T22*AF!Q19*ACT2FLO!R23/1000</f>
        <v>0.19077463342000001</v>
      </c>
      <c r="AX47" s="8">
        <f>U22*AF!R19*ACT2FLO!S23/1000</f>
        <v>0.7904570848200001</v>
      </c>
      <c r="AY47" s="8">
        <f>V22*AF!S19*ACT2FLO!T23/1000</f>
        <v>0.49052369408000007</v>
      </c>
      <c r="AZ47" s="8">
        <f>W22*AF!T19*ACT2FLO!U23/1000</f>
        <v>0.29977464448000007</v>
      </c>
      <c r="BA47" s="8">
        <f>X22*AF!U19*ACT2FLO!V23/1000</f>
        <v>0.35430468128000009</v>
      </c>
      <c r="BB47" s="8">
        <f>Y22*AF!V19*ACT2FLO!W23/1000</f>
        <v>0.16353595372000002</v>
      </c>
      <c r="BC47" s="8">
        <f>Z22*AF!W19*ACT2FLO!X23/1000</f>
        <v>0.57232764288000015</v>
      </c>
      <c r="BD47" s="8">
        <f>AA22*AF!X19*ACT2FLO!Y23/1000</f>
        <v>5.4500252399999997E-2</v>
      </c>
      <c r="BE47" s="8">
        <f>AB22*AF!Y19*ACT2FLO!Z23/1000</f>
        <v>0.35426603212000002</v>
      </c>
      <c r="BF47" s="8">
        <f>AC22*AF!Z19*ACT2FLO!AA23/1000</f>
        <v>0.109029186</v>
      </c>
      <c r="BG47" s="8">
        <f>AD22*AF!AA19*ACT2FLO!AB23/1000</f>
        <v>0.10900232448000001</v>
      </c>
      <c r="BH47" s="8">
        <f>AE22*AF!AB19*ACT2FLO!AC23/1000</f>
        <v>0.19278325334000002</v>
      </c>
      <c r="BI47" s="8">
        <f>AF22*AF!AC19*ACT2FLO!AD23/1000</f>
        <v>0.52188717500000004</v>
      </c>
      <c r="BJ47" s="8">
        <f>AG22*AF!AD19*ACT2FLO!AE23/1000</f>
        <v>0.27255499050000004</v>
      </c>
      <c r="BM47" t="str">
        <f>C28</f>
        <v>T-LGT-ICE_GSL00</v>
      </c>
      <c r="BN47" s="361">
        <f>G28*1000*AF!D23*1000*ACT2FLO!E28/1000000</f>
        <v>0.85132683000000031</v>
      </c>
    </row>
    <row r="48" spans="3:92" ht="15.5">
      <c r="C48" s="142" t="s">
        <v>632</v>
      </c>
      <c r="D48" s="143"/>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I48" t="s">
        <v>545</v>
      </c>
      <c r="AJ48" s="8">
        <f>G24*AF!D20*ACT2FLO!E24/1000</f>
        <v>0.31722651729000001</v>
      </c>
      <c r="AK48" s="8">
        <f>H24*AF!E20*ACT2FLO!F24/1000</f>
        <v>0</v>
      </c>
      <c r="AL48" s="8">
        <f>I24*AF!F20*ACT2FLO!G24/1000</f>
        <v>0.31722651729000001</v>
      </c>
      <c r="AM48" s="8">
        <f>J24*AF!G20*ACT2FLO!H24/1000</f>
        <v>0</v>
      </c>
      <c r="AN48" s="8">
        <f>K24*AF!H20*ACT2FLO!I24/1000</f>
        <v>0</v>
      </c>
      <c r="AO48" s="8">
        <f>L24*AF!I20*ACT2FLO!J24/1000</f>
        <v>0</v>
      </c>
      <c r="AP48" s="8">
        <f>M24*AF!J20*ACT2FLO!K24/1000</f>
        <v>0</v>
      </c>
      <c r="AQ48" s="8">
        <f>N24*AF!K20*ACT2FLO!L24/1000</f>
        <v>0</v>
      </c>
      <c r="AR48" s="8">
        <f>O24*AF!L20*ACT2FLO!M24/1000</f>
        <v>0</v>
      </c>
      <c r="AS48" s="8">
        <f>P24*AF!M20*ACT2FLO!N24/1000</f>
        <v>0</v>
      </c>
      <c r="AT48" s="8">
        <f>Q24*AF!N20*ACT2FLO!O24/1000</f>
        <v>0</v>
      </c>
      <c r="AU48" s="8">
        <f>R24*AF!O20*ACT2FLO!P24/1000</f>
        <v>0</v>
      </c>
      <c r="AV48" s="8">
        <f>S24*AF!P20*ACT2FLO!Q24/1000</f>
        <v>0</v>
      </c>
      <c r="AW48" s="8">
        <f>T24*AF!Q20*ACT2FLO!R24/1000</f>
        <v>0</v>
      </c>
      <c r="AX48" s="8">
        <f>U24*AF!R20*ACT2FLO!S24/1000</f>
        <v>0</v>
      </c>
      <c r="AY48" s="8">
        <f>V24*AF!S20*ACT2FLO!T24/1000</f>
        <v>0</v>
      </c>
      <c r="AZ48" s="8">
        <f>W24*AF!T20*ACT2FLO!U24/1000</f>
        <v>0</v>
      </c>
      <c r="BA48" s="8">
        <f>X24*AF!U20*ACT2FLO!V24/1000</f>
        <v>0</v>
      </c>
      <c r="BB48" s="8">
        <f>Y24*AF!V20*ACT2FLO!W24/1000</f>
        <v>0</v>
      </c>
      <c r="BC48" s="8">
        <f>Z24*AF!W20*ACT2FLO!X24/1000</f>
        <v>0</v>
      </c>
      <c r="BD48" s="8">
        <f>AA24*AF!X20*ACT2FLO!Y24/1000</f>
        <v>0</v>
      </c>
      <c r="BE48" s="8">
        <f>AB24*AF!Y20*ACT2FLO!Z24/1000</f>
        <v>0</v>
      </c>
      <c r="BF48" s="8">
        <f>AC24*AF!Z20*ACT2FLO!AA24/1000</f>
        <v>0</v>
      </c>
      <c r="BG48" s="8">
        <f>AD24*AF!AA20*ACT2FLO!AB24/1000</f>
        <v>0</v>
      </c>
      <c r="BH48" s="8">
        <f>AE24*AF!AB20*ACT2FLO!AC24/1000</f>
        <v>0</v>
      </c>
      <c r="BI48" s="8">
        <f>AF24*AF!AC20*ACT2FLO!AD24/1000</f>
        <v>0</v>
      </c>
      <c r="BJ48" s="8">
        <f>AG24*AF!AD20*ACT2FLO!AE24/1000</f>
        <v>0</v>
      </c>
      <c r="BM48" t="str">
        <f t="shared" ref="BM48:BM51" si="88">C29</f>
        <v>T-LGT-ICE_DST00</v>
      </c>
      <c r="BN48" s="361">
        <f>G29*1000*AF!D24*1000*ACT2FLO!E29/1000000</f>
        <v>306.93967100099997</v>
      </c>
    </row>
    <row r="49" spans="2:66">
      <c r="C49" s="77" t="str">
        <f>Processes!D6</f>
        <v>T-WLK_WLK</v>
      </c>
      <c r="D49" t="s">
        <v>1089</v>
      </c>
      <c r="E49" s="77" t="str">
        <f>Commodities!C6</f>
        <v>TRAWLK</v>
      </c>
      <c r="F49" s="77" t="str">
        <f>Commodities!C25</f>
        <v>TRAPS</v>
      </c>
      <c r="G49" s="313">
        <v>4700</v>
      </c>
      <c r="H49" s="313">
        <f>$G$49*Demands!C139</f>
        <v>56.192353206149228</v>
      </c>
      <c r="I49" s="313">
        <f>$G$49*Demands!D139</f>
        <v>1329.8544372845527</v>
      </c>
      <c r="J49" s="313">
        <f>$G$49*Demands!E139</f>
        <v>219.6132817709026</v>
      </c>
      <c r="K49" s="313">
        <f>$G$49*Demands!F139</f>
        <v>97.94280182239514</v>
      </c>
      <c r="L49" s="313">
        <f>$G$49*Demands!G139</f>
        <v>83.596637031919158</v>
      </c>
      <c r="M49" s="313">
        <f>$G$49*Demands!H139</f>
        <v>40.341987855598568</v>
      </c>
      <c r="N49" s="313">
        <f>$G$49*Demands!I139</f>
        <v>127.20957019991108</v>
      </c>
      <c r="O49" s="313">
        <f>$G$49*Demands!J139</f>
        <v>192.51003545879593</v>
      </c>
      <c r="P49" s="313">
        <f>$G$49*Demands!K139</f>
        <v>76.948149517048407</v>
      </c>
      <c r="Q49" s="313">
        <f>$G$49*Demands!L139</f>
        <v>87.616721599625293</v>
      </c>
      <c r="R49" s="313">
        <f>$G$49*Demands!M139</f>
        <v>147.77684793668016</v>
      </c>
      <c r="S49" s="313">
        <f>$G$49*Demands!N139</f>
        <v>140.57464879831736</v>
      </c>
      <c r="T49" s="313">
        <f>$G$49*Demands!O139</f>
        <v>117.27335823254116</v>
      </c>
      <c r="U49" s="313">
        <f>$G$49*Demands!P139</f>
        <v>535.81519005683663</v>
      </c>
      <c r="V49" s="313">
        <f>$G$49*Demands!Q139</f>
        <v>145.78802633001976</v>
      </c>
      <c r="W49" s="313">
        <f>$G$49*Demands!R139</f>
        <v>192.36691926377571</v>
      </c>
      <c r="X49" s="313">
        <f>$G$49*Demands!S139</f>
        <v>157.48012595905166</v>
      </c>
      <c r="Y49" s="313">
        <f>$G$49*Demands!T139</f>
        <v>114.66666946668995</v>
      </c>
      <c r="Z49" s="313">
        <f>$G$49*Demands!U139</f>
        <v>254.70537278986262</v>
      </c>
      <c r="AA49" s="313">
        <f>$G$49*Demands!V139</f>
        <v>31.627692091228937</v>
      </c>
      <c r="AB49" s="313">
        <f>$G$49*Demands!W139</f>
        <v>128.81148457589612</v>
      </c>
      <c r="AC49" s="313">
        <f>$G$49*Demands!X139</f>
        <v>63.705459940590451</v>
      </c>
      <c r="AD49" s="313">
        <f>$G$49*Demands!Y139</f>
        <v>64.683585107935599</v>
      </c>
      <c r="AE49" s="313">
        <f>$G$49*Demands!Z139</f>
        <v>75.186339805937322</v>
      </c>
      <c r="AF49" s="313">
        <f>$G$49*Demands!AA139</f>
        <v>157.12381598386332</v>
      </c>
      <c r="AG49" s="313">
        <f>$G$49*Demands!AB139</f>
        <v>60.588487913874033</v>
      </c>
      <c r="AI49" t="s">
        <v>338</v>
      </c>
      <c r="AJ49" s="8">
        <f>SUMPRODUCT(G25:G26,AF!D21:'AF'!D22,ACT2FLO!E25:'ACT2FLO'!E26)/1000</f>
        <v>2.2810873993599996</v>
      </c>
      <c r="AK49" s="8">
        <f>SUMPRODUCT(H25:H26,AF!E21:'AF'!E22,ACT2FLO!F25:'ACT2FLO'!F26)/1000</f>
        <v>2.7273274924122255E-2</v>
      </c>
      <c r="AL49" s="8">
        <f>SUMPRODUCT(I25:I26,AF!F21:'AF'!F22,ACT2FLO!G25:'ACT2FLO'!G26)/1000</f>
        <v>0.6454765761280199</v>
      </c>
      <c r="AM49" s="8">
        <f>SUMPRODUCT(J25:J26,AF!G21:'AF'!G22,ACT2FLO!H25:'ACT2FLO'!H26)/1000</f>
        <v>0.10659054246674803</v>
      </c>
      <c r="AN49" s="8">
        <f>SUMPRODUCT(K25:K26,AF!H21:'AF'!H22,ACT2FLO!I25:'ACT2FLO'!I26)/1000</f>
        <v>4.7537090164942383E-2</v>
      </c>
      <c r="AO49" s="8">
        <f>SUMPRODUCT(L25:L26,AF!I21:'AF'!I22,ACT2FLO!J25:'ACT2FLO'!J26)/1000</f>
        <v>4.0574098332192478E-2</v>
      </c>
      <c r="AP49" s="8">
        <f>SUMPRODUCT(M25:M26,AF!J21:'AF'!J22,ACT2FLO!K25:'ACT2FLO'!K26)/1000</f>
        <v>1.9580210882696007E-2</v>
      </c>
      <c r="AQ49" s="8">
        <f>SUMPRODUCT(N25:N26,AF!K21:'AF'!K22,ACT2FLO!L25:'ACT2FLO'!L26)/1000</f>
        <v>6.1741880933755586E-2</v>
      </c>
      <c r="AR49" s="8">
        <f>SUMPRODUCT(O25:O26,AF!L21:'AF'!L22,ACT2FLO!M25:'ACT2FLO'!M26)/1000</f>
        <v>9.3435829310414192E-2</v>
      </c>
      <c r="AS49" s="8">
        <f>SUMPRODUCT(P25:P26,AF!M21:'AF'!M22,ACT2FLO!N25:'ACT2FLO'!N26)/1000</f>
        <v>3.7347217493843447E-2</v>
      </c>
      <c r="AT49" s="8">
        <f>SUMPRODUCT(Q25:Q26,AF!N21:'AF'!N22,ACT2FLO!O25:'ACT2FLO'!O26)/1000</f>
        <v>4.2525269005380673E-2</v>
      </c>
      <c r="AU49" s="8">
        <f>SUMPRODUCT(R25:R26,AF!O21:'AF'!O22,ACT2FLO!P25:'ACT2FLO'!P26)/1000</f>
        <v>7.1724324952389382E-2</v>
      </c>
      <c r="AV49" s="8">
        <f>SUMPRODUCT(S25:S26,AF!P21:'AF'!P22,ACT2FLO!Q25:'ACT2FLO'!Q26)/1000</f>
        <v>6.8228697060846485E-2</v>
      </c>
      <c r="AW49" s="8">
        <f>SUMPRODUCT(T25:T26,AF!Q21:'AF'!Q22,ACT2FLO!R25:'ACT2FLO'!R26)/1000</f>
        <v>5.6919284526442668E-2</v>
      </c>
      <c r="AX49" s="8">
        <f>SUMPRODUCT(U25:U26,AF!R21:'AF'!R22,ACT2FLO!S25:'ACT2FLO'!S26)/1000</f>
        <v>0.26006091849062746</v>
      </c>
      <c r="AY49" s="8">
        <f>SUMPRODUCT(V25:V26,AF!S21:'AF'!S22,ACT2FLO!T25:'ACT2FLO'!T26)/1000</f>
        <v>7.0759039190917708E-2</v>
      </c>
      <c r="AZ49" s="8">
        <f>SUMPRODUCT(W25:W26,AF!T21:'AF'!T22,ACT2FLO!U25:'ACT2FLO'!U26)/1000</f>
        <v>9.3366367059588687E-2</v>
      </c>
      <c r="BA49" s="8">
        <f>SUMPRODUCT(X25:X26,AF!U21:'AF'!U22,ACT2FLO!V25:'ACT2FLO'!V26)/1000</f>
        <v>7.6433865558358738E-2</v>
      </c>
      <c r="BB49" s="8">
        <f>SUMPRODUCT(Y25:Y26,AF!V21:'AF'!V22,ACT2FLO!W25:'ACT2FLO'!W26)/1000</f>
        <v>5.565411346140707E-2</v>
      </c>
      <c r="BC49" s="8">
        <f>SUMPRODUCT(Z25:Z26,AF!W21:'AF'!W22,ACT2FLO!X25:'ACT2FLO'!X26)/1000</f>
        <v>0.12362268636916218</v>
      </c>
      <c r="BD49" s="8">
        <f>SUMPRODUCT(AA25:AA26,AF!X21:'AF'!X22,ACT2FLO!Y25:'ACT2FLO'!Y26)/1000</f>
        <v>1.5350678382431211E-2</v>
      </c>
      <c r="BE49" s="8">
        <f>SUMPRODUCT(AB25:AB26,AF!Y21:'AF'!Y22,ACT2FLO!Z25:'ACT2FLO'!Z26)/1000</f>
        <v>6.251937909299557E-2</v>
      </c>
      <c r="BF49" s="8">
        <f>SUMPRODUCT(AC25:AC26,AF!Z21:'AF'!Z22,ACT2FLO!AA25:'ACT2FLO'!AA26)/1000</f>
        <v>3.0919803567458496E-2</v>
      </c>
      <c r="BG49" s="8">
        <f>SUMPRODUCT(AD25:AD26,AF!AA21:'AF'!AA22,ACT2FLO!AB25:'ACT2FLO'!AB26)/1000</f>
        <v>3.1394542123100402E-2</v>
      </c>
      <c r="BH49" s="8">
        <f>SUMPRODUCT(AE25:AE26,AF!AB21:'AF'!AB22,ACT2FLO!AC25:'ACT2FLO'!AC26)/1000</f>
        <v>3.6492113233681178E-2</v>
      </c>
      <c r="BI49" s="8">
        <f>SUMPRODUCT(AF25:AF26,AF!AC21:'AF'!AC22,ACT2FLO!AD25:'ACT2FLO'!AD26)/1000</f>
        <v>7.6260928506303491E-2</v>
      </c>
      <c r="BJ49" s="8">
        <f>SUMPRODUCT(AG25:AG26,AF!AD21:'AF'!AD22,ACT2FLO!AE25:'ACT2FLO'!AE26)/1000</f>
        <v>2.9406963649479534E-2</v>
      </c>
      <c r="BM49" t="str">
        <f t="shared" si="88"/>
        <v>T-MGT-ICE_DST00</v>
      </c>
      <c r="BN49" s="361">
        <f>G30*1000*AF!D25*1000*ACT2FLO!E30/1000000</f>
        <v>1054.59655189625</v>
      </c>
    </row>
    <row r="50" spans="2:66">
      <c r="C50" s="272" t="str">
        <f>Processes!D7</f>
        <v>T-CYC_CYC</v>
      </c>
      <c r="D50" s="79" t="s">
        <v>1089</v>
      </c>
      <c r="E50" s="272" t="str">
        <f>Commodities!C7</f>
        <v>TRACYC</v>
      </c>
      <c r="F50" s="272" t="str">
        <f>Commodities!C25</f>
        <v>TRAPS</v>
      </c>
      <c r="G50" s="314">
        <v>2000</v>
      </c>
      <c r="H50" s="314">
        <f>$G$50*Demands!C139</f>
        <v>23.91163966219116</v>
      </c>
      <c r="I50" s="314">
        <f>$G$50*Demands!D139</f>
        <v>565.89550522746924</v>
      </c>
      <c r="J50" s="314">
        <f>$G$50*Demands!E139</f>
        <v>93.452460328043657</v>
      </c>
      <c r="K50" s="314">
        <f>$G$50*Demands!F139</f>
        <v>41.677788009529849</v>
      </c>
      <c r="L50" s="314">
        <f>$G$50*Demands!G139</f>
        <v>35.573037034859212</v>
      </c>
      <c r="M50" s="314">
        <f>$G$50*Demands!H139</f>
        <v>17.166803342807903</v>
      </c>
      <c r="N50" s="314">
        <f>$G$50*Demands!I139</f>
        <v>54.131731999962163</v>
      </c>
      <c r="O50" s="314">
        <f>$G$50*Demands!J139</f>
        <v>81.919164025019541</v>
      </c>
      <c r="P50" s="314">
        <f>$G$50*Demands!K139</f>
        <v>32.743893411509958</v>
      </c>
      <c r="Q50" s="314">
        <f>$G$50*Demands!L139</f>
        <v>37.283711318989482</v>
      </c>
      <c r="R50" s="314">
        <f>$G$50*Demands!M139</f>
        <v>62.883765079438369</v>
      </c>
      <c r="S50" s="314">
        <f>$G$50*Demands!N139</f>
        <v>59.818999488645687</v>
      </c>
      <c r="T50" s="314">
        <f>$G$50*Demands!O139</f>
        <v>49.903556694698366</v>
      </c>
      <c r="U50" s="314">
        <f>$G$50*Demands!P139</f>
        <v>228.00646385397303</v>
      </c>
      <c r="V50" s="314">
        <f>$G$50*Demands!Q139</f>
        <v>62.037458012774366</v>
      </c>
      <c r="W50" s="314">
        <f>$G$50*Demands!R139</f>
        <v>81.858263516500301</v>
      </c>
      <c r="X50" s="314">
        <f>$G$50*Demands!S139</f>
        <v>67.012819557043258</v>
      </c>
      <c r="Y50" s="314">
        <f>$G$50*Demands!T139</f>
        <v>48.794327432634027</v>
      </c>
      <c r="Z50" s="314">
        <f>$G$50*Demands!U139</f>
        <v>108.38526501696282</v>
      </c>
      <c r="AA50" s="314">
        <f>$G$50*Demands!V139</f>
        <v>13.458592379246356</v>
      </c>
      <c r="AB50" s="314">
        <f>$G$50*Demands!W139</f>
        <v>54.813397691870691</v>
      </c>
      <c r="AC50" s="314">
        <f>$G$50*Demands!X139</f>
        <v>27.108706357698065</v>
      </c>
      <c r="AD50" s="314">
        <f>$G$50*Demands!Y139</f>
        <v>27.524929833164087</v>
      </c>
      <c r="AE50" s="314">
        <f>$G$50*Demands!Z139</f>
        <v>31.99418715146269</v>
      </c>
      <c r="AF50" s="314">
        <f>$G$50*Demands!AA139</f>
        <v>66.861198291005678</v>
      </c>
      <c r="AG50" s="314">
        <f>$G$50*Demands!AB139</f>
        <v>25.782335282499588</v>
      </c>
      <c r="AI50" s="107" t="s">
        <v>16</v>
      </c>
      <c r="AJ50" s="322">
        <f t="shared" ref="AJ50" si="89">SUM(AJ44:AJ49)</f>
        <v>67.475895424209995</v>
      </c>
      <c r="AK50" s="322">
        <f t="shared" ref="AK50" si="90">SUM(AK44:AK49)</f>
        <v>0.93916172681412224</v>
      </c>
      <c r="AL50" s="322">
        <f t="shared" ref="AL50" si="91">SUM(AL44:AL49)</f>
        <v>16.550418519828021</v>
      </c>
      <c r="AM50" s="322">
        <f t="shared" ref="AM50" si="92">SUM(AM44:AM49)</f>
        <v>3.3585197820067485</v>
      </c>
      <c r="AN50" s="322">
        <f t="shared" ref="AN50" si="93">SUM(AN44:AN49)</f>
        <v>1.6049894187449421</v>
      </c>
      <c r="AO50" s="322">
        <f t="shared" ref="AO50" si="94">SUM(AO44:AO49)</f>
        <v>1.1972527661521923</v>
      </c>
      <c r="AP50" s="322">
        <f t="shared" ref="AP50" si="95">SUM(AP44:AP49)</f>
        <v>0.61590739538269612</v>
      </c>
      <c r="AQ50" s="322">
        <f t="shared" ref="AQ50" si="96">SUM(AQ44:AQ49)</f>
        <v>1.6709078921837557</v>
      </c>
      <c r="AR50" s="322">
        <f t="shared" ref="AR50" si="97">SUM(AR44:AR49)</f>
        <v>2.8772226702504136</v>
      </c>
      <c r="AS50" s="322">
        <f t="shared" ref="AS50" si="98">SUM(AS44:AS49)</f>
        <v>1.2255656855538435</v>
      </c>
      <c r="AT50" s="322">
        <f t="shared" ref="AT50" si="99">SUM(AT44:AT49)</f>
        <v>1.3726386212353807</v>
      </c>
      <c r="AU50" s="322">
        <f t="shared" ref="AU50" si="100">SUM(AU44:AU49)</f>
        <v>2.4387296688323903</v>
      </c>
      <c r="AV50" s="322">
        <f t="shared" ref="AV50" si="101">SUM(AV44:AV49)</f>
        <v>2.0718703994608467</v>
      </c>
      <c r="AW50" s="322">
        <f t="shared" ref="AW50" si="102">SUM(AW44:AW49)</f>
        <v>1.8789333866264428</v>
      </c>
      <c r="AX50" s="322">
        <f t="shared" ref="AX50" si="103">SUM(AX44:AX49)</f>
        <v>7.5865437574306283</v>
      </c>
      <c r="AY50" s="322">
        <f t="shared" ref="AY50" si="104">SUM(AY44:AY49)</f>
        <v>2.5104729052309178</v>
      </c>
      <c r="AZ50" s="322">
        <f t="shared" ref="AZ50" si="105">SUM(AZ44:AZ49)</f>
        <v>2.8041407602895889</v>
      </c>
      <c r="BA50" s="322">
        <f t="shared" ref="BA50" si="106">SUM(BA44:BA49)</f>
        <v>2.7128165451183586</v>
      </c>
      <c r="BB50" s="322">
        <f t="shared" ref="BB50" si="107">SUM(BB44:BB49)</f>
        <v>1.708308117401407</v>
      </c>
      <c r="BC50" s="322">
        <f t="shared" ref="BC50" si="108">SUM(BC44:BC49)</f>
        <v>3.8477563645291633</v>
      </c>
      <c r="BD50" s="322">
        <f t="shared" ref="BD50" si="109">SUM(BD44:BD49)</f>
        <v>0.5014812664724313</v>
      </c>
      <c r="BE50" s="322">
        <f t="shared" ref="BE50" si="110">SUM(BE44:BE49)</f>
        <v>2.1363915268329956</v>
      </c>
      <c r="BF50" s="322">
        <f t="shared" ref="BF50" si="111">SUM(BF44:BF49)</f>
        <v>1.1374456809074587</v>
      </c>
      <c r="BG50" s="322">
        <f t="shared" ref="BG50" si="112">SUM(BG44:BG49)</f>
        <v>0.93884360465310035</v>
      </c>
      <c r="BH50" s="322">
        <f t="shared" ref="BH50" si="113">SUM(BH44:BH49)</f>
        <v>1.1613081861236809</v>
      </c>
      <c r="BI50" s="322">
        <f t="shared" ref="BI50" si="114">SUM(BI44:BI49)</f>
        <v>2.374973410946303</v>
      </c>
      <c r="BJ50" s="322">
        <f t="shared" ref="BJ50" si="115">SUM(BJ44:BJ49)</f>
        <v>1.0467094272694797</v>
      </c>
      <c r="BM50" t="str">
        <f t="shared" si="88"/>
        <v>T-HGT-ICE_DST00</v>
      </c>
      <c r="BN50" s="361">
        <f>G31*1000*AF!D26*1000*ACT2FLO!E31/1000000</f>
        <v>9384.6470770483211</v>
      </c>
    </row>
    <row r="51" spans="2:66">
      <c r="G51" s="8"/>
      <c r="H51" s="8"/>
      <c r="I51" s="8"/>
      <c r="J51" s="8"/>
      <c r="K51" s="8"/>
      <c r="L51" s="8"/>
      <c r="M51" s="8"/>
      <c r="N51" s="8"/>
      <c r="O51" s="8"/>
      <c r="P51" s="8"/>
      <c r="Q51" s="8"/>
      <c r="R51" s="8"/>
      <c r="S51" s="8"/>
      <c r="T51" s="8"/>
      <c r="U51" s="8"/>
      <c r="V51" s="8"/>
      <c r="W51" s="8"/>
      <c r="X51" s="8"/>
      <c r="Y51" s="8"/>
      <c r="Z51" s="8"/>
      <c r="AA51" s="8"/>
      <c r="AB51" s="8"/>
      <c r="AC51" s="8"/>
      <c r="AD51" s="8"/>
      <c r="AE51" s="8"/>
      <c r="AF51" s="8"/>
      <c r="BM51" t="str">
        <f t="shared" si="88"/>
        <v>T-GTR-ICE_DST00</v>
      </c>
      <c r="BN51" s="361">
        <f>G32*1000*AF!D27*1000*ACT2FLO!E32/1000000</f>
        <v>90.842664639999995</v>
      </c>
    </row>
    <row r="52" spans="2:66">
      <c r="G52" s="8"/>
      <c r="H52" s="8"/>
      <c r="I52" s="8"/>
      <c r="J52" s="8"/>
      <c r="K52" s="8"/>
      <c r="L52" s="8"/>
      <c r="M52" s="8"/>
      <c r="N52" s="8"/>
      <c r="O52" s="8"/>
      <c r="P52" s="8"/>
      <c r="Q52" s="8"/>
      <c r="R52" s="8"/>
      <c r="S52" s="8"/>
      <c r="T52" s="8"/>
      <c r="U52" s="8"/>
      <c r="V52" s="8"/>
      <c r="W52" s="8"/>
      <c r="X52" s="8"/>
      <c r="Y52" s="8"/>
      <c r="Z52" s="8"/>
      <c r="AA52" s="8"/>
      <c r="AB52" s="8"/>
      <c r="AC52" s="8"/>
      <c r="AD52" s="8"/>
      <c r="AE52" s="8"/>
      <c r="AF52" s="8"/>
    </row>
    <row r="53" spans="2:66">
      <c r="C53" s="141" t="s">
        <v>75</v>
      </c>
      <c r="AI53" t="s">
        <v>993</v>
      </c>
    </row>
    <row r="54" spans="2:66" ht="15" thickBot="1">
      <c r="B54" s="35" t="s">
        <v>768</v>
      </c>
      <c r="C54" s="35" t="s">
        <v>69</v>
      </c>
      <c r="D54" s="278" t="s">
        <v>169</v>
      </c>
      <c r="E54" s="278" t="s">
        <v>1044</v>
      </c>
      <c r="G54" s="8"/>
      <c r="J54" s="8"/>
      <c r="K54" s="8"/>
      <c r="L54" s="8"/>
      <c r="M54" s="8"/>
      <c r="N54" s="8"/>
      <c r="O54" s="8"/>
      <c r="P54" s="8"/>
      <c r="Q54" s="8"/>
      <c r="R54" s="8"/>
      <c r="S54" s="8"/>
      <c r="T54" s="8"/>
      <c r="U54" s="8"/>
      <c r="V54" s="8"/>
      <c r="W54" s="8"/>
      <c r="X54" s="8"/>
      <c r="Y54" s="8"/>
      <c r="Z54" s="8"/>
      <c r="AA54" s="8"/>
      <c r="AB54" s="8"/>
      <c r="AC54" s="8"/>
      <c r="AD54" s="8"/>
      <c r="AE54" s="8"/>
      <c r="AF54" s="8"/>
      <c r="AI54" s="82" t="s">
        <v>331</v>
      </c>
      <c r="AJ54" s="82" t="str">
        <f>AJ43</f>
        <v>IE</v>
      </c>
      <c r="AK54" s="82" t="str">
        <f t="shared" ref="AK54:BJ54" si="116">AK43</f>
        <v>IE-CW</v>
      </c>
      <c r="AL54" s="82" t="str">
        <f t="shared" si="116"/>
        <v>IE-D</v>
      </c>
      <c r="AM54" s="82" t="str">
        <f t="shared" si="116"/>
        <v>IE-KE</v>
      </c>
      <c r="AN54" s="82" t="str">
        <f t="shared" si="116"/>
        <v>IE-KK</v>
      </c>
      <c r="AO54" s="82" t="str">
        <f t="shared" si="116"/>
        <v>IE-LS</v>
      </c>
      <c r="AP54" s="82" t="str">
        <f t="shared" si="116"/>
        <v>IE-LD</v>
      </c>
      <c r="AQ54" s="82" t="str">
        <f t="shared" si="116"/>
        <v>IE-LH</v>
      </c>
      <c r="AR54" s="82" t="str">
        <f t="shared" si="116"/>
        <v>IE-MH</v>
      </c>
      <c r="AS54" s="82" t="str">
        <f t="shared" si="116"/>
        <v>IE-OY</v>
      </c>
      <c r="AT54" s="82" t="str">
        <f t="shared" si="116"/>
        <v>IE-WH</v>
      </c>
      <c r="AU54" s="82" t="str">
        <f t="shared" si="116"/>
        <v>IE-WX</v>
      </c>
      <c r="AV54" s="82" t="str">
        <f t="shared" si="116"/>
        <v>IE-WW</v>
      </c>
      <c r="AW54" s="82" t="str">
        <f t="shared" si="116"/>
        <v>IE-CE</v>
      </c>
      <c r="AX54" s="82" t="str">
        <f t="shared" si="116"/>
        <v>IE-CO</v>
      </c>
      <c r="AY54" s="82" t="str">
        <f t="shared" si="116"/>
        <v>IE-KY</v>
      </c>
      <c r="AZ54" s="82" t="str">
        <f t="shared" si="116"/>
        <v>IE-LK</v>
      </c>
      <c r="BA54" s="82" t="str">
        <f t="shared" si="116"/>
        <v>IE-TA</v>
      </c>
      <c r="BB54" s="82" t="str">
        <f t="shared" si="116"/>
        <v>IE-WD</v>
      </c>
      <c r="BC54" s="82" t="str">
        <f t="shared" si="116"/>
        <v>IE-G</v>
      </c>
      <c r="BD54" s="82" t="str">
        <f t="shared" si="116"/>
        <v>IE-LM</v>
      </c>
      <c r="BE54" s="82" t="str">
        <f t="shared" si="116"/>
        <v>IE-MO</v>
      </c>
      <c r="BF54" s="82" t="str">
        <f t="shared" si="116"/>
        <v>IE-RN</v>
      </c>
      <c r="BG54" s="82" t="str">
        <f t="shared" si="116"/>
        <v>IE-SO</v>
      </c>
      <c r="BH54" s="82" t="str">
        <f t="shared" si="116"/>
        <v>IE-CN</v>
      </c>
      <c r="BI54" s="82" t="str">
        <f t="shared" si="116"/>
        <v>IE-DL</v>
      </c>
      <c r="BJ54" s="82" t="str">
        <f t="shared" si="116"/>
        <v>IE-MN</v>
      </c>
    </row>
    <row r="55" spans="2:66" ht="16.5">
      <c r="B55" s="143" t="s">
        <v>632</v>
      </c>
      <c r="C55" s="143"/>
      <c r="D55" s="238"/>
      <c r="E55" s="238" t="s">
        <v>1045</v>
      </c>
      <c r="AI55" t="s">
        <v>340</v>
      </c>
      <c r="AJ55" s="327">
        <f t="shared" ref="AJ55:BJ55" si="117">AJ44-AJ70-AJ83-AJ96</f>
        <v>9.0775131999996928E-4</v>
      </c>
      <c r="AK55" s="327">
        <f t="shared" si="117"/>
        <v>3.8463099999999943E-4</v>
      </c>
      <c r="AL55" s="336">
        <f t="shared" si="117"/>
        <v>1.7542079999995075E-5</v>
      </c>
      <c r="AM55" s="327">
        <f t="shared" si="117"/>
        <v>6.745939199999983E-4</v>
      </c>
      <c r="AN55" s="327">
        <f t="shared" si="117"/>
        <v>1.1254399999999958E-4</v>
      </c>
      <c r="AO55" s="327">
        <f t="shared" si="117"/>
        <v>2.9022999999999994E-4</v>
      </c>
      <c r="AP55" s="327">
        <f t="shared" si="117"/>
        <v>2.8841799999998041E-6</v>
      </c>
      <c r="AQ55" s="327">
        <f t="shared" si="117"/>
        <v>1.5808999999999919E-4</v>
      </c>
      <c r="AR55" s="327">
        <f t="shared" si="117"/>
        <v>6.1759999999983634E-7</v>
      </c>
      <c r="AS55" s="327">
        <f t="shared" si="117"/>
        <v>3.3113599999996281E-6</v>
      </c>
      <c r="AT55" s="327">
        <f t="shared" si="117"/>
        <v>6.4723999999992572E-6</v>
      </c>
      <c r="AU55" s="327">
        <f t="shared" si="117"/>
        <v>1.5862000000001035E-6</v>
      </c>
      <c r="AV55" s="327">
        <f t="shared" si="117"/>
        <v>3.8223999999999897E-5</v>
      </c>
      <c r="AW55" s="327">
        <f t="shared" si="117"/>
        <v>2.4847679999999601E-5</v>
      </c>
      <c r="AX55" s="327">
        <f t="shared" si="117"/>
        <v>6.0122879999999213E-5</v>
      </c>
      <c r="AY55" s="327">
        <f t="shared" si="117"/>
        <v>1.5455999999992691E-6</v>
      </c>
      <c r="AZ55" s="327">
        <f t="shared" si="117"/>
        <v>2.2330000000000527E-5</v>
      </c>
      <c r="BA55" s="327">
        <f t="shared" si="117"/>
        <v>1.2556479999998888E-5</v>
      </c>
      <c r="BB55" s="327">
        <f t="shared" si="117"/>
        <v>1.2386399999999957E-4</v>
      </c>
      <c r="BC55" s="327">
        <f t="shared" si="117"/>
        <v>1.0624959999998643E-5</v>
      </c>
      <c r="BD55" s="327">
        <f t="shared" si="117"/>
        <v>3.0799999999995978E-6</v>
      </c>
      <c r="BE55" s="327">
        <f t="shared" si="117"/>
        <v>3.4825999999993015E-6</v>
      </c>
      <c r="BF55" s="327">
        <f t="shared" si="117"/>
        <v>2.9253499999997703E-6</v>
      </c>
      <c r="BG55" s="327">
        <f t="shared" si="117"/>
        <v>1.5679999999998603E-6</v>
      </c>
      <c r="BH55" s="327">
        <f t="shared" si="117"/>
        <v>1.1452799999999981E-4</v>
      </c>
      <c r="BI55" s="327">
        <f t="shared" si="117"/>
        <v>2.0099840000000098E-5</v>
      </c>
      <c r="BJ55" s="327">
        <f t="shared" si="117"/>
        <v>4.5495999999999471E-6</v>
      </c>
    </row>
    <row r="56" spans="2:66">
      <c r="B56" s="77" t="str">
        <f>_xlfn.TEXTJOIN(",",TRUE,Regions!$C$3:'Regions'!$AD$3)</f>
        <v>IE,IE-CW,IE-D,IE-KE,IE-KK,IE-LS,IE-LD,IE-LH,IE-MH,IE-OY,IE-WH,IE-WX,IE-WW,IE-CE,IE-CO,IE-KY,IE-LK,IE-TA,IE-WD,IE-G,IE-LM,IE-MO,IE-RN,IE-SO,IE-CN,IE-DL,IE-MN</v>
      </c>
      <c r="C56" s="77" t="str">
        <f>C49</f>
        <v>T-WLK_WLK</v>
      </c>
      <c r="D56" s="33">
        <v>100</v>
      </c>
      <c r="E56">
        <v>0</v>
      </c>
      <c r="AI56" t="s">
        <v>339</v>
      </c>
      <c r="AJ56" s="327">
        <f t="shared" ref="AJ56:BJ56" si="118">AJ45-AJ71-AJ84-AJ97</f>
        <v>7.403772347306159E-3</v>
      </c>
      <c r="AK56" s="327">
        <f t="shared" si="118"/>
        <v>4.6179759223747285E-3</v>
      </c>
      <c r="AL56" s="336">
        <f t="shared" si="118"/>
        <v>5.9646149028802498E-3</v>
      </c>
      <c r="AM56" s="327">
        <f t="shared" si="118"/>
        <v>1.3527164057488772E-2</v>
      </c>
      <c r="AN56" s="327">
        <f t="shared" si="118"/>
        <v>7.976437898721267E-3</v>
      </c>
      <c r="AO56" s="327">
        <f t="shared" si="118"/>
        <v>1.3794206747033133E-3</v>
      </c>
      <c r="AP56" s="327">
        <f t="shared" si="118"/>
        <v>1.862440074430205E-4</v>
      </c>
      <c r="AQ56" s="327">
        <f t="shared" si="118"/>
        <v>5.533239026392911E-3</v>
      </c>
      <c r="AR56" s="327">
        <f t="shared" si="118"/>
        <v>1.0567262136346733E-2</v>
      </c>
      <c r="AS56" s="327">
        <f t="shared" si="118"/>
        <v>2.9521114543379356E-3</v>
      </c>
      <c r="AT56" s="327">
        <f t="shared" si="118"/>
        <v>2.4089291476256935E-3</v>
      </c>
      <c r="AU56" s="327">
        <f t="shared" si="118"/>
        <v>7.2393063789962797E-3</v>
      </c>
      <c r="AV56" s="327">
        <f t="shared" si="118"/>
        <v>7.3918699315089764E-4</v>
      </c>
      <c r="AW56" s="327">
        <f t="shared" si="118"/>
        <v>9.0303115479455354E-3</v>
      </c>
      <c r="AX56" s="327">
        <f t="shared" si="118"/>
        <v>1.9445396121482439E-3</v>
      </c>
      <c r="AY56" s="327">
        <f t="shared" si="118"/>
        <v>1.2112778381917932E-2</v>
      </c>
      <c r="AZ56" s="327">
        <f t="shared" si="118"/>
        <v>8.6571321269408585E-3</v>
      </c>
      <c r="BA56" s="327">
        <f t="shared" si="118"/>
        <v>5.3116014566211289E-3</v>
      </c>
      <c r="BB56" s="327">
        <f t="shared" si="118"/>
        <v>1.0631193542468553E-3</v>
      </c>
      <c r="BC56" s="327">
        <f t="shared" si="118"/>
        <v>2.1368938397272608E-3</v>
      </c>
      <c r="BD56" s="327">
        <f t="shared" si="118"/>
        <v>8.0695188315077493E-4</v>
      </c>
      <c r="BE56" s="327">
        <f t="shared" si="118"/>
        <v>6.0211922039269394E-3</v>
      </c>
      <c r="BF56" s="327">
        <f t="shared" si="118"/>
        <v>2.6896360586760037E-3</v>
      </c>
      <c r="BG56" s="327">
        <f t="shared" si="118"/>
        <v>5.0806515136984642E-3</v>
      </c>
      <c r="BH56" s="327">
        <f t="shared" si="118"/>
        <v>5.7643835045663172E-3</v>
      </c>
      <c r="BI56" s="327">
        <f t="shared" si="118"/>
        <v>1.0930954856164465E-2</v>
      </c>
      <c r="BJ56" s="327">
        <f t="shared" si="118"/>
        <v>5.0652062871235359E-3</v>
      </c>
    </row>
    <row r="57" spans="2:66">
      <c r="B57" s="77" t="str">
        <f>_xlfn.TEXTJOIN(",",TRUE,Regions!$C$3:'Regions'!$AD$3)</f>
        <v>IE,IE-CW,IE-D,IE-KE,IE-KK,IE-LS,IE-LD,IE-LH,IE-MH,IE-OY,IE-WH,IE-WX,IE-WW,IE-CE,IE-CO,IE-KY,IE-LK,IE-TA,IE-WD,IE-G,IE-LM,IE-MO,IE-RN,IE-SO,IE-CN,IE-DL,IE-MN</v>
      </c>
      <c r="C57" s="77" t="str">
        <f>C50</f>
        <v>T-CYC_CYC</v>
      </c>
      <c r="D57" s="33">
        <v>100</v>
      </c>
      <c r="E57">
        <v>0</v>
      </c>
      <c r="AI57" t="s">
        <v>336</v>
      </c>
      <c r="AJ57" s="327">
        <f>AJ46-AJ72-AJ85-AJ98</f>
        <v>1.0856320719175305E-3</v>
      </c>
      <c r="AK57" s="327">
        <f t="shared" ref="AK57:BJ57" si="119">AK46-AK72-AK85-AK98</f>
        <v>2.0429215844748085E-5</v>
      </c>
      <c r="AL57" s="336">
        <f>AL46-AL72-AL85-AL98</f>
        <v>3.4271746826484706E-3</v>
      </c>
      <c r="AM57" s="327">
        <f t="shared" si="119"/>
        <v>1.1904720091324844E-4</v>
      </c>
      <c r="AN57" s="327">
        <f t="shared" si="119"/>
        <v>1.9808794520550545E-5</v>
      </c>
      <c r="AO57" s="327">
        <f t="shared" si="119"/>
        <v>8.383677452055132E-5</v>
      </c>
      <c r="AP57" s="327">
        <f t="shared" si="119"/>
        <v>2.9212708675800366E-5</v>
      </c>
      <c r="AQ57" s="327">
        <f t="shared" si="119"/>
        <v>1.7456955922375179E-4</v>
      </c>
      <c r="AR57" s="327">
        <f t="shared" si="119"/>
        <v>1.5864188109592295E-4</v>
      </c>
      <c r="AS57" s="327">
        <f t="shared" si="119"/>
        <v>6.1779993013701302E-5</v>
      </c>
      <c r="AT57" s="327">
        <f t="shared" si="119"/>
        <v>1.1017658602739764E-4</v>
      </c>
      <c r="AU57" s="327">
        <f t="shared" si="119"/>
        <v>1.2369828858450546E-5</v>
      </c>
      <c r="AV57" s="327">
        <f t="shared" si="119"/>
        <v>4.2418040365298573E-5</v>
      </c>
      <c r="AW57" s="327">
        <f t="shared" si="119"/>
        <v>5.1807180365297419E-5</v>
      </c>
      <c r="AX57" s="327">
        <f t="shared" si="119"/>
        <v>4.1475990182652037E-4</v>
      </c>
      <c r="AY57" s="327">
        <f t="shared" si="119"/>
        <v>1.2891438904109789E-4</v>
      </c>
      <c r="AZ57" s="327">
        <f t="shared" si="119"/>
        <v>2.5776943356165156E-4</v>
      </c>
      <c r="BA57" s="327">
        <f t="shared" si="119"/>
        <v>2.0291071689499361E-5</v>
      </c>
      <c r="BB57" s="327">
        <f t="shared" si="119"/>
        <v>7.960164885845427E-5</v>
      </c>
      <c r="BC57" s="327">
        <f t="shared" si="119"/>
        <v>9.8226352420091242E-5</v>
      </c>
      <c r="BD57" s="327">
        <f t="shared" si="119"/>
        <v>2.0985231506849772E-5</v>
      </c>
      <c r="BE57" s="327">
        <f t="shared" si="119"/>
        <v>4.4224128858453247E-5</v>
      </c>
      <c r="BF57" s="327">
        <f t="shared" si="119"/>
        <v>2.445572584475024E-5</v>
      </c>
      <c r="BG57" s="327">
        <f t="shared" si="119"/>
        <v>6.3999130137009155E-6</v>
      </c>
      <c r="BH57" s="327">
        <f t="shared" si="119"/>
        <v>6.763890182650157E-6</v>
      </c>
      <c r="BI57" s="327">
        <f t="shared" si="119"/>
        <v>1.1663275753424646E-4</v>
      </c>
      <c r="BJ57" s="327">
        <f t="shared" si="119"/>
        <v>3.2013431506850223E-5</v>
      </c>
    </row>
    <row r="58" spans="2:66" ht="15.5">
      <c r="B58" s="143" t="str">
        <f>C5</f>
        <v>*Two-wheelers</v>
      </c>
      <c r="C58" s="143"/>
      <c r="D58" s="238"/>
      <c r="E58" s="143"/>
      <c r="AI58" t="s">
        <v>558</v>
      </c>
      <c r="AJ58" s="327">
        <f>AJ47-AJ73-AJ86-AJ99</f>
        <v>8.3756831917281005E-4</v>
      </c>
      <c r="AK58" s="327">
        <f t="shared" ref="AK58:BJ58" si="120">AK47-AK73-AK86-AK99</f>
        <v>3.1262559999981065E-5</v>
      </c>
      <c r="AL58" s="336">
        <f t="shared" si="120"/>
        <v>1.141439660000243E-3</v>
      </c>
      <c r="AM58" s="327">
        <f t="shared" si="120"/>
        <v>7.7059510000004883E-5</v>
      </c>
      <c r="AN58" s="327">
        <f t="shared" si="120"/>
        <v>7.190479999999444E-5</v>
      </c>
      <c r="AO58" s="327">
        <f t="shared" si="120"/>
        <v>2.3321799999996562E-5</v>
      </c>
      <c r="AP58" s="327">
        <f t="shared" si="120"/>
        <v>6.8797500000147838E-6</v>
      </c>
      <c r="AQ58" s="327">
        <f t="shared" si="120"/>
        <v>5.4310000000695746E-6</v>
      </c>
      <c r="AR58" s="327">
        <f t="shared" si="120"/>
        <v>2.3260560000015751E-5</v>
      </c>
      <c r="AS58" s="327">
        <f t="shared" si="120"/>
        <v>6.3602570000015346E-5</v>
      </c>
      <c r="AT58" s="327">
        <f t="shared" si="120"/>
        <v>4.590400000024919E-6</v>
      </c>
      <c r="AU58" s="327">
        <f t="shared" si="120"/>
        <v>3.9955999999868874E-6</v>
      </c>
      <c r="AV58" s="327">
        <f t="shared" si="120"/>
        <v>5.8334039999968779E-5</v>
      </c>
      <c r="AW58" s="327">
        <f t="shared" si="120"/>
        <v>2.4633420000003126E-5</v>
      </c>
      <c r="AX58" s="327">
        <f t="shared" si="120"/>
        <v>2.0708482000003636E-4</v>
      </c>
      <c r="AY58" s="327">
        <f t="shared" si="120"/>
        <v>2.3694080000025153E-5</v>
      </c>
      <c r="AZ58" s="327">
        <f t="shared" si="120"/>
        <v>2.4644480000057811E-5</v>
      </c>
      <c r="BA58" s="327">
        <f t="shared" si="120"/>
        <v>5.4681280000107302E-5</v>
      </c>
      <c r="BB58" s="327">
        <f t="shared" si="120"/>
        <v>3.5953720000009293E-5</v>
      </c>
      <c r="BC58" s="327">
        <f t="shared" si="120"/>
        <v>7.7642880000117209E-5</v>
      </c>
      <c r="BD58" s="327">
        <f t="shared" si="120"/>
        <v>2.5240000000106844E-7</v>
      </c>
      <c r="BE58" s="327">
        <f t="shared" si="120"/>
        <v>1.6032120000009087E-5</v>
      </c>
      <c r="BF58" s="327">
        <f t="shared" si="120"/>
        <v>2.9186000000007428E-5</v>
      </c>
      <c r="BG58" s="327">
        <f t="shared" si="120"/>
        <v>2.324480000016893E-6</v>
      </c>
      <c r="BH58" s="327">
        <f t="shared" si="120"/>
        <v>0.14722297666015732</v>
      </c>
      <c r="BI58" s="327">
        <f t="shared" si="120"/>
        <v>0.50688890424901156</v>
      </c>
      <c r="BJ58" s="327">
        <f t="shared" si="120"/>
        <v>5.499050000003225E-5</v>
      </c>
    </row>
    <row r="59" spans="2:66">
      <c r="B59" s="77" t="str">
        <f>_xlfn.TEXTJOIN(",",TRUE,Regions!$C$3:'Regions'!$AD$3)</f>
        <v>IE,IE-CW,IE-D,IE-KE,IE-KK,IE-LS,IE-LD,IE-LH,IE-MH,IE-OY,IE-WH,IE-WX,IE-WW,IE-CE,IE-CO,IE-KY,IE-LK,IE-TA,IE-WD,IE-G,IE-LM,IE-MO,IE-RN,IE-SO,IE-CN,IE-DL,IE-MN</v>
      </c>
      <c r="C59" s="77" t="str">
        <f>C6</f>
        <v>T-MOT-ICE_GSL00</v>
      </c>
      <c r="D59" s="33">
        <v>10</v>
      </c>
      <c r="E59" s="32">
        <v>0.3422293899248452</v>
      </c>
      <c r="AI59" t="s">
        <v>545</v>
      </c>
      <c r="AJ59" s="327">
        <f>AJ48-AJ74-AJ87-AJ100</f>
        <v>4.0280289999999885E-5</v>
      </c>
      <c r="AK59" s="327">
        <f t="shared" ref="AK59:BJ59" si="121">AK48-AK74-AK87-AK100</f>
        <v>0</v>
      </c>
      <c r="AL59" s="336">
        <f t="shared" si="121"/>
        <v>4.0280289999999885E-5</v>
      </c>
      <c r="AM59" s="327">
        <f t="shared" si="121"/>
        <v>0</v>
      </c>
      <c r="AN59" s="327">
        <f t="shared" si="121"/>
        <v>0</v>
      </c>
      <c r="AO59" s="327">
        <f t="shared" si="121"/>
        <v>0</v>
      </c>
      <c r="AP59" s="327">
        <f t="shared" si="121"/>
        <v>0</v>
      </c>
      <c r="AQ59" s="327">
        <f t="shared" si="121"/>
        <v>0</v>
      </c>
      <c r="AR59" s="327">
        <f t="shared" si="121"/>
        <v>0</v>
      </c>
      <c r="AS59" s="327">
        <f t="shared" si="121"/>
        <v>0</v>
      </c>
      <c r="AT59" s="327">
        <f t="shared" si="121"/>
        <v>0</v>
      </c>
      <c r="AU59" s="327">
        <f t="shared" si="121"/>
        <v>0</v>
      </c>
      <c r="AV59" s="327">
        <f t="shared" si="121"/>
        <v>0</v>
      </c>
      <c r="AW59" s="327">
        <f t="shared" si="121"/>
        <v>0</v>
      </c>
      <c r="AX59" s="327">
        <f t="shared" si="121"/>
        <v>0</v>
      </c>
      <c r="AY59" s="327">
        <f t="shared" si="121"/>
        <v>0</v>
      </c>
      <c r="AZ59" s="327">
        <f t="shared" si="121"/>
        <v>0</v>
      </c>
      <c r="BA59" s="327">
        <f t="shared" si="121"/>
        <v>0</v>
      </c>
      <c r="BB59" s="327">
        <f t="shared" si="121"/>
        <v>0</v>
      </c>
      <c r="BC59" s="327">
        <f t="shared" si="121"/>
        <v>0</v>
      </c>
      <c r="BD59" s="327">
        <f t="shared" si="121"/>
        <v>0</v>
      </c>
      <c r="BE59" s="327">
        <f t="shared" si="121"/>
        <v>0</v>
      </c>
      <c r="BF59" s="327">
        <f t="shared" si="121"/>
        <v>0</v>
      </c>
      <c r="BG59" s="327">
        <f t="shared" si="121"/>
        <v>0</v>
      </c>
      <c r="BH59" s="327">
        <f t="shared" si="121"/>
        <v>0</v>
      </c>
      <c r="BI59" s="327">
        <f t="shared" si="121"/>
        <v>0</v>
      </c>
      <c r="BJ59" s="327">
        <f t="shared" si="121"/>
        <v>0</v>
      </c>
    </row>
    <row r="60" spans="2:66" ht="15.5">
      <c r="B60" s="143" t="str">
        <f>C7</f>
        <v>*Private cars</v>
      </c>
      <c r="C60" s="143"/>
      <c r="D60" s="238"/>
      <c r="E60" s="143"/>
      <c r="AI60" s="79" t="s">
        <v>338</v>
      </c>
      <c r="AJ60" s="328">
        <f>AJ49-AJ75-AJ88-AJ101</f>
        <v>4.3993599994074373E-6</v>
      </c>
      <c r="AK60" s="328">
        <f t="shared" ref="AK60:BJ60" si="122">AK49-AK75-AK88-AK101</f>
        <v>1.0575563472552119E-6</v>
      </c>
      <c r="AL60" s="337">
        <f t="shared" si="122"/>
        <v>4.9267752624371219E-5</v>
      </c>
      <c r="AM60" s="328">
        <f t="shared" si="122"/>
        <v>4.13318551061026E-6</v>
      </c>
      <c r="AN60" s="328">
        <f t="shared" si="122"/>
        <v>1.8433118711830287E-6</v>
      </c>
      <c r="AO60" s="328">
        <f t="shared" si="122"/>
        <v>1.5733128985936928E-6</v>
      </c>
      <c r="AP60" s="328">
        <f t="shared" si="122"/>
        <v>7.592478848683637E-7</v>
      </c>
      <c r="AQ60" s="328">
        <f t="shared" si="122"/>
        <v>2.3941209207345437E-6</v>
      </c>
      <c r="AR60" s="328">
        <f t="shared" si="122"/>
        <v>3.6230945723580987E-6</v>
      </c>
      <c r="AS60" s="328">
        <f t="shared" si="122"/>
        <v>1.4481864397536404E-6</v>
      </c>
      <c r="AT60" s="328">
        <f t="shared" si="122"/>
        <v>1.6489720534237917E-6</v>
      </c>
      <c r="AU60" s="328">
        <f t="shared" si="122"/>
        <v>2.78120303912055E-6</v>
      </c>
      <c r="AV60" s="328">
        <f t="shared" si="122"/>
        <v>2.6456555673043392E-6</v>
      </c>
      <c r="AW60" s="328">
        <f t="shared" si="122"/>
        <v>2.2071185363514711E-6</v>
      </c>
      <c r="AX60" s="328">
        <f t="shared" si="122"/>
        <v>1.0084196921278377E-5</v>
      </c>
      <c r="AY60" s="328">
        <f t="shared" si="122"/>
        <v>2.7437728409990259E-6</v>
      </c>
      <c r="AZ60" s="328">
        <f t="shared" si="122"/>
        <v>3.6204010841478507E-6</v>
      </c>
      <c r="BA60" s="328">
        <f t="shared" si="122"/>
        <v>2.9638215392757683E-6</v>
      </c>
      <c r="BB60" s="328">
        <f t="shared" si="122"/>
        <v>2.1580598995041278E-6</v>
      </c>
      <c r="BC60" s="328">
        <f t="shared" si="122"/>
        <v>4.7936288178757058E-6</v>
      </c>
      <c r="BD60" s="328">
        <f t="shared" si="122"/>
        <v>5.952423170040716E-7</v>
      </c>
      <c r="BE60" s="328">
        <f t="shared" si="122"/>
        <v>2.4242694128401299E-6</v>
      </c>
      <c r="BF60" s="328">
        <f t="shared" si="122"/>
        <v>1.1989551900078166E-6</v>
      </c>
      <c r="BG60" s="328">
        <f t="shared" si="122"/>
        <v>1.2173637886844779E-6</v>
      </c>
      <c r="BH60" s="328">
        <f t="shared" si="122"/>
        <v>1.4150286712019677E-6</v>
      </c>
      <c r="BI60" s="328">
        <f t="shared" si="122"/>
        <v>2.9571156824476086E-6</v>
      </c>
      <c r="BJ60" s="328">
        <f t="shared" si="122"/>
        <v>1.1402928745234131E-6</v>
      </c>
    </row>
    <row r="61" spans="2:66">
      <c r="B61" s="77" t="str">
        <f>_xlfn.TEXTJOIN(",",TRUE,Regions!$C$3:'Regions'!$AD$3)</f>
        <v>IE,IE-CW,IE-D,IE-KE,IE-KK,IE-LS,IE-LD,IE-LH,IE-MH,IE-OY,IE-WH,IE-WX,IE-WW,IE-CE,IE-CO,IE-KY,IE-LK,IE-TA,IE-WD,IE-G,IE-LM,IE-MO,IE-RN,IE-SO,IE-CN,IE-DL,IE-MN</v>
      </c>
      <c r="C61" s="77" t="str">
        <f t="shared" ref="C61:C69" si="123">C8</f>
        <v>T-CAR-ICE_GSL00</v>
      </c>
      <c r="D61" s="33">
        <v>15</v>
      </c>
      <c r="E61" s="32">
        <v>1.0145072391774981</v>
      </c>
    </row>
    <row r="62" spans="2:66">
      <c r="B62" s="77" t="str">
        <f>_xlfn.TEXTJOIN(",",TRUE,Regions!$C$3:'Regions'!$AD$3)</f>
        <v>IE,IE-CW,IE-D,IE-KE,IE-KK,IE-LS,IE-LD,IE-LH,IE-MH,IE-OY,IE-WH,IE-WX,IE-WW,IE-CE,IE-CO,IE-KY,IE-LK,IE-TA,IE-WD,IE-G,IE-LM,IE-MO,IE-RN,IE-SO,IE-CN,IE-DL,IE-MN</v>
      </c>
      <c r="C62" s="77" t="str">
        <f t="shared" si="123"/>
        <v>T-CAR-ICE_DST00</v>
      </c>
      <c r="D62" s="33">
        <v>15</v>
      </c>
      <c r="E62" s="32">
        <v>1.0145072391774981</v>
      </c>
    </row>
    <row r="63" spans="2:66">
      <c r="B63" s="77" t="str">
        <f>_xlfn.TEXTJOIN(",",TRUE,Regions!$C$3:'Regions'!$AD$3)</f>
        <v>IE,IE-CW,IE-D,IE-KE,IE-KK,IE-LS,IE-LD,IE-LH,IE-MH,IE-OY,IE-WH,IE-WX,IE-WW,IE-CE,IE-CO,IE-KY,IE-LK,IE-TA,IE-WD,IE-G,IE-LM,IE-MO,IE-RN,IE-SO,IE-CN,IE-DL,IE-MN</v>
      </c>
      <c r="C63" s="77" t="str">
        <f t="shared" si="123"/>
        <v>T-CAR-ICE_DF00</v>
      </c>
      <c r="D63" s="33">
        <v>15</v>
      </c>
      <c r="E63" s="32">
        <v>1.0145072391774981</v>
      </c>
    </row>
    <row r="64" spans="2:66">
      <c r="B64" s="77" t="str">
        <f>_xlfn.TEXTJOIN(",",TRUE,Regions!$C$3:'Regions'!$AD$3)</f>
        <v>IE,IE-CW,IE-D,IE-KE,IE-KK,IE-LS,IE-LD,IE-LH,IE-MH,IE-OY,IE-WH,IE-WX,IE-WW,IE-CE,IE-CO,IE-KY,IE-LK,IE-TA,IE-WD,IE-G,IE-LM,IE-MO,IE-RN,IE-SO,IE-CN,IE-DL,IE-MN</v>
      </c>
      <c r="C64" s="77" t="str">
        <f t="shared" si="123"/>
        <v>T-CAR-ICE_E8500</v>
      </c>
      <c r="D64" s="33">
        <v>15</v>
      </c>
      <c r="E64" s="32">
        <v>1.0145072391774981</v>
      </c>
    </row>
    <row r="65" spans="2:62">
      <c r="B65" s="77" t="str">
        <f>_xlfn.TEXTJOIN(",",TRUE,Regions!$C$3:'Regions'!$AD$3)</f>
        <v>IE,IE-CW,IE-D,IE-KE,IE-KK,IE-LS,IE-LD,IE-LH,IE-MH,IE-OY,IE-WH,IE-WX,IE-WW,IE-CE,IE-CO,IE-KY,IE-LK,IE-TA,IE-WD,IE-G,IE-LM,IE-MO,IE-RN,IE-SO,IE-CN,IE-DL,IE-MN</v>
      </c>
      <c r="C65" s="77" t="str">
        <f t="shared" si="123"/>
        <v>T-CAR-HEV_GSL00</v>
      </c>
      <c r="D65" s="33">
        <v>15</v>
      </c>
      <c r="E65" s="32">
        <v>1.0145072391774981</v>
      </c>
    </row>
    <row r="66" spans="2:62">
      <c r="B66" s="77" t="str">
        <f>_xlfn.TEXTJOIN(",",TRUE,Regions!$C$3:'Regions'!$AD$3)</f>
        <v>IE,IE-CW,IE-D,IE-KE,IE-KK,IE-LS,IE-LD,IE-LH,IE-MH,IE-OY,IE-WH,IE-WX,IE-WW,IE-CE,IE-CO,IE-KY,IE-LK,IE-TA,IE-WD,IE-G,IE-LM,IE-MO,IE-RN,IE-SO,IE-CN,IE-DL,IE-MN</v>
      </c>
      <c r="C66" s="77" t="str">
        <f t="shared" si="123"/>
        <v>T-CAR-HEV_DST00</v>
      </c>
      <c r="D66" s="33">
        <v>15</v>
      </c>
      <c r="E66" s="32">
        <v>1.0145072391774981</v>
      </c>
    </row>
    <row r="67" spans="2:62">
      <c r="B67" s="77" t="str">
        <f>_xlfn.TEXTJOIN(",",TRUE,Regions!$C$3:'Regions'!$AD$3)</f>
        <v>IE,IE-CW,IE-D,IE-KE,IE-KK,IE-LS,IE-LD,IE-LH,IE-MH,IE-OY,IE-WH,IE-WX,IE-WW,IE-CE,IE-CO,IE-KY,IE-LK,IE-TA,IE-WD,IE-G,IE-LM,IE-MO,IE-RN,IE-SO,IE-CN,IE-DL,IE-MN</v>
      </c>
      <c r="C67" s="77" t="str">
        <f t="shared" si="123"/>
        <v>T-CAR-PHEV_GSL00</v>
      </c>
      <c r="D67" s="33">
        <v>15</v>
      </c>
      <c r="E67" s="32">
        <v>1.0145072391774981</v>
      </c>
    </row>
    <row r="68" spans="2:62">
      <c r="B68" s="77" t="str">
        <f>_xlfn.TEXTJOIN(",",TRUE,Regions!$C$3:'Regions'!$AD$3)</f>
        <v>IE,IE-CW,IE-D,IE-KE,IE-KK,IE-LS,IE-LD,IE-LH,IE-MH,IE-OY,IE-WH,IE-WX,IE-WW,IE-CE,IE-CO,IE-KY,IE-LK,IE-TA,IE-WD,IE-G,IE-LM,IE-MO,IE-RN,IE-SO,IE-CN,IE-DL,IE-MN</v>
      </c>
      <c r="C68" s="77" t="str">
        <f t="shared" si="123"/>
        <v>T-CAR-PHEV_DST00</v>
      </c>
      <c r="D68" s="33">
        <v>15</v>
      </c>
      <c r="E68" s="32">
        <v>1.0145072391774981</v>
      </c>
      <c r="AI68" t="s">
        <v>988</v>
      </c>
    </row>
    <row r="69" spans="2:62">
      <c r="B69" s="77" t="str">
        <f>_xlfn.TEXTJOIN(",",TRUE,Regions!$C$3:'Regions'!$AD$3)</f>
        <v>IE,IE-CW,IE-D,IE-KE,IE-KK,IE-LS,IE-LD,IE-LH,IE-MH,IE-OY,IE-WH,IE-WX,IE-WW,IE-CE,IE-CO,IE-KY,IE-LK,IE-TA,IE-WD,IE-G,IE-LM,IE-MO,IE-RN,IE-SO,IE-CN,IE-DL,IE-MN</v>
      </c>
      <c r="C69" s="77" t="str">
        <f t="shared" si="123"/>
        <v>T-CAR-BEV_ELC00</v>
      </c>
      <c r="D69" s="33">
        <v>15</v>
      </c>
      <c r="E69" s="32">
        <v>1.0145072391774981</v>
      </c>
      <c r="AI69" s="82" t="s">
        <v>331</v>
      </c>
      <c r="AJ69" s="82" t="str">
        <f t="shared" ref="AJ69:BJ69" si="124">AJ33</f>
        <v>IE</v>
      </c>
      <c r="AK69" s="82" t="str">
        <f t="shared" si="124"/>
        <v>IE-CW</v>
      </c>
      <c r="AL69" s="82" t="str">
        <f t="shared" si="124"/>
        <v>IE-D</v>
      </c>
      <c r="AM69" s="82" t="str">
        <f t="shared" si="124"/>
        <v>IE-KE</v>
      </c>
      <c r="AN69" s="82" t="str">
        <f t="shared" si="124"/>
        <v>IE-KK</v>
      </c>
      <c r="AO69" s="82" t="str">
        <f t="shared" si="124"/>
        <v>IE-LS</v>
      </c>
      <c r="AP69" s="82" t="str">
        <f t="shared" si="124"/>
        <v>IE-LD</v>
      </c>
      <c r="AQ69" s="82" t="str">
        <f t="shared" si="124"/>
        <v>IE-LH</v>
      </c>
      <c r="AR69" s="82" t="str">
        <f t="shared" si="124"/>
        <v>IE-MH</v>
      </c>
      <c r="AS69" s="82" t="str">
        <f t="shared" si="124"/>
        <v>IE-OY</v>
      </c>
      <c r="AT69" s="82" t="str">
        <f t="shared" si="124"/>
        <v>IE-WH</v>
      </c>
      <c r="AU69" s="82" t="str">
        <f t="shared" si="124"/>
        <v>IE-WX</v>
      </c>
      <c r="AV69" s="82" t="str">
        <f t="shared" si="124"/>
        <v>IE-WW</v>
      </c>
      <c r="AW69" s="82" t="str">
        <f t="shared" si="124"/>
        <v>IE-CE</v>
      </c>
      <c r="AX69" s="82" t="str">
        <f t="shared" si="124"/>
        <v>IE-CO</v>
      </c>
      <c r="AY69" s="82" t="str">
        <f t="shared" si="124"/>
        <v>IE-KY</v>
      </c>
      <c r="AZ69" s="82" t="str">
        <f t="shared" si="124"/>
        <v>IE-LK</v>
      </c>
      <c r="BA69" s="82" t="str">
        <f t="shared" si="124"/>
        <v>IE-TA</v>
      </c>
      <c r="BB69" s="82" t="str">
        <f t="shared" si="124"/>
        <v>IE-WD</v>
      </c>
      <c r="BC69" s="82" t="str">
        <f t="shared" si="124"/>
        <v>IE-G</v>
      </c>
      <c r="BD69" s="82" t="str">
        <f t="shared" si="124"/>
        <v>IE-LM</v>
      </c>
      <c r="BE69" s="82" t="str">
        <f t="shared" si="124"/>
        <v>IE-MO</v>
      </c>
      <c r="BF69" s="82" t="str">
        <f t="shared" si="124"/>
        <v>IE-RN</v>
      </c>
      <c r="BG69" s="82" t="str">
        <f t="shared" si="124"/>
        <v>IE-SO</v>
      </c>
      <c r="BH69" s="82" t="str">
        <f t="shared" si="124"/>
        <v>IE-CN</v>
      </c>
      <c r="BI69" s="82" t="str">
        <f t="shared" si="124"/>
        <v>IE-DL</v>
      </c>
      <c r="BJ69" s="82" t="str">
        <f t="shared" si="124"/>
        <v>IE-MN</v>
      </c>
    </row>
    <row r="70" spans="2:62" ht="15.5">
      <c r="B70" s="143" t="str">
        <f>C17</f>
        <v>*Small sevice vehicle</v>
      </c>
      <c r="C70" s="143"/>
      <c r="D70" s="238"/>
      <c r="E70" s="143"/>
      <c r="AI70" t="s">
        <v>340</v>
      </c>
      <c r="AJ70" s="10">
        <f>Demands!C$4*Demands!C35</f>
        <v>1.7503649635036499E-2</v>
      </c>
      <c r="AK70" s="10">
        <f>Demands!D$4*Demands!D35</f>
        <v>1.6058394160583947E-4</v>
      </c>
      <c r="AL70" s="10">
        <f>Demands!E$4*Demands!E35</f>
        <v>5.4598540145985421E-3</v>
      </c>
      <c r="AM70" s="10">
        <f>Demands!F$4*Demands!F35</f>
        <v>9.6350364963503662E-4</v>
      </c>
      <c r="AN70" s="10">
        <f>Demands!G$4*Demands!G35</f>
        <v>3.21167883211679E-4</v>
      </c>
      <c r="AO70" s="10">
        <f>Demands!H$4*Demands!H35</f>
        <v>1.6058394160583945E-4</v>
      </c>
      <c r="AP70" s="10">
        <f>Demands!I$4*Demands!I35</f>
        <v>1.6058394160583945E-4</v>
      </c>
      <c r="AQ70" s="10">
        <f>Demands!J$4*Demands!J35</f>
        <v>3.2116788321167895E-4</v>
      </c>
      <c r="AR70" s="10">
        <f>Demands!K$4*Demands!K35</f>
        <v>8.0291970802919726E-4</v>
      </c>
      <c r="AS70" s="10">
        <f>Demands!L$4*Demands!L35</f>
        <v>3.2116788321167895E-4</v>
      </c>
      <c r="AT70" s="10">
        <f>Demands!M$4*Demands!M35</f>
        <v>3.2116788321167895E-4</v>
      </c>
      <c r="AU70" s="10">
        <f>Demands!N$4*Demands!N35</f>
        <v>6.4233576642335778E-4</v>
      </c>
      <c r="AV70" s="10">
        <f>Demands!O$4*Demands!O35</f>
        <v>6.4233576642335789E-4</v>
      </c>
      <c r="AW70" s="10">
        <f>Demands!P$4*Demands!P35</f>
        <v>4.8175182481751831E-4</v>
      </c>
      <c r="AX70" s="10">
        <f>Demands!Q$4*Demands!Q35</f>
        <v>2.4087591240875917E-3</v>
      </c>
      <c r="AY70" s="10">
        <f>Demands!R$4*Demands!R35</f>
        <v>4.8175182481751837E-4</v>
      </c>
      <c r="AZ70" s="10">
        <f>Demands!S$4*Demands!S35</f>
        <v>6.42335766423358E-4</v>
      </c>
      <c r="BA70" s="10">
        <f>Demands!T$4*Demands!T35</f>
        <v>6.4233576642335789E-4</v>
      </c>
      <c r="BB70" s="10">
        <f>Demands!U$4*Demands!U35</f>
        <v>4.8175182481751837E-4</v>
      </c>
      <c r="BC70" s="10">
        <f>Demands!V$4*Demands!V35</f>
        <v>6.4233576642335778E-4</v>
      </c>
      <c r="BD70" s="10">
        <f>Demands!W$4*Demands!W35</f>
        <v>1.6058394160583947E-4</v>
      </c>
      <c r="BE70" s="10">
        <f>Demands!X$4*Demands!X35</f>
        <v>3.2116788321167895E-4</v>
      </c>
      <c r="BF70" s="10">
        <f>Demands!Y$4*Demands!Y35</f>
        <v>1.6058394160583947E-4</v>
      </c>
      <c r="BG70" s="10">
        <f>Demands!Z$4*Demands!Z35</f>
        <v>1.6058394160583947E-4</v>
      </c>
      <c r="BH70" s="10">
        <f>Demands!AA$4*Demands!AA35</f>
        <v>1.6058394160583947E-4</v>
      </c>
      <c r="BI70" s="10">
        <f>Demands!AB$4*Demands!AB35</f>
        <v>3.2116788321167895E-4</v>
      </c>
      <c r="BJ70" s="10">
        <f>Demands!AC$4*Demands!AC35</f>
        <v>1.6058394160583947E-4</v>
      </c>
    </row>
    <row r="71" spans="2:62">
      <c r="B71" s="77" t="str">
        <f>_xlfn.TEXTJOIN(",",TRUE,Regions!$C$3:'Regions'!$AD$3)</f>
        <v>IE,IE-CW,IE-D,IE-KE,IE-KK,IE-LS,IE-LD,IE-LH,IE-MH,IE-OY,IE-WH,IE-WX,IE-WW,IE-CE,IE-CO,IE-KY,IE-LK,IE-TA,IE-WD,IE-G,IE-LM,IE-MO,IE-RN,IE-SO,IE-CN,IE-DL,IE-MN</v>
      </c>
      <c r="C71" s="77" t="str">
        <f>C18</f>
        <v>T-TAX-ICE_GSL00</v>
      </c>
      <c r="D71" s="33">
        <v>10</v>
      </c>
      <c r="E71" s="32">
        <v>1.0145072391774981</v>
      </c>
      <c r="AI71" t="s">
        <v>339</v>
      </c>
      <c r="AJ71" s="10">
        <f>Demands!C$4*Demands!C36</f>
        <v>7.4852297533110148</v>
      </c>
      <c r="AK71" s="10">
        <f>Demands!D$4*Demands!D36</f>
        <v>0.11006160990359191</v>
      </c>
      <c r="AL71" s="10">
        <f>Demands!E$4*Demands!E36</f>
        <v>1.5835140131875958</v>
      </c>
      <c r="AM71" s="10">
        <f>Demands!F$4*Demands!F36</f>
        <v>0.37866187150196096</v>
      </c>
      <c r="AN71" s="10">
        <f>Demands!G$4*Demands!G36</f>
        <v>0.17206228996270426</v>
      </c>
      <c r="AO71" s="10">
        <f>Demands!H$4*Demands!H36</f>
        <v>0.14002167006638444</v>
      </c>
      <c r="AP71" s="10">
        <f>Demands!I$4*Demands!I36</f>
        <v>7.073903093992677E-2</v>
      </c>
      <c r="AQ71" s="10">
        <f>Demands!J$4*Demands!J36</f>
        <v>0.18766648796415863</v>
      </c>
      <c r="AR71" s="10">
        <f>Demands!K$4*Demands!K36</f>
        <v>0.33538622904459398</v>
      </c>
      <c r="AS71" s="10">
        <f>Demands!L$4*Demands!L36</f>
        <v>0.13710888643944633</v>
      </c>
      <c r="AT71" s="10">
        <f>Demands!M$4*Demands!M36</f>
        <v>0.16332393908188975</v>
      </c>
      <c r="AU71" s="10">
        <f>Demands!N$4*Demands!N36</f>
        <v>0.28815752309352516</v>
      </c>
      <c r="AV71" s="10">
        <f>Demands!O$4*Demands!O36</f>
        <v>0.2415529850625146</v>
      </c>
      <c r="AW71" s="10">
        <f>Demands!P$4*Demands!P36</f>
        <v>0.22282794746076934</v>
      </c>
      <c r="AX71" s="10">
        <f>Demands!Q$4*Demands!Q36</f>
        <v>0.89422457347001538</v>
      </c>
      <c r="AY71" s="10">
        <f>Demands!R$4*Demands!R36</f>
        <v>0.26589553394478355</v>
      </c>
      <c r="AZ71" s="10">
        <f>Demands!S$4*Demands!S36</f>
        <v>0.32872843789730677</v>
      </c>
      <c r="BA71" s="10">
        <f>Demands!T$4*Demands!T36</f>
        <v>0.31478868768267404</v>
      </c>
      <c r="BB71" s="10">
        <f>Demands!U$4*Demands!U36</f>
        <v>0.20472707777908219</v>
      </c>
      <c r="BC71" s="10">
        <f>Demands!V$4*Demands!V36</f>
        <v>0.43067586484014231</v>
      </c>
      <c r="BD71" s="10">
        <f>Demands!W$4*Demands!W36</f>
        <v>5.9295952405526854E-2</v>
      </c>
      <c r="BE71" s="10">
        <f>Demands!X$4*Demands!X36</f>
        <v>0.23635158572869652</v>
      </c>
      <c r="BF71" s="10">
        <f>Demands!Y$4*Demands!Y36</f>
        <v>0.13752499838615176</v>
      </c>
      <c r="BG71" s="10">
        <f>Demands!Z$4*Demands!Z36</f>
        <v>0.10922938601018103</v>
      </c>
      <c r="BH71" s="10">
        <f>Demands!AA$4*Demands!AA36</f>
        <v>0.12753831166522089</v>
      </c>
      <c r="BI71" s="10">
        <f>Demands!AB$4*Demands!AB36</f>
        <v>0.24280132090263093</v>
      </c>
      <c r="BJ71" s="10">
        <f>Demands!AC$4*Demands!AC36</f>
        <v>0.10236353888954106</v>
      </c>
    </row>
    <row r="72" spans="2:62">
      <c r="B72" s="77" t="str">
        <f>_xlfn.TEXTJOIN(",",TRUE,Regions!$C$3:'Regions'!$AD$3)</f>
        <v>IE,IE-CW,IE-D,IE-KE,IE-KK,IE-LS,IE-LD,IE-LH,IE-MH,IE-OY,IE-WH,IE-WX,IE-WW,IE-CE,IE-CO,IE-KY,IE-LK,IE-TA,IE-WD,IE-G,IE-LM,IE-MO,IE-RN,IE-SO,IE-CN,IE-DL,IE-MN</v>
      </c>
      <c r="C72" s="77" t="str">
        <f>C19</f>
        <v>T-TAX-ICE_DST00</v>
      </c>
      <c r="D72" s="33">
        <v>10</v>
      </c>
      <c r="E72" s="32">
        <v>1.0145072391774981</v>
      </c>
      <c r="AI72" t="s">
        <v>336</v>
      </c>
      <c r="AJ72" s="10">
        <f>Demands!C$4*Demands!C37</f>
        <v>0.23872184365296803</v>
      </c>
      <c r="AK72" s="10">
        <f>Demands!D$4*Demands!D37</f>
        <v>1.4209633550771902E-3</v>
      </c>
      <c r="AL72" s="10">
        <f>Demands!E$4*Demands!E37</f>
        <v>0.12220284853663842</v>
      </c>
      <c r="AM72" s="10">
        <f>Demands!F$4*Demands!F37</f>
        <v>9.9467434855403328E-3</v>
      </c>
      <c r="AN72" s="10">
        <f>Demands!G$4*Demands!G37</f>
        <v>2.5577340391389428E-3</v>
      </c>
      <c r="AO72" s="10">
        <f>Demands!H$4*Demands!H37</f>
        <v>2.5577340391389428E-3</v>
      </c>
      <c r="AP72" s="10">
        <f>Demands!I$4*Demands!I37</f>
        <v>1.136770684061752E-3</v>
      </c>
      <c r="AQ72" s="10">
        <f>Demands!J$4*Demands!J37</f>
        <v>7.1048167753859507E-3</v>
      </c>
      <c r="AR72" s="10">
        <f>Demands!K$4*Demands!K37</f>
        <v>1.1936092182648399E-2</v>
      </c>
      <c r="AS72" s="10">
        <f>Demands!L$4*Demands!L37</f>
        <v>1.7051560260926285E-3</v>
      </c>
      <c r="AT72" s="10">
        <f>Demands!M$4*Demands!M37</f>
        <v>3.410312052185257E-3</v>
      </c>
      <c r="AU72" s="10">
        <f>Demands!N$4*Demands!N37</f>
        <v>3.1261193811698185E-3</v>
      </c>
      <c r="AV72" s="10">
        <f>Demands!O$4*Demands!O37</f>
        <v>3.9786973942161335E-3</v>
      </c>
      <c r="AW72" s="10">
        <f>Demands!P$4*Demands!P37</f>
        <v>3.9786973942161335E-3</v>
      </c>
      <c r="AX72" s="10">
        <f>Demands!Q$4*Demands!Q37</f>
        <v>1.9893486971080666E-2</v>
      </c>
      <c r="AY72" s="10">
        <f>Demands!R$4*Demands!R37</f>
        <v>5.1154680782778857E-3</v>
      </c>
      <c r="AZ72" s="10">
        <f>Demands!S$4*Demands!S37</f>
        <v>7.6732021174168285E-3</v>
      </c>
      <c r="BA72" s="10">
        <f>Demands!T$4*Demands!T37</f>
        <v>2.8419267101543804E-3</v>
      </c>
      <c r="BB72" s="10">
        <f>Demands!U$4*Demands!U37</f>
        <v>3.1261193811698189E-3</v>
      </c>
      <c r="BC72" s="10">
        <f>Demands!V$4*Demands!V37</f>
        <v>1.0799321498586647E-2</v>
      </c>
      <c r="BD72" s="10">
        <f>Demands!W$4*Demands!W37</f>
        <v>8.5257801304631435E-4</v>
      </c>
      <c r="BE72" s="10">
        <f>Demands!X$4*Demands!X37</f>
        <v>3.1261193811698189E-3</v>
      </c>
      <c r="BF72" s="10">
        <f>Demands!Y$4*Demands!Y37</f>
        <v>1.4209633550771904E-3</v>
      </c>
      <c r="BG72" s="10">
        <f>Demands!Z$4*Demands!Z37</f>
        <v>1.7051560260926285E-3</v>
      </c>
      <c r="BH72" s="10">
        <f>Demands!AA$4*Demands!AA37</f>
        <v>1.9893486971080667E-3</v>
      </c>
      <c r="BI72" s="10">
        <f>Demands!AB$4*Demands!AB37</f>
        <v>4.2628900652315711E-3</v>
      </c>
      <c r="BJ72" s="10">
        <f>Demands!AC$4*Demands!AC37</f>
        <v>8.5257801304631413E-4</v>
      </c>
    </row>
    <row r="73" spans="2:62">
      <c r="B73" s="77" t="str">
        <f>_xlfn.TEXTJOIN(",",TRUE,Regions!$C$3:'Regions'!$AD$3)</f>
        <v>IE,IE-CW,IE-D,IE-KE,IE-KK,IE-LS,IE-LD,IE-LH,IE-MH,IE-OY,IE-WH,IE-WX,IE-WW,IE-CE,IE-CO,IE-KY,IE-LK,IE-TA,IE-WD,IE-G,IE-LM,IE-MO,IE-RN,IE-SO,IE-CN,IE-DL,IE-MN</v>
      </c>
      <c r="C73" s="77" t="str">
        <f>C20</f>
        <v>T-TAX-HEV_GSL00</v>
      </c>
      <c r="D73" s="33">
        <v>10</v>
      </c>
      <c r="E73" s="32">
        <v>1.0145072391774981</v>
      </c>
      <c r="AI73" t="s">
        <v>558</v>
      </c>
      <c r="AJ73" s="10">
        <f>Demands!C$4*Demands!C38</f>
        <v>1.2044243616479546</v>
      </c>
      <c r="AK73" s="10">
        <f>Demands!D$4*Demands!D38</f>
        <v>1.3374233128834354E-2</v>
      </c>
      <c r="AL73" s="10">
        <f>Demands!E$4*Demands!E38</f>
        <v>0.43466257668711655</v>
      </c>
      <c r="AM73" s="10">
        <f>Demands!F$4*Demands!F38</f>
        <v>5.6840490797546002E-2</v>
      </c>
      <c r="AN73" s="10">
        <f>Demands!G$4*Demands!G38</f>
        <v>3.6779141104294477E-2</v>
      </c>
      <c r="AO73" s="10">
        <f>Demands!H$4*Demands!H38</f>
        <v>1.6717791411042942E-2</v>
      </c>
      <c r="AP73" s="10">
        <f>Demands!I$4*Demands!I38</f>
        <v>1.0030674846625764E-2</v>
      </c>
      <c r="AQ73" s="10">
        <f>Demands!J$4*Demands!J38</f>
        <v>2.6748466257668711E-2</v>
      </c>
      <c r="AR73" s="10">
        <f>Demands!K$4*Demands!K38</f>
        <v>3.6779141104294477E-2</v>
      </c>
      <c r="AS73" s="10">
        <f>Demands!L$4*Demands!L38</f>
        <v>2.3404907975460125E-2</v>
      </c>
      <c r="AT73" s="10">
        <f>Demands!M$4*Demands!M38</f>
        <v>1.6717791411042945E-2</v>
      </c>
      <c r="AU73" s="10">
        <f>Demands!N$4*Demands!N38</f>
        <v>3.3435582822085884E-2</v>
      </c>
      <c r="AV73" s="10">
        <f>Demands!O$4*Demands!O38</f>
        <v>3.0092024539877298E-2</v>
      </c>
      <c r="AW73" s="10">
        <f>Demands!P$4*Demands!P38</f>
        <v>2.3404907975460125E-2</v>
      </c>
      <c r="AX73" s="10">
        <f>Demands!Q$4*Demands!Q38</f>
        <v>9.6963190184049086E-2</v>
      </c>
      <c r="AY73" s="10">
        <f>Demands!R$4*Demands!R38</f>
        <v>6.0184049079754602E-2</v>
      </c>
      <c r="AZ73" s="10">
        <f>Demands!S$4*Demands!S38</f>
        <v>3.6779141104294477E-2</v>
      </c>
      <c r="BA73" s="10">
        <f>Demands!T$4*Demands!T38</f>
        <v>4.346625766871165E-2</v>
      </c>
      <c r="BB73" s="10">
        <f>Demands!U$4*Demands!U38</f>
        <v>2.0061349693251535E-2</v>
      </c>
      <c r="BC73" s="10">
        <f>Demands!V$4*Demands!V38</f>
        <v>7.0214723926380368E-2</v>
      </c>
      <c r="BD73" s="10">
        <f>Demands!W$4*Demands!W38</f>
        <v>6.6871165644171778E-3</v>
      </c>
      <c r="BE73" s="10">
        <f>Demands!X$4*Demands!X38</f>
        <v>4.3466257668711657E-2</v>
      </c>
      <c r="BF73" s="10">
        <f>Demands!Y$4*Demands!Y38</f>
        <v>1.3374233128834356E-2</v>
      </c>
      <c r="BG73" s="10">
        <f>Demands!Z$4*Demands!Z38</f>
        <v>1.3374233128834356E-2</v>
      </c>
      <c r="BH73" s="10">
        <f>Demands!AA$4*Demands!AA38</f>
        <v>5.5902179975267112E-3</v>
      </c>
      <c r="BI73" s="10">
        <f>Demands!AB$4*Demands!AB38</f>
        <v>1.8402786197531825E-3</v>
      </c>
      <c r="BJ73" s="10">
        <f>Demands!AC$4*Demands!AC38</f>
        <v>3.3435582822085884E-2</v>
      </c>
    </row>
    <row r="74" spans="2:62" ht="15.5">
      <c r="B74" s="143" t="str">
        <f>C21</f>
        <v>*Large sevice vehicle</v>
      </c>
      <c r="C74" s="143"/>
      <c r="D74" s="265"/>
      <c r="E74" s="143"/>
      <c r="AI74" t="s">
        <v>545</v>
      </c>
      <c r="AJ74" s="10">
        <f>Demands!C$4*Demands!C39</f>
        <v>0.11204032899999999</v>
      </c>
      <c r="AK74" s="10">
        <f>Demands!D$4*Demands!D39</f>
        <v>0</v>
      </c>
      <c r="AL74" s="10">
        <f>Demands!E$4*Demands!E39</f>
        <v>0.11204032900000001</v>
      </c>
      <c r="AM74" s="10">
        <f>Demands!F$4*Demands!F39</f>
        <v>0</v>
      </c>
      <c r="AN74" s="10">
        <f>Demands!G$4*Demands!G39</f>
        <v>0</v>
      </c>
      <c r="AO74" s="10">
        <f>Demands!H$4*Demands!H39</f>
        <v>0</v>
      </c>
      <c r="AP74" s="10">
        <f>Demands!I$4*Demands!I39</f>
        <v>0</v>
      </c>
      <c r="AQ74" s="10">
        <f>Demands!J$4*Demands!J39</f>
        <v>0</v>
      </c>
      <c r="AR74" s="10">
        <f>Demands!K$4*Demands!K39</f>
        <v>0</v>
      </c>
      <c r="AS74" s="10">
        <f>Demands!L$4*Demands!L39</f>
        <v>0</v>
      </c>
      <c r="AT74" s="10">
        <f>Demands!M$4*Demands!M39</f>
        <v>0</v>
      </c>
      <c r="AU74" s="10">
        <f>Demands!N$4*Demands!N39</f>
        <v>0</v>
      </c>
      <c r="AV74" s="10">
        <f>Demands!O$4*Demands!O39</f>
        <v>0</v>
      </c>
      <c r="AW74" s="10">
        <f>Demands!P$4*Demands!P39</f>
        <v>0</v>
      </c>
      <c r="AX74" s="10">
        <f>Demands!Q$4*Demands!Q39</f>
        <v>0</v>
      </c>
      <c r="AY74" s="10">
        <f>Demands!R$4*Demands!R39</f>
        <v>0</v>
      </c>
      <c r="AZ74" s="10">
        <f>Demands!S$4*Demands!S39</f>
        <v>0</v>
      </c>
      <c r="BA74" s="10">
        <f>Demands!T$4*Demands!T39</f>
        <v>0</v>
      </c>
      <c r="BB74" s="10">
        <f>Demands!U$4*Demands!U39</f>
        <v>0</v>
      </c>
      <c r="BC74" s="10">
        <f>Demands!V$4*Demands!V39</f>
        <v>0</v>
      </c>
      <c r="BD74" s="10">
        <f>Demands!W$4*Demands!W39</f>
        <v>0</v>
      </c>
      <c r="BE74" s="10">
        <f>Demands!X$4*Demands!X39</f>
        <v>0</v>
      </c>
      <c r="BF74" s="10">
        <f>Demands!Y$4*Demands!Y39</f>
        <v>0</v>
      </c>
      <c r="BG74" s="10">
        <f>Demands!Z$4*Demands!Z39</f>
        <v>0</v>
      </c>
      <c r="BH74" s="10">
        <f>Demands!AA$4*Demands!AA39</f>
        <v>0</v>
      </c>
      <c r="BI74" s="10">
        <f>Demands!AB$4*Demands!AB39</f>
        <v>0</v>
      </c>
      <c r="BJ74" s="10">
        <f>Demands!AC$4*Demands!AC39</f>
        <v>0</v>
      </c>
    </row>
    <row r="75" spans="2:62">
      <c r="B75" s="77" t="str">
        <f>_xlfn.TEXTJOIN(",",TRUE,Regions!$C$3:'Regions'!$AD$3)</f>
        <v>IE,IE-CW,IE-D,IE-KE,IE-KK,IE-LS,IE-LD,IE-LH,IE-MH,IE-OY,IE-WH,IE-WX,IE-WW,IE-CE,IE-CO,IE-KY,IE-LK,IE-TA,IE-WD,IE-G,IE-LM,IE-MO,IE-RN,IE-SO,IE-CN,IE-DL,IE-MN</v>
      </c>
      <c r="C75" s="77" t="str">
        <f>C22</f>
        <v>T-BUS-ICE_DST00</v>
      </c>
      <c r="D75" s="33">
        <v>15</v>
      </c>
      <c r="E75" s="32">
        <v>5.4979500000000003</v>
      </c>
      <c r="AI75" t="s">
        <v>338</v>
      </c>
      <c r="AJ75" s="10">
        <f>Demands!C$4*Demands!C40</f>
        <v>0</v>
      </c>
      <c r="AK75" s="10">
        <f>Demands!D$4*Demands!D40</f>
        <v>0</v>
      </c>
      <c r="AL75" s="10">
        <f>Demands!E$4*Demands!E40</f>
        <v>0</v>
      </c>
      <c r="AM75" s="10">
        <f>Demands!F$4*Demands!F40</f>
        <v>0</v>
      </c>
      <c r="AN75" s="10">
        <f>Demands!G$4*Demands!G40</f>
        <v>0</v>
      </c>
      <c r="AO75" s="10">
        <f>Demands!H$4*Demands!H40</f>
        <v>0</v>
      </c>
      <c r="AP75" s="10">
        <f>Demands!I$4*Demands!I40</f>
        <v>0</v>
      </c>
      <c r="AQ75" s="10">
        <f>Demands!J$4*Demands!J40</f>
        <v>0</v>
      </c>
      <c r="AR75" s="10">
        <f>Demands!K$4*Demands!K40</f>
        <v>0</v>
      </c>
      <c r="AS75" s="10">
        <f>Demands!L$4*Demands!L40</f>
        <v>0</v>
      </c>
      <c r="AT75" s="10">
        <f>Demands!M$4*Demands!M40</f>
        <v>0</v>
      </c>
      <c r="AU75" s="10">
        <f>Demands!N$4*Demands!N40</f>
        <v>0</v>
      </c>
      <c r="AV75" s="10">
        <f>Demands!O$4*Demands!O40</f>
        <v>0</v>
      </c>
      <c r="AW75" s="10">
        <f>Demands!P$4*Demands!P40</f>
        <v>0</v>
      </c>
      <c r="AX75" s="10">
        <f>Demands!Q$4*Demands!Q40</f>
        <v>0</v>
      </c>
      <c r="AY75" s="10">
        <f>Demands!R$4*Demands!R40</f>
        <v>0</v>
      </c>
      <c r="AZ75" s="10">
        <f>Demands!S$4*Demands!S40</f>
        <v>0</v>
      </c>
      <c r="BA75" s="10">
        <f>Demands!T$4*Demands!T40</f>
        <v>0</v>
      </c>
      <c r="BB75" s="10">
        <f>Demands!U$4*Demands!U40</f>
        <v>0</v>
      </c>
      <c r="BC75" s="10">
        <f>Demands!V$4*Demands!V40</f>
        <v>0</v>
      </c>
      <c r="BD75" s="10">
        <f>Demands!W$4*Demands!W40</f>
        <v>0</v>
      </c>
      <c r="BE75" s="10">
        <f>Demands!X$4*Demands!X40</f>
        <v>0</v>
      </c>
      <c r="BF75" s="10">
        <f>Demands!Y$4*Demands!Y40</f>
        <v>0</v>
      </c>
      <c r="BG75" s="10">
        <f>Demands!Z$4*Demands!Z40</f>
        <v>0</v>
      </c>
      <c r="BH75" s="10">
        <f>Demands!AA$4*Demands!AA40</f>
        <v>0</v>
      </c>
      <c r="BI75" s="10">
        <f>Demands!AB$4*Demands!AB40</f>
        <v>0</v>
      </c>
      <c r="BJ75" s="10">
        <f>Demands!AC$4*Demands!AC40</f>
        <v>0</v>
      </c>
    </row>
    <row r="76" spans="2:62" ht="15.5">
      <c r="B76" s="143" t="str">
        <f>C23</f>
        <v>*Rail</v>
      </c>
      <c r="C76" s="143"/>
      <c r="D76" s="238"/>
      <c r="E76" s="143"/>
      <c r="AI76" s="107" t="s">
        <v>16</v>
      </c>
      <c r="AJ76" s="322">
        <f t="shared" ref="AJ76:BJ76" si="125">SUM(AJ70:AJ75)</f>
        <v>9.0579199372469734</v>
      </c>
      <c r="AK76" s="322">
        <f t="shared" si="125"/>
        <v>0.1250173903291093</v>
      </c>
      <c r="AL76" s="322">
        <f t="shared" si="125"/>
        <v>2.2578796214259493</v>
      </c>
      <c r="AM76" s="322">
        <f t="shared" si="125"/>
        <v>0.44641260943468231</v>
      </c>
      <c r="AN76" s="322">
        <f t="shared" si="125"/>
        <v>0.21172033298934936</v>
      </c>
      <c r="AO76" s="322">
        <f t="shared" si="125"/>
        <v>0.15945777945817216</v>
      </c>
      <c r="AP76" s="322">
        <f t="shared" si="125"/>
        <v>8.2067060412220116E-2</v>
      </c>
      <c r="AQ76" s="322">
        <f t="shared" si="125"/>
        <v>0.221840938880425</v>
      </c>
      <c r="AR76" s="322">
        <f t="shared" si="125"/>
        <v>0.38490438203956606</v>
      </c>
      <c r="AS76" s="322">
        <f t="shared" si="125"/>
        <v>0.16254011832421078</v>
      </c>
      <c r="AT76" s="322">
        <f t="shared" si="125"/>
        <v>0.18377321042832961</v>
      </c>
      <c r="AU76" s="322">
        <f t="shared" si="125"/>
        <v>0.32536156106320419</v>
      </c>
      <c r="AV76" s="322">
        <f t="shared" si="125"/>
        <v>0.27626604276303141</v>
      </c>
      <c r="AW76" s="322">
        <f t="shared" si="125"/>
        <v>0.25069330465526313</v>
      </c>
      <c r="AX76" s="322">
        <f t="shared" si="125"/>
        <v>1.0134900097492325</v>
      </c>
      <c r="AY76" s="322">
        <f t="shared" si="125"/>
        <v>0.33167680292763357</v>
      </c>
      <c r="AZ76" s="322">
        <f t="shared" si="125"/>
        <v>0.37382311688544145</v>
      </c>
      <c r="BA76" s="322">
        <f t="shared" si="125"/>
        <v>0.36173920782796343</v>
      </c>
      <c r="BB76" s="322">
        <f t="shared" si="125"/>
        <v>0.22839629867832109</v>
      </c>
      <c r="BC76" s="322">
        <f t="shared" si="125"/>
        <v>0.51233224603153271</v>
      </c>
      <c r="BD76" s="322">
        <f t="shared" si="125"/>
        <v>6.6996230924596181E-2</v>
      </c>
      <c r="BE76" s="322">
        <f t="shared" si="125"/>
        <v>0.28326513066178971</v>
      </c>
      <c r="BF76" s="322">
        <f t="shared" si="125"/>
        <v>0.15248077881166913</v>
      </c>
      <c r="BG76" s="322">
        <f t="shared" si="125"/>
        <v>0.12446935910671386</v>
      </c>
      <c r="BH76" s="322">
        <f t="shared" si="125"/>
        <v>0.13527846230146151</v>
      </c>
      <c r="BI76" s="322">
        <f t="shared" si="125"/>
        <v>0.24922565747082737</v>
      </c>
      <c r="BJ76" s="322">
        <f t="shared" si="125"/>
        <v>0.13681228366627909</v>
      </c>
    </row>
    <row r="77" spans="2:62">
      <c r="B77" s="77" t="str">
        <f>_xlfn.TEXTJOIN(",",TRUE,Regions!$C$3:'Regions'!$AD$3)</f>
        <v>IE,IE-CW,IE-D,IE-KE,IE-KK,IE-LS,IE-LD,IE-LH,IE-MH,IE-OY,IE-WH,IE-WX,IE-WW,IE-CE,IE-CO,IE-KY,IE-LK,IE-TA,IE-WD,IE-G,IE-LM,IE-MO,IE-RN,IE-SO,IE-CN,IE-DL,IE-MN</v>
      </c>
      <c r="C77" s="77" t="str">
        <f>C24</f>
        <v>T-LPT-BEV_ELC00</v>
      </c>
      <c r="D77" s="33">
        <v>30</v>
      </c>
      <c r="E77" s="32">
        <v>11.579167779363422</v>
      </c>
    </row>
    <row r="78" spans="2:62">
      <c r="B78" s="77" t="str">
        <f>_xlfn.TEXTJOIN(",",TRUE,Regions!$C$3:'Regions'!$AD$3)</f>
        <v>IE,IE-CW,IE-D,IE-KE,IE-KK,IE-LS,IE-LD,IE-LH,IE-MH,IE-OY,IE-WH,IE-WX,IE-WW,IE-CE,IE-CO,IE-KY,IE-LK,IE-TA,IE-WD,IE-G,IE-LM,IE-MO,IE-RN,IE-SO,IE-CN,IE-DL,IE-MN</v>
      </c>
      <c r="C78" s="77" t="str">
        <f>C25</f>
        <v>T-HPT-BEV_ELC00</v>
      </c>
      <c r="D78" s="33">
        <v>30</v>
      </c>
      <c r="E78" s="32">
        <v>46.776118711690231</v>
      </c>
    </row>
    <row r="79" spans="2:62">
      <c r="B79" s="77" t="str">
        <f>_xlfn.TEXTJOIN(",",TRUE,Regions!$C$3:'Regions'!$AD$3)</f>
        <v>IE,IE-CW,IE-D,IE-KE,IE-KK,IE-LS,IE-LD,IE-LH,IE-MH,IE-OY,IE-WH,IE-WX,IE-WW,IE-CE,IE-CO,IE-KY,IE-LK,IE-TA,IE-WD,IE-G,IE-LM,IE-MO,IE-RN,IE-SO,IE-CN,IE-DL,IE-MN</v>
      </c>
      <c r="C79" s="77" t="str">
        <f>C26</f>
        <v>T-HPT-ICE_DST00</v>
      </c>
      <c r="D79" s="33">
        <v>30</v>
      </c>
      <c r="E79" s="32">
        <v>49.463575487765617</v>
      </c>
    </row>
    <row r="80" spans="2:62" ht="15.5">
      <c r="B80" s="143" t="str">
        <f>C27</f>
        <v>*Goods vehicle</v>
      </c>
      <c r="C80" s="143"/>
      <c r="D80" s="238"/>
      <c r="E80" s="143"/>
    </row>
    <row r="81" spans="2:62">
      <c r="B81" s="77" t="str">
        <f>_xlfn.TEXTJOIN(",",TRUE,Regions!$C$3:'Regions'!$AD$3)</f>
        <v>IE,IE-CW,IE-D,IE-KE,IE-KK,IE-LS,IE-LD,IE-LH,IE-MH,IE-OY,IE-WH,IE-WX,IE-WW,IE-CE,IE-CO,IE-KY,IE-LK,IE-TA,IE-WD,IE-G,IE-LM,IE-MO,IE-RN,IE-SO,IE-CN,IE-DL,IE-MN</v>
      </c>
      <c r="C81" s="77" t="str">
        <f>C28</f>
        <v>T-LGT-ICE_GSL00</v>
      </c>
      <c r="D81" s="33">
        <v>20</v>
      </c>
      <c r="E81" s="32">
        <v>0.50484614131470373</v>
      </c>
      <c r="AI81" t="s">
        <v>986</v>
      </c>
    </row>
    <row r="82" spans="2:62">
      <c r="B82" s="77" t="str">
        <f>_xlfn.TEXTJOIN(",",TRUE,Regions!$C$3:'Regions'!$AD$3)</f>
        <v>IE,IE-CW,IE-D,IE-KE,IE-KK,IE-LS,IE-LD,IE-LH,IE-MH,IE-OY,IE-WH,IE-WX,IE-WW,IE-CE,IE-CO,IE-KY,IE-LK,IE-TA,IE-WD,IE-G,IE-LM,IE-MO,IE-RN,IE-SO,IE-CN,IE-DL,IE-MN</v>
      </c>
      <c r="C82" s="77" t="str">
        <f>C29</f>
        <v>T-LGT-ICE_DST00</v>
      </c>
      <c r="D82" s="33">
        <v>20</v>
      </c>
      <c r="E82" s="32">
        <v>0.50484614131470373</v>
      </c>
      <c r="AI82" s="82" t="s">
        <v>331</v>
      </c>
      <c r="AJ82" s="82" t="str">
        <f>AJ69</f>
        <v>IE</v>
      </c>
      <c r="AK82" s="82" t="str">
        <f t="shared" ref="AK82:BJ82" si="126">AK69</f>
        <v>IE-CW</v>
      </c>
      <c r="AL82" s="82" t="str">
        <f t="shared" si="126"/>
        <v>IE-D</v>
      </c>
      <c r="AM82" s="82" t="str">
        <f t="shared" si="126"/>
        <v>IE-KE</v>
      </c>
      <c r="AN82" s="82" t="str">
        <f t="shared" si="126"/>
        <v>IE-KK</v>
      </c>
      <c r="AO82" s="82" t="str">
        <f t="shared" si="126"/>
        <v>IE-LS</v>
      </c>
      <c r="AP82" s="82" t="str">
        <f t="shared" si="126"/>
        <v>IE-LD</v>
      </c>
      <c r="AQ82" s="82" t="str">
        <f t="shared" si="126"/>
        <v>IE-LH</v>
      </c>
      <c r="AR82" s="82" t="str">
        <f t="shared" si="126"/>
        <v>IE-MH</v>
      </c>
      <c r="AS82" s="82" t="str">
        <f t="shared" si="126"/>
        <v>IE-OY</v>
      </c>
      <c r="AT82" s="82" t="str">
        <f t="shared" si="126"/>
        <v>IE-WH</v>
      </c>
      <c r="AU82" s="82" t="str">
        <f t="shared" si="126"/>
        <v>IE-WX</v>
      </c>
      <c r="AV82" s="82" t="str">
        <f t="shared" si="126"/>
        <v>IE-WW</v>
      </c>
      <c r="AW82" s="82" t="str">
        <f t="shared" si="126"/>
        <v>IE-CE</v>
      </c>
      <c r="AX82" s="82" t="str">
        <f t="shared" si="126"/>
        <v>IE-CO</v>
      </c>
      <c r="AY82" s="82" t="str">
        <f t="shared" si="126"/>
        <v>IE-KY</v>
      </c>
      <c r="AZ82" s="82" t="str">
        <f t="shared" si="126"/>
        <v>IE-LK</v>
      </c>
      <c r="BA82" s="82" t="str">
        <f t="shared" si="126"/>
        <v>IE-TA</v>
      </c>
      <c r="BB82" s="82" t="str">
        <f t="shared" si="126"/>
        <v>IE-WD</v>
      </c>
      <c r="BC82" s="82" t="str">
        <f t="shared" si="126"/>
        <v>IE-G</v>
      </c>
      <c r="BD82" s="82" t="str">
        <f t="shared" si="126"/>
        <v>IE-LM</v>
      </c>
      <c r="BE82" s="82" t="str">
        <f t="shared" si="126"/>
        <v>IE-MO</v>
      </c>
      <c r="BF82" s="82" t="str">
        <f t="shared" si="126"/>
        <v>IE-RN</v>
      </c>
      <c r="BG82" s="82" t="str">
        <f t="shared" si="126"/>
        <v>IE-SO</v>
      </c>
      <c r="BH82" s="82" t="str">
        <f t="shared" si="126"/>
        <v>IE-CN</v>
      </c>
      <c r="BI82" s="82" t="str">
        <f t="shared" si="126"/>
        <v>IE-DL</v>
      </c>
      <c r="BJ82" s="82" t="str">
        <f t="shared" si="126"/>
        <v>IE-MN</v>
      </c>
    </row>
    <row r="83" spans="2:62">
      <c r="B83" s="77" t="str">
        <f>_xlfn.TEXTJOIN(",",TRUE,Regions!$C$3:'Regions'!$AD$3)</f>
        <v>IE,IE-CW,IE-D,IE-KE,IE-KK,IE-LS,IE-LD,IE-LH,IE-MH,IE-OY,IE-WH,IE-WX,IE-WW,IE-CE,IE-CO,IE-KY,IE-LK,IE-TA,IE-WD,IE-G,IE-LM,IE-MO,IE-RN,IE-SO,IE-CN,IE-DL,IE-MN</v>
      </c>
      <c r="C83" s="77" t="str">
        <f>C30</f>
        <v>T-MGT-ICE_DST00</v>
      </c>
      <c r="D83" s="33">
        <v>20</v>
      </c>
      <c r="E83" s="32">
        <v>0.50484614131470373</v>
      </c>
      <c r="AI83" t="s">
        <v>340</v>
      </c>
      <c r="AJ83" s="10">
        <f>Demands!C$5*Demands!C49</f>
        <v>0.10239635036496351</v>
      </c>
      <c r="AK83" s="10">
        <f>Demands!D$5*Demands!D49</f>
        <v>9.3941605839416081E-4</v>
      </c>
      <c r="AL83" s="10">
        <f>Demands!E$5*Demands!E49</f>
        <v>3.1940145985401465E-2</v>
      </c>
      <c r="AM83" s="10">
        <f>Demands!F$5*Demands!F49</f>
        <v>5.6364963503649649E-3</v>
      </c>
      <c r="AN83" s="10">
        <f>Demands!G$5*Demands!G49</f>
        <v>1.8788321167883216E-3</v>
      </c>
      <c r="AO83" s="10">
        <f>Demands!H$5*Demands!H49</f>
        <v>9.394160583941607E-4</v>
      </c>
      <c r="AP83" s="10">
        <f>Demands!I$5*Demands!I49</f>
        <v>9.3941605839416081E-4</v>
      </c>
      <c r="AQ83" s="10">
        <f>Demands!J$5*Demands!J49</f>
        <v>1.8788321167883216E-3</v>
      </c>
      <c r="AR83" s="10">
        <f>Demands!K$5*Demands!K49</f>
        <v>4.6970802919708027E-3</v>
      </c>
      <c r="AS83" s="10">
        <f>Demands!L$5*Demands!L49</f>
        <v>1.8788321167883216E-3</v>
      </c>
      <c r="AT83" s="10">
        <f>Demands!M$5*Demands!M49</f>
        <v>1.8788321167883216E-3</v>
      </c>
      <c r="AU83" s="10">
        <f>Demands!N$5*Demands!N49</f>
        <v>3.7576642335766428E-3</v>
      </c>
      <c r="AV83" s="10">
        <f>Demands!O$5*Demands!O49</f>
        <v>3.7576642335766432E-3</v>
      </c>
      <c r="AW83" s="10">
        <f>Demands!P$5*Demands!P49</f>
        <v>2.818248175182482E-3</v>
      </c>
      <c r="AX83" s="10">
        <f>Demands!Q$5*Demands!Q49</f>
        <v>1.409124087591241E-2</v>
      </c>
      <c r="AY83" s="10">
        <f>Demands!R$5*Demands!R49</f>
        <v>2.818248175182482E-3</v>
      </c>
      <c r="AZ83" s="10">
        <f>Demands!S$5*Demands!S49</f>
        <v>3.7576642335766428E-3</v>
      </c>
      <c r="BA83" s="10">
        <f>Demands!T$5*Demands!T49</f>
        <v>3.7576642335766428E-3</v>
      </c>
      <c r="BB83" s="10">
        <f>Demands!U$5*Demands!U49</f>
        <v>2.818248175182482E-3</v>
      </c>
      <c r="BC83" s="10">
        <f>Demands!V$5*Demands!V49</f>
        <v>3.7576642335766432E-3</v>
      </c>
      <c r="BD83" s="10">
        <f>Demands!W$5*Demands!W49</f>
        <v>9.394160583941607E-4</v>
      </c>
      <c r="BE83" s="10">
        <f>Demands!X$5*Demands!X49</f>
        <v>1.8788321167883216E-3</v>
      </c>
      <c r="BF83" s="10">
        <f>Demands!Y$5*Demands!Y49</f>
        <v>9.394160583941607E-4</v>
      </c>
      <c r="BG83" s="10">
        <f>Demands!Z$5*Demands!Z49</f>
        <v>9.394160583941607E-4</v>
      </c>
      <c r="BH83" s="10">
        <f>Demands!AA$5*Demands!AA49</f>
        <v>9.3941605839416081E-4</v>
      </c>
      <c r="BI83" s="10">
        <f>Demands!AB$5*Demands!AB49</f>
        <v>1.8788321167883216E-3</v>
      </c>
      <c r="BJ83" s="10">
        <f>Demands!AC$5*Demands!AC49</f>
        <v>9.3941605839416081E-4</v>
      </c>
    </row>
    <row r="84" spans="2:62">
      <c r="B84" s="77" t="str">
        <f>_xlfn.TEXTJOIN(",",TRUE,Regions!$C$3:'Regions'!$AD$3)</f>
        <v>IE,IE-CW,IE-D,IE-KE,IE-KK,IE-LS,IE-LD,IE-LH,IE-MH,IE-OY,IE-WH,IE-WX,IE-WW,IE-CE,IE-CO,IE-KY,IE-LK,IE-TA,IE-WD,IE-G,IE-LM,IE-MO,IE-RN,IE-SO,IE-CN,IE-DL,IE-MN</v>
      </c>
      <c r="C84" s="77" t="str">
        <f>C31</f>
        <v>T-HGT-ICE_DST00</v>
      </c>
      <c r="D84" s="33">
        <v>20</v>
      </c>
      <c r="E84" s="32">
        <v>0.50484614131470373</v>
      </c>
      <c r="AI84" t="s">
        <v>339</v>
      </c>
      <c r="AJ84" s="10">
        <f>Demands!C$5*Demands!C50</f>
        <v>26.086025690288881</v>
      </c>
      <c r="AK84" s="10">
        <f>Demands!D$5*Demands!D50</f>
        <v>0.38356471051401786</v>
      </c>
      <c r="AL84" s="10">
        <f>Demands!E$5*Demands!E50</f>
        <v>5.5185463359587699</v>
      </c>
      <c r="AM84" s="10">
        <f>Demands!F$5*Demands!F50</f>
        <v>1.3196366221843341</v>
      </c>
      <c r="AN84" s="10">
        <f>Demands!G$5*Demands!G50</f>
        <v>0.59963708052002407</v>
      </c>
      <c r="AO84" s="10">
        <f>Demands!H$5*Demands!H50</f>
        <v>0.48797552018134965</v>
      </c>
      <c r="AP84" s="10">
        <f>Demands!I$5*Demands!I50</f>
        <v>0.24652552282564474</v>
      </c>
      <c r="AQ84" s="10">
        <f>Demands!J$5*Demands!J50</f>
        <v>0.65401771055509283</v>
      </c>
      <c r="AR84" s="10">
        <f>Demands!K$5*Demands!K50</f>
        <v>1.1688210082204098</v>
      </c>
      <c r="AS84" s="10">
        <f>Demands!L$5*Demands!L50</f>
        <v>0.47782446924147032</v>
      </c>
      <c r="AT84" s="10">
        <f>Demands!M$5*Demands!M50</f>
        <v>0.56918392770038551</v>
      </c>
      <c r="AU84" s="10">
        <f>Demands!N$5*Demands!N50</f>
        <v>1.0042289679809351</v>
      </c>
      <c r="AV84" s="10">
        <f>Demands!O$5*Demands!O50</f>
        <v>0.84181215294286338</v>
      </c>
      <c r="AW84" s="10">
        <f>Demands!P$5*Demands!P50</f>
        <v>0.7765553969007809</v>
      </c>
      <c r="AX84" s="10">
        <f>Demands!Q$5*Demands!Q50</f>
        <v>3.1163726385430031</v>
      </c>
      <c r="AY84" s="10">
        <f>Demands!R$5*Demands!R50</f>
        <v>0.92664593579757071</v>
      </c>
      <c r="AZ84" s="10">
        <f>Demands!S$5*Demands!S50</f>
        <v>1.1456186060721139</v>
      </c>
      <c r="BA84" s="10">
        <f>Demands!T$5*Demands!T50</f>
        <v>1.0970385765741189</v>
      </c>
      <c r="BB84" s="10">
        <f>Demands!U$5*Demands!U50</f>
        <v>0.71347386606010121</v>
      </c>
      <c r="BC84" s="10">
        <f>Demands!V$5*Demands!V50</f>
        <v>1.5009053889678956</v>
      </c>
      <c r="BD84" s="10">
        <f>Demands!W$5*Demands!W50</f>
        <v>0.20664639413326102</v>
      </c>
      <c r="BE84" s="10">
        <f>Demands!X$5*Demands!X50</f>
        <v>0.82368527626450716</v>
      </c>
      <c r="BF84" s="10">
        <f>Demands!Y$5*Demands!Y50</f>
        <v>0.47927461937573873</v>
      </c>
      <c r="BG84" s="10">
        <f>Demands!Z$5*Demands!Z50</f>
        <v>0.38066441024548087</v>
      </c>
      <c r="BH84" s="10">
        <f>Demands!AA$5*Demands!AA50</f>
        <v>0.44447101615329476</v>
      </c>
      <c r="BI84" s="10">
        <f>Demands!AB$5*Demands!AB50</f>
        <v>0.84616260334566884</v>
      </c>
      <c r="BJ84" s="10">
        <f>Demands!AC$5*Demands!AC50</f>
        <v>0.35673693303005055</v>
      </c>
    </row>
    <row r="85" spans="2:62">
      <c r="B85" s="272" t="str">
        <f>_xlfn.TEXTJOIN(",",TRUE,Regions!$C$3:'Regions'!$AD$3)</f>
        <v>IE,IE-CW,IE-D,IE-KE,IE-KK,IE-LS,IE-LD,IE-LH,IE-MH,IE-OY,IE-WH,IE-WX,IE-WW,IE-CE,IE-CO,IE-KY,IE-LK,IE-TA,IE-WD,IE-G,IE-LM,IE-MO,IE-RN,IE-SO,IE-CN,IE-DL,IE-MN</v>
      </c>
      <c r="C85" s="272" t="str">
        <f>C32</f>
        <v>T-GTR-ICE_DST00</v>
      </c>
      <c r="D85" s="145">
        <v>30</v>
      </c>
      <c r="E85" s="358">
        <v>0.50484614131470373</v>
      </c>
      <c r="AI85" t="s">
        <v>336</v>
      </c>
      <c r="AJ85" s="10">
        <f>Demands!C$5*Demands!C51</f>
        <v>0.68513169128401818</v>
      </c>
      <c r="AK85" s="10">
        <f>Demands!D$5*Demands!D51</f>
        <v>4.0781648290715367E-3</v>
      </c>
      <c r="AL85" s="10">
        <f>Demands!E$5*Demands!E51</f>
        <v>0.35072217530015215</v>
      </c>
      <c r="AM85" s="10">
        <f>Demands!F$5*Demands!F51</f>
        <v>2.8547153803500747E-2</v>
      </c>
      <c r="AN85" s="10">
        <f>Demands!G$5*Demands!G51</f>
        <v>7.3406966923287627E-3</v>
      </c>
      <c r="AO85" s="10">
        <f>Demands!H$5*Demands!H51</f>
        <v>7.3406966923287627E-3</v>
      </c>
      <c r="AP85" s="10">
        <f>Demands!I$5*Demands!I51</f>
        <v>3.2625318632572291E-3</v>
      </c>
      <c r="AQ85" s="10">
        <f>Demands!J$5*Demands!J51</f>
        <v>2.0390824145357683E-2</v>
      </c>
      <c r="AR85" s="10">
        <f>Demands!K$5*Demands!K51</f>
        <v>3.4256584564200894E-2</v>
      </c>
      <c r="AS85" s="10">
        <f>Demands!L$5*Demands!L51</f>
        <v>4.8937977948858439E-3</v>
      </c>
      <c r="AT85" s="10">
        <f>Demands!M$5*Demands!M51</f>
        <v>9.7875955897716877E-3</v>
      </c>
      <c r="AU85" s="10">
        <f>Demands!N$5*Demands!N51</f>
        <v>8.9719626239573788E-3</v>
      </c>
      <c r="AV85" s="10">
        <f>Demands!O$5*Demands!O51</f>
        <v>1.1418861521400302E-2</v>
      </c>
      <c r="AW85" s="10">
        <f>Demands!P$5*Demands!P51</f>
        <v>1.14188615214003E-2</v>
      </c>
      <c r="AX85" s="10">
        <f>Demands!Q$5*Demands!Q51</f>
        <v>5.7094307607001495E-2</v>
      </c>
      <c r="AY85" s="10">
        <f>Demands!R$5*Demands!R51</f>
        <v>1.4681393384657529E-2</v>
      </c>
      <c r="AZ85" s="10">
        <f>Demands!S$5*Demands!S51</f>
        <v>2.2022090076986293E-2</v>
      </c>
      <c r="BA85" s="10">
        <f>Demands!T$5*Demands!T51</f>
        <v>8.1563296581430716E-3</v>
      </c>
      <c r="BB85" s="10">
        <f>Demands!U$5*Demands!U51</f>
        <v>8.9719626239573788E-3</v>
      </c>
      <c r="BC85" s="10">
        <f>Demands!V$5*Demands!V51</f>
        <v>3.0994052700943665E-2</v>
      </c>
      <c r="BD85" s="10">
        <f>Demands!W$5*Demands!W51</f>
        <v>2.4468988974429219E-3</v>
      </c>
      <c r="BE85" s="10">
        <f>Demands!X$5*Demands!X51</f>
        <v>8.9719626239573788E-3</v>
      </c>
      <c r="BF85" s="10">
        <f>Demands!Y$5*Demands!Y51</f>
        <v>4.0781648290715358E-3</v>
      </c>
      <c r="BG85" s="10">
        <f>Demands!Z$5*Demands!Z51</f>
        <v>4.8937977948858439E-3</v>
      </c>
      <c r="BH85" s="10">
        <f>Demands!AA$5*Demands!AA51</f>
        <v>5.709430760700151E-3</v>
      </c>
      <c r="BI85" s="10">
        <f>Demands!AB$5*Demands!AB51</f>
        <v>1.2234494487214607E-2</v>
      </c>
      <c r="BJ85" s="10">
        <f>Demands!AC$5*Demands!AC51</f>
        <v>2.4468988974429215E-3</v>
      </c>
    </row>
    <row r="86" spans="2:62">
      <c r="AI86" t="s">
        <v>558</v>
      </c>
      <c r="AJ86" s="10">
        <f>Demands!C$5*Demands!C52</f>
        <v>4.1974189003431226</v>
      </c>
      <c r="AK86" s="10">
        <f>Demands!D$5*Demands!D52</f>
        <v>4.6609202453987732E-2</v>
      </c>
      <c r="AL86" s="10">
        <f>Demands!E$5*Demands!E52</f>
        <v>1.5147990797546009</v>
      </c>
      <c r="AM86" s="10">
        <f>Demands!F$5*Demands!F52</f>
        <v>0.19808911042944785</v>
      </c>
      <c r="AN86" s="10">
        <f>Demands!G$5*Demands!G52</f>
        <v>0.12817530674846622</v>
      </c>
      <c r="AO86" s="10">
        <f>Demands!H$5*Demands!H52</f>
        <v>5.8261503067484656E-2</v>
      </c>
      <c r="AP86" s="10">
        <f>Demands!I$5*Demands!I52</f>
        <v>3.4956901840490794E-2</v>
      </c>
      <c r="AQ86" s="10">
        <f>Demands!J$5*Demands!J52</f>
        <v>9.321840490797545E-2</v>
      </c>
      <c r="AR86" s="10">
        <f>Demands!K$5*Demands!K52</f>
        <v>0.12817530674846622</v>
      </c>
      <c r="AS86" s="10">
        <f>Demands!L$5*Demands!L52</f>
        <v>8.1566104294478539E-2</v>
      </c>
      <c r="AT86" s="10">
        <f>Demands!M$5*Demands!M52</f>
        <v>5.8261503067484663E-2</v>
      </c>
      <c r="AU86" s="10">
        <f>Demands!N$5*Demands!N52</f>
        <v>0.1165230061349693</v>
      </c>
      <c r="AV86" s="10">
        <f>Demands!O$5*Demands!O52</f>
        <v>0.10487070552147237</v>
      </c>
      <c r="AW86" s="10">
        <f>Demands!P$5*Demands!P52</f>
        <v>8.1566104294478525E-2</v>
      </c>
      <c r="AX86" s="10">
        <f>Demands!Q$5*Demands!Q52</f>
        <v>0.33791671779141097</v>
      </c>
      <c r="AY86" s="10">
        <f>Demands!R$5*Demands!R52</f>
        <v>0.20974141104294478</v>
      </c>
      <c r="AZ86" s="10">
        <f>Demands!S$5*Demands!S52</f>
        <v>0.12817530674846622</v>
      </c>
      <c r="BA86" s="10">
        <f>Demands!T$5*Demands!T52</f>
        <v>0.15147990797546013</v>
      </c>
      <c r="BB86" s="10">
        <f>Demands!U$5*Demands!U52</f>
        <v>6.9913803680981587E-2</v>
      </c>
      <c r="BC86" s="10">
        <f>Demands!V$5*Demands!V52</f>
        <v>0.24469831288343558</v>
      </c>
      <c r="BD86" s="10">
        <f>Demands!W$5*Demands!W52</f>
        <v>2.3304601226993862E-2</v>
      </c>
      <c r="BE86" s="10">
        <f>Demands!X$5*Demands!X52</f>
        <v>0.15147990797546013</v>
      </c>
      <c r="BF86" s="10">
        <f>Demands!Y$5*Demands!Y52</f>
        <v>4.6609202453987725E-2</v>
      </c>
      <c r="BG86" s="10">
        <f>Demands!Z$5*Demands!Z52</f>
        <v>4.6609202453987725E-2</v>
      </c>
      <c r="BH86" s="10">
        <f>Demands!AA$5*Demands!AA52</f>
        <v>1.9481909721380586E-2</v>
      </c>
      <c r="BI86" s="10">
        <f>Demands!AB$5*Demands!AB52</f>
        <v>6.413370989839841E-3</v>
      </c>
      <c r="BJ86" s="10">
        <f>Demands!AC$5*Demands!AC52</f>
        <v>0.1165230061349693</v>
      </c>
    </row>
    <row r="87" spans="2:62">
      <c r="AI87" t="s">
        <v>545</v>
      </c>
      <c r="AJ87" s="10">
        <f>Demands!C$5*Demands!C53</f>
        <v>0.20514590800000002</v>
      </c>
      <c r="AK87" s="10">
        <f>Demands!D$5*Demands!D53</f>
        <v>0</v>
      </c>
      <c r="AL87" s="10">
        <f>Demands!E$5*Demands!E53</f>
        <v>0.20514590800000002</v>
      </c>
      <c r="AM87" s="10">
        <f>Demands!F$5*Demands!F53</f>
        <v>0</v>
      </c>
      <c r="AN87" s="10">
        <f>Demands!G$5*Demands!G53</f>
        <v>0</v>
      </c>
      <c r="AO87" s="10">
        <f>Demands!H$5*Demands!H53</f>
        <v>0</v>
      </c>
      <c r="AP87" s="10">
        <f>Demands!I$5*Demands!I53</f>
        <v>0</v>
      </c>
      <c r="AQ87" s="10">
        <f>Demands!J$5*Demands!J53</f>
        <v>0</v>
      </c>
      <c r="AR87" s="10">
        <f>Demands!K$5*Demands!K53</f>
        <v>0</v>
      </c>
      <c r="AS87" s="10">
        <f>Demands!L$5*Demands!L53</f>
        <v>0</v>
      </c>
      <c r="AT87" s="10">
        <f>Demands!M$5*Demands!M53</f>
        <v>0</v>
      </c>
      <c r="AU87" s="10">
        <f>Demands!N$5*Demands!N53</f>
        <v>0</v>
      </c>
      <c r="AV87" s="10">
        <f>Demands!O$5*Demands!O53</f>
        <v>0</v>
      </c>
      <c r="AW87" s="10">
        <f>Demands!P$5*Demands!P53</f>
        <v>0</v>
      </c>
      <c r="AX87" s="10">
        <f>Demands!Q$5*Demands!Q53</f>
        <v>0</v>
      </c>
      <c r="AY87" s="10">
        <f>Demands!R$5*Demands!R53</f>
        <v>0</v>
      </c>
      <c r="AZ87" s="10">
        <f>Demands!S$5*Demands!S53</f>
        <v>0</v>
      </c>
      <c r="BA87" s="10">
        <f>Demands!T$5*Demands!T53</f>
        <v>0</v>
      </c>
      <c r="BB87" s="10">
        <f>Demands!U$5*Demands!U53</f>
        <v>0</v>
      </c>
      <c r="BC87" s="10">
        <f>Demands!V$5*Demands!V53</f>
        <v>0</v>
      </c>
      <c r="BD87" s="10">
        <f>Demands!W$5*Demands!W53</f>
        <v>0</v>
      </c>
      <c r="BE87" s="10">
        <f>Demands!X$5*Demands!X53</f>
        <v>0</v>
      </c>
      <c r="BF87" s="10">
        <f>Demands!Y$5*Demands!Y53</f>
        <v>0</v>
      </c>
      <c r="BG87" s="10">
        <f>Demands!Z$5*Demands!Z53</f>
        <v>0</v>
      </c>
      <c r="BH87" s="10">
        <f>Demands!AA$5*Demands!AA53</f>
        <v>0</v>
      </c>
      <c r="BI87" s="10">
        <f>Demands!AB$5*Demands!AB53</f>
        <v>0</v>
      </c>
      <c r="BJ87" s="10">
        <f>Demands!AC$5*Demands!AC53</f>
        <v>0</v>
      </c>
    </row>
    <row r="88" spans="2:62">
      <c r="AI88" t="s">
        <v>338</v>
      </c>
      <c r="AJ88" s="10">
        <f>Demands!C$5*Demands!C54</f>
        <v>0</v>
      </c>
      <c r="AK88" s="10">
        <f>Demands!D$5*Demands!D54</f>
        <v>0</v>
      </c>
      <c r="AL88" s="10">
        <f>Demands!E$5*Demands!E54</f>
        <v>0</v>
      </c>
      <c r="AM88" s="10">
        <f>Demands!F$5*Demands!F54</f>
        <v>0</v>
      </c>
      <c r="AN88" s="10">
        <f>Demands!G$5*Demands!G54</f>
        <v>0</v>
      </c>
      <c r="AO88" s="10">
        <f>Demands!H$5*Demands!H54</f>
        <v>0</v>
      </c>
      <c r="AP88" s="10">
        <f>Demands!I$5*Demands!I54</f>
        <v>0</v>
      </c>
      <c r="AQ88" s="10">
        <f>Demands!J$5*Demands!J54</f>
        <v>0</v>
      </c>
      <c r="AR88" s="10">
        <f>Demands!K$5*Demands!K54</f>
        <v>0</v>
      </c>
      <c r="AS88" s="10">
        <f>Demands!L$5*Demands!L54</f>
        <v>0</v>
      </c>
      <c r="AT88" s="10">
        <f>Demands!M$5*Demands!M54</f>
        <v>0</v>
      </c>
      <c r="AU88" s="10">
        <f>Demands!N$5*Demands!N54</f>
        <v>0</v>
      </c>
      <c r="AV88" s="10">
        <f>Demands!O$5*Demands!O54</f>
        <v>0</v>
      </c>
      <c r="AW88" s="10">
        <f>Demands!P$5*Demands!P54</f>
        <v>0</v>
      </c>
      <c r="AX88" s="10">
        <f>Demands!Q$5*Demands!Q54</f>
        <v>0</v>
      </c>
      <c r="AY88" s="10">
        <f>Demands!R$5*Demands!R54</f>
        <v>0</v>
      </c>
      <c r="AZ88" s="10">
        <f>Demands!S$5*Demands!S54</f>
        <v>0</v>
      </c>
      <c r="BA88" s="10">
        <f>Demands!T$5*Demands!T54</f>
        <v>0</v>
      </c>
      <c r="BB88" s="10">
        <f>Demands!U$5*Demands!U54</f>
        <v>0</v>
      </c>
      <c r="BC88" s="10">
        <f>Demands!V$5*Demands!V54</f>
        <v>0</v>
      </c>
      <c r="BD88" s="10">
        <f>Demands!W$5*Demands!W54</f>
        <v>0</v>
      </c>
      <c r="BE88" s="10">
        <f>Demands!X$5*Demands!X54</f>
        <v>0</v>
      </c>
      <c r="BF88" s="10">
        <f>Demands!Y$5*Demands!Y54</f>
        <v>0</v>
      </c>
      <c r="BG88" s="10">
        <f>Demands!Z$5*Demands!Z54</f>
        <v>0</v>
      </c>
      <c r="BH88" s="10">
        <f>Demands!AA$5*Demands!AA54</f>
        <v>0</v>
      </c>
      <c r="BI88" s="10">
        <f>Demands!AB$5*Demands!AB54</f>
        <v>0</v>
      </c>
      <c r="BJ88" s="10">
        <f>Demands!AC$5*Demands!AC54</f>
        <v>0</v>
      </c>
    </row>
    <row r="89" spans="2:62">
      <c r="AI89" s="107" t="s">
        <v>16</v>
      </c>
      <c r="AJ89" s="322">
        <f t="shared" ref="AJ89:BJ89" si="127">SUM(AJ83:AJ88)</f>
        <v>31.276118540280983</v>
      </c>
      <c r="AK89" s="322">
        <f t="shared" si="127"/>
        <v>0.43519149385547129</v>
      </c>
      <c r="AL89" s="322">
        <f t="shared" si="127"/>
        <v>7.621153644998925</v>
      </c>
      <c r="AM89" s="322">
        <f t="shared" si="127"/>
        <v>1.5519093827676476</v>
      </c>
      <c r="AN89" s="322">
        <f t="shared" si="127"/>
        <v>0.73703191607760732</v>
      </c>
      <c r="AO89" s="322">
        <f t="shared" si="127"/>
        <v>0.55451713599955721</v>
      </c>
      <c r="AP89" s="322">
        <f t="shared" si="127"/>
        <v>0.28568437258778689</v>
      </c>
      <c r="AQ89" s="322">
        <f t="shared" si="127"/>
        <v>0.76950577172521428</v>
      </c>
      <c r="AR89" s="322">
        <f t="shared" si="127"/>
        <v>1.3359499798250476</v>
      </c>
      <c r="AS89" s="322">
        <f t="shared" si="127"/>
        <v>0.56616320344762305</v>
      </c>
      <c r="AT89" s="322">
        <f t="shared" si="127"/>
        <v>0.63911185847443019</v>
      </c>
      <c r="AU89" s="322">
        <f t="shared" si="127"/>
        <v>1.1334816009734383</v>
      </c>
      <c r="AV89" s="322">
        <f t="shared" si="127"/>
        <v>0.96185938421931261</v>
      </c>
      <c r="AW89" s="322">
        <f t="shared" si="127"/>
        <v>0.87235861089184219</v>
      </c>
      <c r="AX89" s="322">
        <f t="shared" si="127"/>
        <v>3.5254749048173282</v>
      </c>
      <c r="AY89" s="322">
        <f t="shared" si="127"/>
        <v>1.1538869884003555</v>
      </c>
      <c r="AZ89" s="322">
        <f t="shared" si="127"/>
        <v>1.2995736671311429</v>
      </c>
      <c r="BA89" s="322">
        <f t="shared" si="127"/>
        <v>1.2604324784412986</v>
      </c>
      <c r="BB89" s="322">
        <f t="shared" si="127"/>
        <v>0.79517788054022265</v>
      </c>
      <c r="BC89" s="322">
        <f t="shared" si="127"/>
        <v>1.7803554187858515</v>
      </c>
      <c r="BD89" s="322">
        <f t="shared" si="127"/>
        <v>0.23333731031609195</v>
      </c>
      <c r="BE89" s="322">
        <f t="shared" si="127"/>
        <v>0.98601597898071303</v>
      </c>
      <c r="BF89" s="322">
        <f t="shared" si="127"/>
        <v>0.53090140271719211</v>
      </c>
      <c r="BG89" s="322">
        <f t="shared" si="127"/>
        <v>0.43310682655274857</v>
      </c>
      <c r="BH89" s="322">
        <f t="shared" si="127"/>
        <v>0.47060177269376963</v>
      </c>
      <c r="BI89" s="322">
        <f t="shared" si="127"/>
        <v>0.86668930093951158</v>
      </c>
      <c r="BJ89" s="322">
        <f t="shared" si="127"/>
        <v>0.47664625412085693</v>
      </c>
    </row>
    <row r="93" spans="2:62" ht="21">
      <c r="C93" s="20" t="s">
        <v>460</v>
      </c>
    </row>
    <row r="94" spans="2:62">
      <c r="G94" s="9"/>
      <c r="J94" s="9"/>
      <c r="K94" s="9"/>
      <c r="L94" s="9"/>
      <c r="M94" s="9"/>
      <c r="N94" s="9"/>
      <c r="O94" s="9"/>
      <c r="P94" s="9"/>
      <c r="Q94" s="9"/>
      <c r="R94" s="9"/>
      <c r="S94" s="9"/>
      <c r="T94" s="9"/>
      <c r="U94" s="9"/>
      <c r="V94" s="9"/>
      <c r="W94" s="9"/>
      <c r="X94" s="9"/>
      <c r="Y94" s="9"/>
      <c r="Z94" s="9"/>
      <c r="AA94" s="9"/>
      <c r="AB94" s="9"/>
      <c r="AC94" s="9"/>
      <c r="AD94" s="9"/>
      <c r="AE94" s="9"/>
      <c r="AF94" s="9"/>
      <c r="AG94" s="9"/>
      <c r="AI94" t="s">
        <v>987</v>
      </c>
    </row>
    <row r="95" spans="2:62">
      <c r="E95" s="369" t="s">
        <v>75</v>
      </c>
      <c r="F95" s="188"/>
      <c r="G95" s="9"/>
      <c r="H95" s="9"/>
      <c r="I95" s="9"/>
      <c r="J95" s="188"/>
      <c r="K95" s="188"/>
      <c r="L95" s="188"/>
      <c r="M95" s="188"/>
      <c r="N95" s="188"/>
      <c r="O95" s="188"/>
      <c r="P95" s="188"/>
      <c r="Q95" s="188"/>
      <c r="R95" s="188"/>
      <c r="S95" s="188"/>
      <c r="T95" s="188"/>
      <c r="U95" s="188"/>
      <c r="V95" s="188"/>
      <c r="W95" s="188"/>
      <c r="X95" s="188"/>
      <c r="Y95" s="188"/>
      <c r="Z95" s="188"/>
      <c r="AA95" s="188"/>
      <c r="AB95" s="188"/>
      <c r="AC95" s="188"/>
      <c r="AD95" s="188"/>
      <c r="AE95" s="188"/>
      <c r="AF95" s="188"/>
      <c r="AI95" s="82" t="s">
        <v>331</v>
      </c>
      <c r="AJ95" s="82" t="str">
        <f>AJ82</f>
        <v>IE</v>
      </c>
      <c r="AK95" s="82" t="str">
        <f t="shared" ref="AK95:BJ95" si="128">AK82</f>
        <v>IE-CW</v>
      </c>
      <c r="AL95" s="82" t="str">
        <f t="shared" si="128"/>
        <v>IE-D</v>
      </c>
      <c r="AM95" s="82" t="str">
        <f t="shared" si="128"/>
        <v>IE-KE</v>
      </c>
      <c r="AN95" s="82" t="str">
        <f t="shared" si="128"/>
        <v>IE-KK</v>
      </c>
      <c r="AO95" s="82" t="str">
        <f t="shared" si="128"/>
        <v>IE-LS</v>
      </c>
      <c r="AP95" s="82" t="str">
        <f t="shared" si="128"/>
        <v>IE-LD</v>
      </c>
      <c r="AQ95" s="82" t="str">
        <f t="shared" si="128"/>
        <v>IE-LH</v>
      </c>
      <c r="AR95" s="82" t="str">
        <f t="shared" si="128"/>
        <v>IE-MH</v>
      </c>
      <c r="AS95" s="82" t="str">
        <f t="shared" si="128"/>
        <v>IE-OY</v>
      </c>
      <c r="AT95" s="82" t="str">
        <f t="shared" si="128"/>
        <v>IE-WH</v>
      </c>
      <c r="AU95" s="82" t="str">
        <f t="shared" si="128"/>
        <v>IE-WX</v>
      </c>
      <c r="AV95" s="82" t="str">
        <f t="shared" si="128"/>
        <v>IE-WW</v>
      </c>
      <c r="AW95" s="82" t="str">
        <f t="shared" si="128"/>
        <v>IE-CE</v>
      </c>
      <c r="AX95" s="82" t="str">
        <f t="shared" si="128"/>
        <v>IE-CO</v>
      </c>
      <c r="AY95" s="82" t="str">
        <f t="shared" si="128"/>
        <v>IE-KY</v>
      </c>
      <c r="AZ95" s="82" t="str">
        <f t="shared" si="128"/>
        <v>IE-LK</v>
      </c>
      <c r="BA95" s="82" t="str">
        <f t="shared" si="128"/>
        <v>IE-TA</v>
      </c>
      <c r="BB95" s="82" t="str">
        <f t="shared" si="128"/>
        <v>IE-WD</v>
      </c>
      <c r="BC95" s="82" t="str">
        <f t="shared" si="128"/>
        <v>IE-G</v>
      </c>
      <c r="BD95" s="82" t="str">
        <f t="shared" si="128"/>
        <v>IE-LM</v>
      </c>
      <c r="BE95" s="82" t="str">
        <f t="shared" si="128"/>
        <v>IE-MO</v>
      </c>
      <c r="BF95" s="82" t="str">
        <f t="shared" si="128"/>
        <v>IE-RN</v>
      </c>
      <c r="BG95" s="82" t="str">
        <f t="shared" si="128"/>
        <v>IE-SO</v>
      </c>
      <c r="BH95" s="82" t="str">
        <f t="shared" si="128"/>
        <v>IE-CN</v>
      </c>
      <c r="BI95" s="82" t="str">
        <f t="shared" si="128"/>
        <v>IE-DL</v>
      </c>
      <c r="BJ95" s="82" t="str">
        <f t="shared" si="128"/>
        <v>IE-MN</v>
      </c>
    </row>
    <row r="96" spans="2:62">
      <c r="B96" s="123" t="s">
        <v>768</v>
      </c>
      <c r="C96" s="123" t="s">
        <v>69</v>
      </c>
      <c r="D96" s="123" t="s">
        <v>76</v>
      </c>
      <c r="E96" s="405" t="s">
        <v>64</v>
      </c>
      <c r="F96" s="405" t="s">
        <v>915</v>
      </c>
      <c r="G96" s="405" t="s">
        <v>916</v>
      </c>
      <c r="H96" s="405" t="s">
        <v>917</v>
      </c>
      <c r="I96" s="405" t="s">
        <v>984</v>
      </c>
      <c r="J96" s="188"/>
      <c r="K96" s="188"/>
      <c r="L96" s="188"/>
      <c r="M96" s="188"/>
      <c r="N96" s="188"/>
      <c r="O96" s="188"/>
      <c r="P96" s="188"/>
      <c r="Q96" s="188"/>
      <c r="R96" s="188"/>
      <c r="S96" s="188"/>
      <c r="T96" s="188"/>
      <c r="U96" s="188"/>
      <c r="V96" s="188"/>
      <c r="W96" s="188"/>
      <c r="X96" s="188"/>
      <c r="Y96" s="188"/>
      <c r="Z96" s="188"/>
      <c r="AA96" s="188"/>
      <c r="AB96" s="188"/>
      <c r="AC96" s="188"/>
      <c r="AD96" s="188"/>
      <c r="AE96" s="188"/>
      <c r="AF96" s="188"/>
      <c r="AI96" t="s">
        <v>340</v>
      </c>
      <c r="AJ96" s="10">
        <f>Demands!C$6*Demands!C63</f>
        <v>0</v>
      </c>
      <c r="AK96" s="10">
        <f>Demands!D$6*Demands!D63</f>
        <v>0</v>
      </c>
      <c r="AL96" s="10">
        <f>Demands!E$6*Demands!E63</f>
        <v>0</v>
      </c>
      <c r="AM96" s="10">
        <f>Demands!F$6*Demands!F63</f>
        <v>0</v>
      </c>
      <c r="AN96" s="10">
        <f>Demands!G$6*Demands!G63</f>
        <v>0</v>
      </c>
      <c r="AO96" s="10">
        <f>Demands!H$6*Demands!H63</f>
        <v>0</v>
      </c>
      <c r="AP96" s="10">
        <f>Demands!I$6*Demands!I63</f>
        <v>0</v>
      </c>
      <c r="AQ96" s="10">
        <f>Demands!J$6*Demands!J63</f>
        <v>0</v>
      </c>
      <c r="AR96" s="10">
        <f>Demands!K$6*Demands!K63</f>
        <v>0</v>
      </c>
      <c r="AS96" s="10">
        <f>Demands!L$6*Demands!L63</f>
        <v>0</v>
      </c>
      <c r="AT96" s="10">
        <f>Demands!M$6*Demands!M63</f>
        <v>0</v>
      </c>
      <c r="AU96" s="10">
        <f>Demands!N$6*Demands!N63</f>
        <v>0</v>
      </c>
      <c r="AV96" s="10">
        <f>Demands!O$6*Demands!O63</f>
        <v>0</v>
      </c>
      <c r="AW96" s="10">
        <f>Demands!P$6*Demands!P63</f>
        <v>0</v>
      </c>
      <c r="AX96" s="10">
        <f>Demands!Q$6*Demands!Q63</f>
        <v>0</v>
      </c>
      <c r="AY96" s="10">
        <f>Demands!R$6*Demands!R63</f>
        <v>0</v>
      </c>
      <c r="AZ96" s="10">
        <f>Demands!S$6*Demands!S63</f>
        <v>0</v>
      </c>
      <c r="BA96" s="10">
        <f>Demands!T$6*Demands!T63</f>
        <v>0</v>
      </c>
      <c r="BB96" s="10">
        <f>Demands!U$6*Demands!U63</f>
        <v>0</v>
      </c>
      <c r="BC96" s="10">
        <f>Demands!V$6*Demands!V63</f>
        <v>0</v>
      </c>
      <c r="BD96" s="10">
        <f>Demands!W$6*Demands!W63</f>
        <v>0</v>
      </c>
      <c r="BE96" s="10">
        <f>Demands!X$6*Demands!X63</f>
        <v>0</v>
      </c>
      <c r="BF96" s="10">
        <f>Demands!Y$6*Demands!Y63</f>
        <v>0</v>
      </c>
      <c r="BG96" s="10">
        <f>Demands!Z$6*Demands!Z63</f>
        <v>0</v>
      </c>
      <c r="BH96" s="10">
        <f>Demands!AA$6*Demands!AA63</f>
        <v>0</v>
      </c>
      <c r="BI96" s="10">
        <f>Demands!AB$6*Demands!AB63</f>
        <v>0</v>
      </c>
      <c r="BJ96" s="10">
        <f>Demands!AC$6*Demands!AC63</f>
        <v>0</v>
      </c>
    </row>
    <row r="97" spans="2:62">
      <c r="B97" s="396" t="str">
        <f>_xlfn.TEXTJOIN(",",TRUE,Regions!$C$3:'Regions'!$AD$3)</f>
        <v>IE,IE-CW,IE-D,IE-KE,IE-KK,IE-LS,IE-LD,IE-LH,IE-MH,IE-OY,IE-WH,IE-WX,IE-WW,IE-CE,IE-CO,IE-KY,IE-LK,IE-TA,IE-WD,IE-G,IE-LM,IE-MO,IE-RN,IE-SO,IE-CN,IE-DL,IE-MN</v>
      </c>
      <c r="C97" s="397" t="str">
        <f>C6</f>
        <v>T-MOT-ICE_GSL00</v>
      </c>
      <c r="D97" s="397" t="str">
        <f>Commodities!C8</f>
        <v>TRAGSL</v>
      </c>
      <c r="E97" s="398" t="s">
        <v>918</v>
      </c>
      <c r="F97" s="399">
        <f>'EB2018'!P48/('EB2018'!P48+'EB2018'!AJ48)</f>
        <v>0.96794815285714941</v>
      </c>
      <c r="G97" s="399">
        <v>1</v>
      </c>
      <c r="H97" s="399">
        <v>1</v>
      </c>
      <c r="I97" s="396">
        <v>5</v>
      </c>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I97" t="s">
        <v>339</v>
      </c>
      <c r="AJ97" s="10">
        <f>Demands!C$6*Demands!C64</f>
        <v>20.10684311329279</v>
      </c>
      <c r="AK97" s="10">
        <f>Demands!D$6*Demands!D64</f>
        <v>0.29564777516001556</v>
      </c>
      <c r="AL97" s="10">
        <f>Demands!E$6*Demands!E64</f>
        <v>4.2536393511207553</v>
      </c>
      <c r="AM97" s="10">
        <f>Demands!F$6*Demands!F64</f>
        <v>1.0171624778662165</v>
      </c>
      <c r="AN97" s="10">
        <f>Demands!G$6*Demands!G64</f>
        <v>0.4621941588985502</v>
      </c>
      <c r="AO97" s="10">
        <f>Demands!H$6*Demands!H64</f>
        <v>0.3761265646175625</v>
      </c>
      <c r="AP97" s="10">
        <f>Demands!I$6*Demands!I64</f>
        <v>0.19001936399698549</v>
      </c>
      <c r="AQ97" s="10">
        <f>Demands!J$6*Demands!J64</f>
        <v>0.50411019507435562</v>
      </c>
      <c r="AR97" s="10">
        <f>Demands!K$6*Demands!K64</f>
        <v>0.90091533753864883</v>
      </c>
      <c r="AS97" s="10">
        <f>Demands!L$6*Demands!L64</f>
        <v>0.36830223786474542</v>
      </c>
      <c r="AT97" s="10">
        <f>Demands!M$6*Demands!M64</f>
        <v>0.43872117864009896</v>
      </c>
      <c r="AU97" s="10">
        <f>Demands!N$6*Demands!N64</f>
        <v>0.77404946804654384</v>
      </c>
      <c r="AV97" s="10">
        <f>Demands!O$6*Demands!O64</f>
        <v>0.64886024000147113</v>
      </c>
      <c r="AW97" s="10">
        <f>Demands!P$6*Demands!P64</f>
        <v>0.59856099659050443</v>
      </c>
      <c r="AX97" s="10">
        <f>Demands!Q$6*Demands!Q64</f>
        <v>2.4020683131148344</v>
      </c>
      <c r="AY97" s="10">
        <f>Demands!R$6*Demands!R64</f>
        <v>0.7142492564357279</v>
      </c>
      <c r="AZ97" s="10">
        <f>Demands!S$6*Demands!S64</f>
        <v>0.88303116210363863</v>
      </c>
      <c r="BA97" s="10">
        <f>Demands!T$6*Demands!T64</f>
        <v>0.84558616978658552</v>
      </c>
      <c r="BB97" s="10">
        <f>Demands!U$6*Demands!U64</f>
        <v>0.54993839462656979</v>
      </c>
      <c r="BC97" s="10">
        <f>Demands!V$6*Demands!V64</f>
        <v>1.1568825984522353</v>
      </c>
      <c r="BD97" s="10">
        <f>Demands!W$6*Demands!W64</f>
        <v>0.15928093746806138</v>
      </c>
      <c r="BE97" s="10">
        <f>Demands!X$6*Demands!X64</f>
        <v>0.63488822794286914</v>
      </c>
      <c r="BF97" s="10">
        <f>Demands!Y$6*Demands!Y64</f>
        <v>0.3694199988294336</v>
      </c>
      <c r="BG97" s="10">
        <f>Demands!Z$6*Demands!Z64</f>
        <v>0.29341225323063946</v>
      </c>
      <c r="BH97" s="10">
        <f>Demands!AA$6*Demands!AA64</f>
        <v>0.34259373567691798</v>
      </c>
      <c r="BI97" s="10">
        <f>Demands!AB$6*Demands!AB64</f>
        <v>0.65221352289553547</v>
      </c>
      <c r="BJ97" s="10">
        <f>Demands!AC$6*Demands!AC64</f>
        <v>0.27496919731328495</v>
      </c>
    </row>
    <row r="98" spans="2:62">
      <c r="B98" s="396" t="str">
        <f>_xlfn.TEXTJOIN(",",TRUE,Regions!$C$3:'Regions'!$AD$3)</f>
        <v>IE,IE-CW,IE-D,IE-KE,IE-KK,IE-LS,IE-LD,IE-LH,IE-MH,IE-OY,IE-WH,IE-WX,IE-WW,IE-CE,IE-CO,IE-KY,IE-LK,IE-TA,IE-WD,IE-G,IE-LM,IE-MO,IE-RN,IE-SO,IE-CN,IE-DL,IE-MN</v>
      </c>
      <c r="C98" s="397" t="str">
        <f>C97</f>
        <v>T-MOT-ICE_GSL00</v>
      </c>
      <c r="D98" s="397" t="str">
        <f>Commodities!C8</f>
        <v>TRAGSL</v>
      </c>
      <c r="E98" s="398" t="s">
        <v>919</v>
      </c>
      <c r="F98" s="399">
        <f>F97</f>
        <v>0.96794815285714941</v>
      </c>
      <c r="G98" s="399">
        <v>0.95</v>
      </c>
      <c r="H98" s="399">
        <v>0.9</v>
      </c>
      <c r="I98" s="396">
        <v>5</v>
      </c>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I98" t="s">
        <v>336</v>
      </c>
      <c r="AJ98" s="10">
        <f>Demands!C$6*Demands!C65</f>
        <v>0.32943614424109596</v>
      </c>
      <c r="AK98" s="10">
        <f>Demands!D$6*Demands!D65</f>
        <v>1.9609294300065236E-3</v>
      </c>
      <c r="AL98" s="10">
        <f>Demands!E$6*Demands!E65</f>
        <v>0.16863993098056101</v>
      </c>
      <c r="AM98" s="10">
        <f>Demands!F$6*Demands!F65</f>
        <v>1.3726506010045669E-2</v>
      </c>
      <c r="AN98" s="10">
        <f>Demands!G$6*Demands!G65</f>
        <v>3.529672974011743E-3</v>
      </c>
      <c r="AO98" s="10">
        <f>Demands!H$6*Demands!H65</f>
        <v>3.529672974011743E-3</v>
      </c>
      <c r="AP98" s="10">
        <f>Demands!I$6*Demands!I65</f>
        <v>1.5687435440052187E-3</v>
      </c>
      <c r="AQ98" s="10">
        <f>Demands!J$6*Demands!J65</f>
        <v>9.8046471500326197E-3</v>
      </c>
      <c r="AR98" s="10">
        <f>Demands!K$6*Demands!K65</f>
        <v>1.6471807212054792E-2</v>
      </c>
      <c r="AS98" s="10">
        <f>Demands!L$6*Demands!L65</f>
        <v>2.3531153160078278E-3</v>
      </c>
      <c r="AT98" s="10">
        <f>Demands!M$6*Demands!M65</f>
        <v>4.7062306320156564E-3</v>
      </c>
      <c r="AU98" s="10">
        <f>Demands!N$6*Demands!N65</f>
        <v>4.3140447460143522E-3</v>
      </c>
      <c r="AV98" s="10">
        <f>Demands!O$6*Demands!O65</f>
        <v>5.490602404018264E-3</v>
      </c>
      <c r="AW98" s="10">
        <f>Demands!P$6*Demands!P65</f>
        <v>5.4906024040182631E-3</v>
      </c>
      <c r="AX98" s="10">
        <f>Demands!Q$6*Demands!Q65</f>
        <v>2.7453012020091334E-2</v>
      </c>
      <c r="AY98" s="10">
        <f>Demands!R$6*Demands!R65</f>
        <v>7.0593459480234851E-3</v>
      </c>
      <c r="AZ98" s="10">
        <f>Demands!S$6*Demands!S65</f>
        <v>1.0589018922035223E-2</v>
      </c>
      <c r="BA98" s="10">
        <f>Demands!T$6*Demands!T65</f>
        <v>3.921858860013048E-3</v>
      </c>
      <c r="BB98" s="10">
        <f>Demands!U$6*Demands!U65</f>
        <v>4.3140447460143514E-3</v>
      </c>
      <c r="BC98" s="10">
        <f>Demands!V$6*Demands!V65</f>
        <v>1.4903063668049584E-2</v>
      </c>
      <c r="BD98" s="10">
        <f>Demands!W$6*Demands!W65</f>
        <v>1.1765576580039137E-3</v>
      </c>
      <c r="BE98" s="10">
        <f>Demands!X$6*Demands!X65</f>
        <v>4.3140447460143514E-3</v>
      </c>
      <c r="BF98" s="10">
        <f>Demands!Y$6*Demands!Y65</f>
        <v>1.9609294300065236E-3</v>
      </c>
      <c r="BG98" s="10">
        <f>Demands!Z$6*Demands!Z65</f>
        <v>2.3531153160078278E-3</v>
      </c>
      <c r="BH98" s="10">
        <f>Demands!AA$6*Demands!AA65</f>
        <v>2.7453012020091324E-3</v>
      </c>
      <c r="BI98" s="10">
        <f>Demands!AB$6*Demands!AB65</f>
        <v>5.8827882900195734E-3</v>
      </c>
      <c r="BJ98" s="10">
        <f>Demands!AC$6*Demands!AC65</f>
        <v>1.1765576580039139E-3</v>
      </c>
    </row>
    <row r="99" spans="2:62">
      <c r="B99" s="401" t="str">
        <f>_xlfn.TEXTJOIN(",",TRUE,Regions!$C$3:'Regions'!$AD$3)</f>
        <v>IE,IE-CW,IE-D,IE-KE,IE-KK,IE-LS,IE-LD,IE-LH,IE-MH,IE-OY,IE-WH,IE-WX,IE-WW,IE-CE,IE-CO,IE-KY,IE-LK,IE-TA,IE-WD,IE-G,IE-LM,IE-MO,IE-RN,IE-SO,IE-CN,IE-DL,IE-MN</v>
      </c>
      <c r="C99" s="401" t="str">
        <f>C8</f>
        <v>T-CAR-ICE_GSL00</v>
      </c>
      <c r="D99" s="401" t="str">
        <f>Commodities!C8</f>
        <v>TRAGSL</v>
      </c>
      <c r="E99" s="402" t="s">
        <v>918</v>
      </c>
      <c r="F99" s="403">
        <f>'EB2018'!P48/('EB2018'!P48+'EB2018'!AJ48)</f>
        <v>0.96794815285714941</v>
      </c>
      <c r="G99" s="404">
        <v>1</v>
      </c>
      <c r="H99" s="404">
        <v>1</v>
      </c>
      <c r="I99" s="401">
        <v>5</v>
      </c>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I99" t="s">
        <v>558</v>
      </c>
      <c r="AJ99" s="10">
        <f>Demands!C$6*Demands!C66</f>
        <v>4.4142152854397541</v>
      </c>
      <c r="AK99" s="10">
        <f>Demands!D$6*Demands!D66</f>
        <v>4.9016564417177909E-2</v>
      </c>
      <c r="AL99" s="10">
        <f>Demands!E$6*Demands!E66</f>
        <v>1.5930383435582822</v>
      </c>
      <c r="AM99" s="10">
        <f>Demands!F$6*Demands!F66</f>
        <v>0.20832039877300618</v>
      </c>
      <c r="AN99" s="10">
        <f>Demands!G$6*Demands!G66</f>
        <v>0.13479555214723929</v>
      </c>
      <c r="AO99" s="10">
        <f>Demands!H$6*Demands!H66</f>
        <v>6.1270705521472416E-2</v>
      </c>
      <c r="AP99" s="10">
        <f>Demands!I$6*Demands!I66</f>
        <v>3.676242331288343E-2</v>
      </c>
      <c r="AQ99" s="10">
        <f>Demands!J$6*Demands!J66</f>
        <v>9.8033128834355818E-2</v>
      </c>
      <c r="AR99" s="10">
        <f>Demands!K$6*Demands!K66</f>
        <v>0.13479555214723932</v>
      </c>
      <c r="AS99" s="10">
        <f>Demands!L$6*Demands!L66</f>
        <v>8.5778987730061332E-2</v>
      </c>
      <c r="AT99" s="10">
        <f>Demands!M$6*Demands!M66</f>
        <v>6.1270705521472409E-2</v>
      </c>
      <c r="AU99" s="10">
        <f>Demands!N$6*Demands!N66</f>
        <v>0.12254141104294482</v>
      </c>
      <c r="AV99" s="10">
        <f>Demands!O$6*Demands!O66</f>
        <v>0.11028726993865035</v>
      </c>
      <c r="AW99" s="10">
        <f>Demands!P$6*Demands!P66</f>
        <v>8.5778987730061346E-2</v>
      </c>
      <c r="AX99" s="10">
        <f>Demands!Q$6*Demands!Q66</f>
        <v>0.35537009202454001</v>
      </c>
      <c r="AY99" s="10">
        <f>Demands!R$6*Demands!R66</f>
        <v>0.22057453987730066</v>
      </c>
      <c r="AZ99" s="10">
        <f>Demands!S$6*Demands!S66</f>
        <v>0.13479555214723932</v>
      </c>
      <c r="BA99" s="10">
        <f>Demands!T$6*Demands!T66</f>
        <v>0.15930383435582821</v>
      </c>
      <c r="BB99" s="10">
        <f>Demands!U$6*Demands!U66</f>
        <v>7.3524846625766874E-2</v>
      </c>
      <c r="BC99" s="10">
        <f>Demands!V$6*Demands!V66</f>
        <v>0.25733696319018406</v>
      </c>
      <c r="BD99" s="10">
        <f>Demands!W$6*Demands!W66</f>
        <v>2.4508282208588954E-2</v>
      </c>
      <c r="BE99" s="10">
        <f>Demands!X$6*Demands!X66</f>
        <v>0.15930383435582823</v>
      </c>
      <c r="BF99" s="10">
        <f>Demands!Y$6*Demands!Y66</f>
        <v>4.9016564417177909E-2</v>
      </c>
      <c r="BG99" s="10">
        <f>Demands!Z$6*Demands!Z66</f>
        <v>4.9016564417177909E-2</v>
      </c>
      <c r="BH99" s="10">
        <f>Demands!AA$6*Demands!AA66</f>
        <v>2.0488148960935398E-2</v>
      </c>
      <c r="BI99" s="10">
        <f>Demands!AB$6*Demands!AB66</f>
        <v>6.7446211413954163E-3</v>
      </c>
      <c r="BJ99" s="10">
        <f>Demands!AC$6*Demands!AC66</f>
        <v>0.12254141104294482</v>
      </c>
    </row>
    <row r="100" spans="2:62">
      <c r="B100" s="401" t="str">
        <f>_xlfn.TEXTJOIN(",",TRUE,Regions!$C$3:'Regions'!$AD$3)</f>
        <v>IE,IE-CW,IE-D,IE-KE,IE-KK,IE-LS,IE-LD,IE-LH,IE-MH,IE-OY,IE-WH,IE-WX,IE-WW,IE-CE,IE-CO,IE-KY,IE-LK,IE-TA,IE-WD,IE-G,IE-LM,IE-MO,IE-RN,IE-SO,IE-CN,IE-DL,IE-MN</v>
      </c>
      <c r="C100" s="401" t="str">
        <f>C8</f>
        <v>T-CAR-ICE_GSL00</v>
      </c>
      <c r="D100" s="401" t="str">
        <f>Commodities!C8</f>
        <v>TRAGSL</v>
      </c>
      <c r="E100" s="402" t="s">
        <v>919</v>
      </c>
      <c r="F100" s="404">
        <f>F99</f>
        <v>0.96794815285714941</v>
      </c>
      <c r="G100" s="404">
        <v>0.95</v>
      </c>
      <c r="H100" s="404">
        <v>0.9</v>
      </c>
      <c r="I100" s="401">
        <v>5</v>
      </c>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I100" t="s">
        <v>545</v>
      </c>
      <c r="AJ100" s="10">
        <f>Demands!C$6*Demands!C67</f>
        <v>0</v>
      </c>
      <c r="AK100" s="10">
        <f>Demands!D$6*Demands!D67</f>
        <v>0</v>
      </c>
      <c r="AL100" s="10">
        <f>Demands!E$6*Demands!E67</f>
        <v>0</v>
      </c>
      <c r="AM100" s="10">
        <f>Demands!F$6*Demands!F67</f>
        <v>0</v>
      </c>
      <c r="AN100" s="10">
        <f>Demands!G$6*Demands!G67</f>
        <v>0</v>
      </c>
      <c r="AO100" s="10">
        <f>Demands!H$6*Demands!H67</f>
        <v>0</v>
      </c>
      <c r="AP100" s="10">
        <f>Demands!I$6*Demands!I67</f>
        <v>0</v>
      </c>
      <c r="AQ100" s="10">
        <f>Demands!J$6*Demands!J67</f>
        <v>0</v>
      </c>
      <c r="AR100" s="10">
        <f>Demands!K$6*Demands!K67</f>
        <v>0</v>
      </c>
      <c r="AS100" s="10">
        <f>Demands!L$6*Demands!L67</f>
        <v>0</v>
      </c>
      <c r="AT100" s="10">
        <f>Demands!M$6*Demands!M67</f>
        <v>0</v>
      </c>
      <c r="AU100" s="10">
        <f>Demands!N$6*Demands!N67</f>
        <v>0</v>
      </c>
      <c r="AV100" s="10">
        <f>Demands!O$6*Demands!O67</f>
        <v>0</v>
      </c>
      <c r="AW100" s="10">
        <f>Demands!P$6*Demands!P67</f>
        <v>0</v>
      </c>
      <c r="AX100" s="10">
        <f>Demands!Q$6*Demands!Q67</f>
        <v>0</v>
      </c>
      <c r="AY100" s="10">
        <f>Demands!R$6*Demands!R67</f>
        <v>0</v>
      </c>
      <c r="AZ100" s="10">
        <f>Demands!S$6*Demands!S67</f>
        <v>0</v>
      </c>
      <c r="BA100" s="10">
        <f>Demands!T$6*Demands!T67</f>
        <v>0</v>
      </c>
      <c r="BB100" s="10">
        <f>Demands!U$6*Demands!U67</f>
        <v>0</v>
      </c>
      <c r="BC100" s="10">
        <f>Demands!V$6*Demands!V67</f>
        <v>0</v>
      </c>
      <c r="BD100" s="10">
        <f>Demands!W$6*Demands!W67</f>
        <v>0</v>
      </c>
      <c r="BE100" s="10">
        <f>Demands!X$6*Demands!X67</f>
        <v>0</v>
      </c>
      <c r="BF100" s="10">
        <f>Demands!Y$6*Demands!Y67</f>
        <v>0</v>
      </c>
      <c r="BG100" s="10">
        <f>Demands!Z$6*Demands!Z67</f>
        <v>0</v>
      </c>
      <c r="BH100" s="10">
        <f>Demands!AA$6*Demands!AA67</f>
        <v>0</v>
      </c>
      <c r="BI100" s="10">
        <f>Demands!AB$6*Demands!AB67</f>
        <v>0</v>
      </c>
      <c r="BJ100" s="10">
        <f>Demands!AC$6*Demands!AC67</f>
        <v>0</v>
      </c>
    </row>
    <row r="101" spans="2:62">
      <c r="B101" s="396" t="str">
        <f>_xlfn.TEXTJOIN(",",TRUE,Regions!$C$3:'Regions'!$AD$3)</f>
        <v>IE,IE-CW,IE-D,IE-KE,IE-KK,IE-LS,IE-LD,IE-LH,IE-MH,IE-OY,IE-WH,IE-WX,IE-WW,IE-CE,IE-CO,IE-KY,IE-LK,IE-TA,IE-WD,IE-G,IE-LM,IE-MO,IE-RN,IE-SO,IE-CN,IE-DL,IE-MN</v>
      </c>
      <c r="C101" s="396" t="str">
        <f>C9</f>
        <v>T-CAR-ICE_DST00</v>
      </c>
      <c r="D101" s="396" t="str">
        <f>Commodities!C9</f>
        <v>TRADST</v>
      </c>
      <c r="E101" s="398" t="s">
        <v>918</v>
      </c>
      <c r="F101" s="709">
        <v>1</v>
      </c>
      <c r="G101" s="399">
        <v>1</v>
      </c>
      <c r="H101" s="399">
        <v>1</v>
      </c>
      <c r="I101" s="396">
        <v>5</v>
      </c>
      <c r="J101" s="188"/>
      <c r="K101" s="188"/>
      <c r="L101" s="708" t="s">
        <v>1152</v>
      </c>
      <c r="M101" s="188"/>
      <c r="N101" s="188"/>
      <c r="O101" s="188"/>
      <c r="P101" s="188"/>
      <c r="Q101" s="188"/>
      <c r="R101" s="188"/>
      <c r="S101" s="188"/>
      <c r="T101" s="188"/>
      <c r="U101" s="188"/>
      <c r="V101" s="188"/>
      <c r="W101" s="188"/>
      <c r="X101" s="188"/>
      <c r="Y101" s="188"/>
      <c r="Z101" s="188"/>
      <c r="AA101" s="188"/>
      <c r="AB101" s="188"/>
      <c r="AC101" s="188"/>
      <c r="AD101" s="188"/>
      <c r="AE101" s="188"/>
      <c r="AF101" s="188"/>
      <c r="AI101" t="s">
        <v>338</v>
      </c>
      <c r="AJ101" s="10">
        <f>Demands!C$6*Demands!C68</f>
        <v>2.2810830000000002</v>
      </c>
      <c r="AK101" s="10">
        <f>Demands!D$6*Demands!D68</f>
        <v>2.7272217367774999E-2</v>
      </c>
      <c r="AL101" s="10">
        <f>Demands!E$6*Demands!E68</f>
        <v>0.64542730837539553</v>
      </c>
      <c r="AM101" s="10">
        <f>Demands!F$6*Demands!F68</f>
        <v>0.10658640928123742</v>
      </c>
      <c r="AN101" s="10">
        <f>Demands!G$6*Demands!G68</f>
        <v>4.75352468530712E-2</v>
      </c>
      <c r="AO101" s="10">
        <f>Demands!H$6*Demands!H68</f>
        <v>4.0572525019293884E-2</v>
      </c>
      <c r="AP101" s="10">
        <f>Demands!I$6*Demands!I68</f>
        <v>1.9579451634811139E-2</v>
      </c>
      <c r="AQ101" s="10">
        <f>Demands!J$6*Demands!J68</f>
        <v>6.1739486812834851E-2</v>
      </c>
      <c r="AR101" s="10">
        <f>Demands!K$6*Demands!K68</f>
        <v>9.3432206215841834E-2</v>
      </c>
      <c r="AS101" s="10">
        <f>Demands!L$6*Demands!L68</f>
        <v>3.7345769307403694E-2</v>
      </c>
      <c r="AT101" s="10">
        <f>Demands!M$6*Demands!M68</f>
        <v>4.2523620033327249E-2</v>
      </c>
      <c r="AU101" s="10">
        <f>Demands!N$6*Demands!N68</f>
        <v>7.1721543749350261E-2</v>
      </c>
      <c r="AV101" s="10">
        <f>Demands!O$6*Demands!O68</f>
        <v>6.8226051405279181E-2</v>
      </c>
      <c r="AW101" s="10">
        <f>Demands!P$6*Demands!P68</f>
        <v>5.6917077407906316E-2</v>
      </c>
      <c r="AX101" s="10">
        <f>Demands!Q$6*Demands!Q68</f>
        <v>0.26005083429370618</v>
      </c>
      <c r="AY101" s="10">
        <f>Demands!R$6*Demands!R68</f>
        <v>7.0756295418076709E-2</v>
      </c>
      <c r="AZ101" s="10">
        <f>Demands!S$6*Demands!S68</f>
        <v>9.3362746658504539E-2</v>
      </c>
      <c r="BA101" s="10">
        <f>Demands!T$6*Demands!T68</f>
        <v>7.6430901736819462E-2</v>
      </c>
      <c r="BB101" s="10">
        <f>Demands!U$6*Demands!U68</f>
        <v>5.5651955401507566E-2</v>
      </c>
      <c r="BC101" s="10">
        <f>Demands!V$6*Demands!V68</f>
        <v>0.12361789274034431</v>
      </c>
      <c r="BD101" s="10">
        <f>Demands!W$6*Demands!W68</f>
        <v>1.5350083140114207E-2</v>
      </c>
      <c r="BE101" s="10">
        <f>Demands!X$6*Demands!X68</f>
        <v>6.2516954823582729E-2</v>
      </c>
      <c r="BF101" s="10">
        <f>Demands!Y$6*Demands!Y68</f>
        <v>3.0918604612268488E-2</v>
      </c>
      <c r="BG101" s="10">
        <f>Demands!Z$6*Demands!Z68</f>
        <v>3.1393324759311718E-2</v>
      </c>
      <c r="BH101" s="10">
        <f>Demands!AA$6*Demands!AA68</f>
        <v>3.6490698205009976E-2</v>
      </c>
      <c r="BI101" s="10">
        <f>Demands!AB$6*Demands!AB68</f>
        <v>7.6257971390621043E-2</v>
      </c>
      <c r="BJ101" s="10">
        <f>Demands!AC$6*Demands!AC68</f>
        <v>2.940582335660501E-2</v>
      </c>
    </row>
    <row r="102" spans="2:62">
      <c r="B102" s="396" t="str">
        <f>_xlfn.TEXTJOIN(",",TRUE,Regions!$C$3:'Regions'!$AD$3)</f>
        <v>IE,IE-CW,IE-D,IE-KE,IE-KK,IE-LS,IE-LD,IE-LH,IE-MH,IE-OY,IE-WH,IE-WX,IE-WW,IE-CE,IE-CO,IE-KY,IE-LK,IE-TA,IE-WD,IE-G,IE-LM,IE-MO,IE-RN,IE-SO,IE-CN,IE-DL,IE-MN</v>
      </c>
      <c r="C102" s="396" t="str">
        <f>C9</f>
        <v>T-CAR-ICE_DST00</v>
      </c>
      <c r="D102" s="396" t="str">
        <f>Commodities!C9</f>
        <v>TRADST</v>
      </c>
      <c r="E102" s="398" t="s">
        <v>919</v>
      </c>
      <c r="F102" s="399">
        <v>0.95899999999999996</v>
      </c>
      <c r="G102" s="399">
        <v>0.95</v>
      </c>
      <c r="H102" s="399">
        <v>0.8</v>
      </c>
      <c r="I102" s="396">
        <v>5</v>
      </c>
      <c r="J102" s="188"/>
      <c r="K102" s="188"/>
      <c r="L102" s="188"/>
      <c r="M102" s="188"/>
      <c r="N102" s="188"/>
      <c r="O102" s="188"/>
      <c r="P102" s="188"/>
      <c r="Q102" s="188"/>
      <c r="R102" s="188"/>
      <c r="S102" s="188"/>
      <c r="T102" s="188"/>
      <c r="U102" s="188"/>
      <c r="V102" s="188"/>
      <c r="W102" s="188"/>
      <c r="X102" s="188"/>
      <c r="Y102" s="188"/>
      <c r="Z102" s="188"/>
      <c r="AA102" s="188"/>
      <c r="AB102" s="188"/>
      <c r="AC102" s="188"/>
      <c r="AD102" s="188"/>
      <c r="AE102" s="188"/>
      <c r="AF102" s="188"/>
      <c r="AI102" s="107" t="s">
        <v>16</v>
      </c>
      <c r="AJ102" s="322">
        <f t="shared" ref="AJ102:BJ102" si="129">SUM(AJ96:AJ101)</f>
        <v>27.131577542973641</v>
      </c>
      <c r="AK102" s="322">
        <f t="shared" si="129"/>
        <v>0.373897486374975</v>
      </c>
      <c r="AL102" s="322">
        <f t="shared" si="129"/>
        <v>6.6607449340349936</v>
      </c>
      <c r="AM102" s="322">
        <f t="shared" si="129"/>
        <v>1.3457957919305059</v>
      </c>
      <c r="AN102" s="322">
        <f t="shared" si="129"/>
        <v>0.64805463087287241</v>
      </c>
      <c r="AO102" s="322">
        <f t="shared" si="129"/>
        <v>0.48149946813234051</v>
      </c>
      <c r="AP102" s="322">
        <f t="shared" si="129"/>
        <v>0.24792998248868528</v>
      </c>
      <c r="AQ102" s="322">
        <f t="shared" si="129"/>
        <v>0.6736874578715788</v>
      </c>
      <c r="AR102" s="322">
        <f t="shared" si="129"/>
        <v>1.1456149031137848</v>
      </c>
      <c r="AS102" s="322">
        <f t="shared" si="129"/>
        <v>0.49378011021821827</v>
      </c>
      <c r="AT102" s="322">
        <f t="shared" si="129"/>
        <v>0.54722173482691427</v>
      </c>
      <c r="AU102" s="322">
        <f t="shared" si="129"/>
        <v>0.97262646758485327</v>
      </c>
      <c r="AV102" s="322">
        <f t="shared" si="129"/>
        <v>0.83286416374941885</v>
      </c>
      <c r="AW102" s="322">
        <f t="shared" si="129"/>
        <v>0.74674766413249027</v>
      </c>
      <c r="AX102" s="322">
        <f t="shared" si="129"/>
        <v>3.0449422514531723</v>
      </c>
      <c r="AY102" s="322">
        <f t="shared" si="129"/>
        <v>1.0126394376791288</v>
      </c>
      <c r="AZ102" s="322">
        <f t="shared" si="129"/>
        <v>1.1217784798314177</v>
      </c>
      <c r="BA102" s="322">
        <f t="shared" si="129"/>
        <v>1.0852427647392462</v>
      </c>
      <c r="BB102" s="322">
        <f t="shared" si="129"/>
        <v>0.68342924139985861</v>
      </c>
      <c r="BC102" s="322">
        <f t="shared" si="129"/>
        <v>1.5527405180508134</v>
      </c>
      <c r="BD102" s="322">
        <f t="shared" si="129"/>
        <v>0.20031586047476846</v>
      </c>
      <c r="BE102" s="322">
        <f t="shared" si="129"/>
        <v>0.86102306186829447</v>
      </c>
      <c r="BF102" s="322">
        <f t="shared" si="129"/>
        <v>0.4513160972888865</v>
      </c>
      <c r="BG102" s="322">
        <f t="shared" si="129"/>
        <v>0.37617525772313692</v>
      </c>
      <c r="BH102" s="322">
        <f t="shared" si="129"/>
        <v>0.40231788404487251</v>
      </c>
      <c r="BI102" s="322">
        <f t="shared" si="129"/>
        <v>0.74109890371757148</v>
      </c>
      <c r="BJ102" s="322">
        <f t="shared" si="129"/>
        <v>0.42809298937083867</v>
      </c>
    </row>
    <row r="103" spans="2:62">
      <c r="B103" s="401" t="str">
        <f>_xlfn.TEXTJOIN(",",TRUE,Regions!$C$3:'Regions'!$AD$3)</f>
        <v>IE,IE-CW,IE-D,IE-KE,IE-KK,IE-LS,IE-LD,IE-LH,IE-MH,IE-OY,IE-WH,IE-WX,IE-WW,IE-CE,IE-CO,IE-KY,IE-LK,IE-TA,IE-WD,IE-G,IE-LM,IE-MO,IE-RN,IE-SO,IE-CN,IE-DL,IE-MN</v>
      </c>
      <c r="C103" s="401" t="str">
        <f>C10</f>
        <v>T-CAR-ICE_DF00</v>
      </c>
      <c r="D103" s="401" t="str">
        <f>Commodities!C13</f>
        <v>TRACNG</v>
      </c>
      <c r="E103" s="402" t="s">
        <v>918</v>
      </c>
      <c r="F103" s="403">
        <v>0.5</v>
      </c>
      <c r="G103" s="403">
        <v>0.5</v>
      </c>
      <c r="H103" s="403">
        <v>0.8</v>
      </c>
      <c r="I103" s="401">
        <v>5</v>
      </c>
      <c r="J103" s="188"/>
      <c r="K103" s="188"/>
      <c r="L103" s="188"/>
      <c r="M103" s="188"/>
      <c r="N103" s="188"/>
      <c r="O103" s="188"/>
      <c r="P103" s="188"/>
      <c r="Q103" s="188"/>
      <c r="R103" s="188"/>
      <c r="S103" s="188"/>
      <c r="T103" s="188"/>
      <c r="U103" s="188"/>
      <c r="V103" s="188"/>
      <c r="W103" s="188"/>
      <c r="X103" s="188"/>
      <c r="Y103" s="188"/>
      <c r="Z103" s="188"/>
      <c r="AA103" s="188"/>
      <c r="AB103" s="188"/>
      <c r="AC103" s="188"/>
      <c r="AD103" s="188"/>
      <c r="AE103" s="188"/>
      <c r="AF103" s="188"/>
    </row>
    <row r="104" spans="2:62">
      <c r="B104" s="401" t="str">
        <f>_xlfn.TEXTJOIN(",",TRUE,Regions!$C$3:'Regions'!$AD$3)</f>
        <v>IE,IE-CW,IE-D,IE-KE,IE-KK,IE-LS,IE-LD,IE-LH,IE-MH,IE-OY,IE-WH,IE-WX,IE-WW,IE-CE,IE-CO,IE-KY,IE-LK,IE-TA,IE-WD,IE-G,IE-LM,IE-MO,IE-RN,IE-SO,IE-CN,IE-DL,IE-MN</v>
      </c>
      <c r="C104" s="401" t="str">
        <f>C103</f>
        <v>T-CAR-ICE_DF00</v>
      </c>
      <c r="D104" s="401" t="str">
        <f>Commodities!C13</f>
        <v>TRACNG</v>
      </c>
      <c r="E104" s="402" t="s">
        <v>919</v>
      </c>
      <c r="F104" s="403">
        <v>0.4</v>
      </c>
      <c r="G104" s="403">
        <v>0.4</v>
      </c>
      <c r="H104" s="403">
        <v>0.4</v>
      </c>
      <c r="I104" s="401">
        <v>5</v>
      </c>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row>
    <row r="105" spans="2:62">
      <c r="B105" s="396" t="str">
        <f>_xlfn.TEXTJOIN(",",TRUE,Regions!$C$3:'Regions'!$AD$3)</f>
        <v>IE,IE-CW,IE-D,IE-KE,IE-KK,IE-LS,IE-LD,IE-LH,IE-MH,IE-OY,IE-WH,IE-WX,IE-WW,IE-CE,IE-CO,IE-KY,IE-LK,IE-TA,IE-WD,IE-G,IE-LM,IE-MO,IE-RN,IE-SO,IE-CN,IE-DL,IE-MN</v>
      </c>
      <c r="C105" s="396" t="str">
        <f>C11</f>
        <v>T-CAR-ICE_E8500</v>
      </c>
      <c r="D105" s="396" t="str">
        <f>Commodities!C10</f>
        <v>TRAETH</v>
      </c>
      <c r="E105" s="398" t="s">
        <v>918</v>
      </c>
      <c r="F105" s="400">
        <v>0.85</v>
      </c>
      <c r="G105" s="400">
        <v>0.85</v>
      </c>
      <c r="H105" s="400">
        <v>0.85</v>
      </c>
      <c r="I105" s="396">
        <v>5</v>
      </c>
      <c r="J105" s="188"/>
      <c r="K105" s="188"/>
      <c r="L105" s="188"/>
      <c r="M105" s="188"/>
      <c r="N105" s="188"/>
      <c r="O105" s="188"/>
      <c r="P105" s="188"/>
      <c r="Q105" s="188"/>
      <c r="R105" s="188"/>
      <c r="S105" s="188"/>
      <c r="T105" s="188"/>
      <c r="U105" s="188"/>
      <c r="V105" s="188"/>
      <c r="W105" s="188"/>
      <c r="X105" s="188"/>
      <c r="Y105" s="188"/>
      <c r="Z105" s="188"/>
      <c r="AA105" s="188"/>
      <c r="AB105" s="188"/>
      <c r="AC105" s="188"/>
      <c r="AD105" s="188"/>
      <c r="AE105" s="188"/>
      <c r="AF105" s="188"/>
      <c r="AG105" s="188"/>
    </row>
    <row r="106" spans="2:62">
      <c r="B106" s="396" t="str">
        <f>_xlfn.TEXTJOIN(",",TRUE,Regions!$C$3:'Regions'!$AD$3)</f>
        <v>IE,IE-CW,IE-D,IE-KE,IE-KK,IE-LS,IE-LD,IE-LH,IE-MH,IE-OY,IE-WH,IE-WX,IE-WW,IE-CE,IE-CO,IE-KY,IE-LK,IE-TA,IE-WD,IE-G,IE-LM,IE-MO,IE-RN,IE-SO,IE-CN,IE-DL,IE-MN</v>
      </c>
      <c r="C106" s="396" t="str">
        <f>C105</f>
        <v>T-CAR-ICE_E8500</v>
      </c>
      <c r="D106" s="396" t="str">
        <f>Commodities!C10</f>
        <v>TRAETH</v>
      </c>
      <c r="E106" s="398" t="s">
        <v>919</v>
      </c>
      <c r="F106" s="400">
        <v>0</v>
      </c>
      <c r="G106" s="400">
        <v>0</v>
      </c>
      <c r="H106" s="400">
        <v>0</v>
      </c>
      <c r="I106" s="396">
        <v>5</v>
      </c>
      <c r="J106" s="188"/>
      <c r="K106" s="188"/>
      <c r="L106" s="188"/>
      <c r="M106" s="188"/>
      <c r="N106" s="188"/>
      <c r="O106" s="188"/>
      <c r="P106" s="188"/>
      <c r="Q106" s="188"/>
      <c r="R106" s="188"/>
      <c r="S106" s="188"/>
      <c r="T106" s="188"/>
      <c r="U106" s="188"/>
      <c r="V106" s="188"/>
      <c r="W106" s="188"/>
      <c r="X106" s="188"/>
      <c r="Y106" s="188"/>
      <c r="Z106" s="188"/>
      <c r="AA106" s="188"/>
      <c r="AB106" s="188"/>
      <c r="AC106" s="188"/>
      <c r="AD106" s="188"/>
      <c r="AE106" s="188"/>
      <c r="AF106" s="188"/>
      <c r="AI106" t="s">
        <v>989</v>
      </c>
    </row>
    <row r="107" spans="2:62">
      <c r="B107" s="401" t="str">
        <f>_xlfn.TEXTJOIN(",",TRUE,Regions!$C$3:'Regions'!$AD$3)</f>
        <v>IE,IE-CW,IE-D,IE-KE,IE-KK,IE-LS,IE-LD,IE-LH,IE-MH,IE-OY,IE-WH,IE-WX,IE-WW,IE-CE,IE-CO,IE-KY,IE-LK,IE-TA,IE-WD,IE-G,IE-LM,IE-MO,IE-RN,IE-SO,IE-CN,IE-DL,IE-MN</v>
      </c>
      <c r="C107" s="401" t="str">
        <f>C65</f>
        <v>T-CAR-HEV_GSL00</v>
      </c>
      <c r="D107" s="401" t="str">
        <f>Commodities!C8</f>
        <v>TRAGSL</v>
      </c>
      <c r="E107" s="402" t="s">
        <v>918</v>
      </c>
      <c r="F107" s="403">
        <f t="shared" ref="F107:H110" si="130">F99</f>
        <v>0.96794815285714941</v>
      </c>
      <c r="G107" s="403">
        <f t="shared" si="130"/>
        <v>1</v>
      </c>
      <c r="H107" s="403">
        <f t="shared" si="130"/>
        <v>1</v>
      </c>
      <c r="I107" s="401">
        <v>5</v>
      </c>
      <c r="J107" s="188"/>
      <c r="K107" s="188"/>
      <c r="L107" s="188"/>
      <c r="M107" s="188"/>
      <c r="N107" s="188"/>
      <c r="O107" s="188"/>
      <c r="P107" s="188"/>
      <c r="Q107" s="188"/>
      <c r="R107" s="188"/>
      <c r="S107" s="188"/>
      <c r="T107" s="188"/>
      <c r="U107" s="188"/>
      <c r="V107" s="188"/>
      <c r="W107" s="188"/>
      <c r="X107" s="188"/>
      <c r="Y107" s="188"/>
      <c r="Z107" s="188"/>
      <c r="AA107" s="188"/>
      <c r="AB107" s="188"/>
      <c r="AC107" s="188"/>
      <c r="AD107" s="188"/>
      <c r="AE107" s="188"/>
      <c r="AF107" s="188"/>
      <c r="AI107" s="82" t="s">
        <v>331</v>
      </c>
      <c r="AJ107" s="82" t="str">
        <f>AJ95</f>
        <v>IE</v>
      </c>
      <c r="AK107" s="82" t="str">
        <f t="shared" ref="AK107:BJ107" si="131">AK95</f>
        <v>IE-CW</v>
      </c>
      <c r="AL107" s="82" t="str">
        <f t="shared" si="131"/>
        <v>IE-D</v>
      </c>
      <c r="AM107" s="82" t="str">
        <f t="shared" si="131"/>
        <v>IE-KE</v>
      </c>
      <c r="AN107" s="82" t="str">
        <f t="shared" si="131"/>
        <v>IE-KK</v>
      </c>
      <c r="AO107" s="82" t="str">
        <f t="shared" si="131"/>
        <v>IE-LS</v>
      </c>
      <c r="AP107" s="82" t="str">
        <f t="shared" si="131"/>
        <v>IE-LD</v>
      </c>
      <c r="AQ107" s="82" t="str">
        <f t="shared" si="131"/>
        <v>IE-LH</v>
      </c>
      <c r="AR107" s="82" t="str">
        <f t="shared" si="131"/>
        <v>IE-MH</v>
      </c>
      <c r="AS107" s="82" t="str">
        <f t="shared" si="131"/>
        <v>IE-OY</v>
      </c>
      <c r="AT107" s="82" t="str">
        <f t="shared" si="131"/>
        <v>IE-WH</v>
      </c>
      <c r="AU107" s="82" t="str">
        <f t="shared" si="131"/>
        <v>IE-WX</v>
      </c>
      <c r="AV107" s="82" t="str">
        <f t="shared" si="131"/>
        <v>IE-WW</v>
      </c>
      <c r="AW107" s="82" t="str">
        <f t="shared" si="131"/>
        <v>IE-CE</v>
      </c>
      <c r="AX107" s="82" t="str">
        <f t="shared" si="131"/>
        <v>IE-CO</v>
      </c>
      <c r="AY107" s="82" t="str">
        <f t="shared" si="131"/>
        <v>IE-KY</v>
      </c>
      <c r="AZ107" s="82" t="str">
        <f t="shared" si="131"/>
        <v>IE-LK</v>
      </c>
      <c r="BA107" s="82" t="str">
        <f t="shared" si="131"/>
        <v>IE-TA</v>
      </c>
      <c r="BB107" s="82" t="str">
        <f t="shared" si="131"/>
        <v>IE-WD</v>
      </c>
      <c r="BC107" s="82" t="str">
        <f t="shared" si="131"/>
        <v>IE-G</v>
      </c>
      <c r="BD107" s="82" t="str">
        <f t="shared" si="131"/>
        <v>IE-LM</v>
      </c>
      <c r="BE107" s="82" t="str">
        <f t="shared" si="131"/>
        <v>IE-MO</v>
      </c>
      <c r="BF107" s="82" t="str">
        <f t="shared" si="131"/>
        <v>IE-RN</v>
      </c>
      <c r="BG107" s="82" t="str">
        <f t="shared" si="131"/>
        <v>IE-SO</v>
      </c>
      <c r="BH107" s="82" t="str">
        <f t="shared" si="131"/>
        <v>IE-CN</v>
      </c>
      <c r="BI107" s="82" t="str">
        <f t="shared" si="131"/>
        <v>IE-DL</v>
      </c>
      <c r="BJ107" s="82" t="str">
        <f t="shared" si="131"/>
        <v>IE-MN</v>
      </c>
    </row>
    <row r="108" spans="2:62">
      <c r="B108" s="401" t="str">
        <f>_xlfn.TEXTJOIN(",",TRUE,Regions!$C$3:'Regions'!$AD$3)</f>
        <v>IE,IE-CW,IE-D,IE-KE,IE-KK,IE-LS,IE-LD,IE-LH,IE-MH,IE-OY,IE-WH,IE-WX,IE-WW,IE-CE,IE-CO,IE-KY,IE-LK,IE-TA,IE-WD,IE-G,IE-LM,IE-MO,IE-RN,IE-SO,IE-CN,IE-DL,IE-MN</v>
      </c>
      <c r="C108" s="401" t="str">
        <f>C107</f>
        <v>T-CAR-HEV_GSL00</v>
      </c>
      <c r="D108" s="401" t="str">
        <f>Commodities!C8</f>
        <v>TRAGSL</v>
      </c>
      <c r="E108" s="402" t="s">
        <v>919</v>
      </c>
      <c r="F108" s="403">
        <f t="shared" si="130"/>
        <v>0.96794815285714941</v>
      </c>
      <c r="G108" s="403">
        <f t="shared" si="130"/>
        <v>0.95</v>
      </c>
      <c r="H108" s="403">
        <f t="shared" si="130"/>
        <v>0.9</v>
      </c>
      <c r="I108" s="401">
        <v>5</v>
      </c>
      <c r="J108" s="188"/>
      <c r="K108" s="188"/>
      <c r="L108" s="188"/>
      <c r="M108" s="188"/>
      <c r="N108" s="188"/>
      <c r="O108" s="188"/>
      <c r="P108" s="188"/>
      <c r="Q108" s="188"/>
      <c r="R108" s="188"/>
      <c r="S108" s="188"/>
      <c r="T108" s="188"/>
      <c r="U108" s="188"/>
      <c r="V108" s="188"/>
      <c r="W108" s="188"/>
      <c r="X108" s="188"/>
      <c r="Y108" s="188"/>
      <c r="Z108" s="188"/>
      <c r="AA108" s="188"/>
      <c r="AB108" s="188"/>
      <c r="AC108" s="188"/>
      <c r="AD108" s="188"/>
      <c r="AE108" s="188"/>
      <c r="AF108" s="188"/>
      <c r="AI108" t="s">
        <v>340</v>
      </c>
      <c r="AJ108" s="10">
        <f>SUM(AK108:BJ108)</f>
        <v>-2.1006370000001035E-4</v>
      </c>
      <c r="AK108" s="10">
        <f t="shared" ref="AK108:BJ108" si="132">AK34-AK70-AK83-AK96</f>
        <v>5.3309409999999962E-4</v>
      </c>
      <c r="AL108" s="10">
        <f>AL34-AL70-AL83-AL96</f>
        <v>1.4295247999999913E-3</v>
      </c>
      <c r="AM108" s="10">
        <f t="shared" si="132"/>
        <v>-9.4265600000000699E-5</v>
      </c>
      <c r="AN108" s="10">
        <f t="shared" si="132"/>
        <v>3.4379839999999946E-4</v>
      </c>
      <c r="AO108" s="10">
        <f t="shared" si="132"/>
        <v>4.2925299999999999E-4</v>
      </c>
      <c r="AP108" s="324">
        <f t="shared" si="132"/>
        <v>-4.7465330000000022E-4</v>
      </c>
      <c r="AQ108" s="10">
        <f t="shared" si="132"/>
        <v>3.938989999999992E-4</v>
      </c>
      <c r="AR108" s="10">
        <f t="shared" si="132"/>
        <v>-4.5776719999999962E-4</v>
      </c>
      <c r="AS108" s="10">
        <f t="shared" si="132"/>
        <v>-2.4544960000000022E-4</v>
      </c>
      <c r="AT108" s="10">
        <f t="shared" si="132"/>
        <v>-4.0213360000000069E-4</v>
      </c>
      <c r="AU108" s="10">
        <f t="shared" si="132"/>
        <v>1.5862000000001035E-6</v>
      </c>
      <c r="AV108" s="10">
        <f t="shared" si="132"/>
        <v>2.4956800000000036E-4</v>
      </c>
      <c r="AW108" s="10">
        <f t="shared" si="132"/>
        <v>-5.292935999999999E-4</v>
      </c>
      <c r="AX108" s="10">
        <f t="shared" si="132"/>
        <v>-3.7952639999999649E-4</v>
      </c>
      <c r="AY108" s="10">
        <f t="shared" si="132"/>
        <v>-1.6922399999999994E-4</v>
      </c>
      <c r="AZ108" s="10">
        <f t="shared" si="132"/>
        <v>2.2330000000000527E-5</v>
      </c>
      <c r="BA108" s="10">
        <f t="shared" si="132"/>
        <v>-2.1567920000000037E-4</v>
      </c>
      <c r="BB108" s="10">
        <f t="shared" si="132"/>
        <v>4.6625039999999979E-4</v>
      </c>
      <c r="BC108" s="10">
        <f t="shared" si="132"/>
        <v>-6.8136200000001694E-5</v>
      </c>
      <c r="BD108" s="10">
        <f t="shared" si="132"/>
        <v>-6.2040000000000012E-4</v>
      </c>
      <c r="BE108" s="10">
        <f t="shared" si="132"/>
        <v>-3.9117100000000027E-4</v>
      </c>
      <c r="BF108" s="10">
        <f t="shared" si="132"/>
        <v>-2.1443950000000014E-4</v>
      </c>
      <c r="BG108" s="10">
        <f t="shared" si="132"/>
        <v>6.512E-5</v>
      </c>
      <c r="BH108" s="10">
        <f t="shared" si="132"/>
        <v>2.3598079999999984E-4</v>
      </c>
      <c r="BI108" s="10">
        <f t="shared" si="132"/>
        <v>6.1212799999999998E-5</v>
      </c>
      <c r="BJ108" s="10">
        <f t="shared" si="132"/>
        <v>-1.795420000000002E-4</v>
      </c>
    </row>
    <row r="109" spans="2:62">
      <c r="B109" s="396" t="str">
        <f>_xlfn.TEXTJOIN(",",TRUE,Regions!$C$3:'Regions'!$AD$3)</f>
        <v>IE,IE-CW,IE-D,IE-KE,IE-KK,IE-LS,IE-LD,IE-LH,IE-MH,IE-OY,IE-WH,IE-WX,IE-WW,IE-CE,IE-CO,IE-KY,IE-LK,IE-TA,IE-WD,IE-G,IE-LM,IE-MO,IE-RN,IE-SO,IE-CN,IE-DL,IE-MN</v>
      </c>
      <c r="C109" s="396" t="str">
        <f>C66</f>
        <v>T-CAR-HEV_DST00</v>
      </c>
      <c r="D109" s="396" t="str">
        <f>Commodities!C9</f>
        <v>TRADST</v>
      </c>
      <c r="E109" s="398" t="s">
        <v>918</v>
      </c>
      <c r="F109" s="400">
        <f t="shared" si="130"/>
        <v>1</v>
      </c>
      <c r="G109" s="400">
        <f t="shared" si="130"/>
        <v>1</v>
      </c>
      <c r="H109" s="400">
        <f t="shared" si="130"/>
        <v>1</v>
      </c>
      <c r="I109" s="396">
        <v>5</v>
      </c>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I109" t="s">
        <v>339</v>
      </c>
      <c r="AJ109" s="10">
        <f t="shared" ref="AJ109:AJ113" si="133">SUM(AK109:BJ109)</f>
        <v>0.12345540428824375</v>
      </c>
      <c r="AK109" s="10">
        <f t="shared" ref="AK109:BJ109" si="134">AK35-AK71-AK84-AK97</f>
        <v>3.8998346384927496E-4</v>
      </c>
      <c r="AL109" s="10">
        <f t="shared" si="134"/>
        <v>-0.27613494420699514</v>
      </c>
      <c r="AM109" s="10">
        <f t="shared" si="134"/>
        <v>-1.8982995394005719E-2</v>
      </c>
      <c r="AN109" s="10">
        <f t="shared" si="134"/>
        <v>3.5205306947200032E-2</v>
      </c>
      <c r="AO109" s="10">
        <f t="shared" si="134"/>
        <v>2.7368653688593092E-3</v>
      </c>
      <c r="AP109" s="10">
        <f t="shared" si="134"/>
        <v>2.2192535981343048E-2</v>
      </c>
      <c r="AQ109" s="10">
        <f t="shared" si="134"/>
        <v>-1.0564990289604781E-2</v>
      </c>
      <c r="AR109" s="10">
        <f t="shared" si="134"/>
        <v>-1.8210606392831008E-2</v>
      </c>
      <c r="AS109" s="10">
        <f t="shared" si="134"/>
        <v>-2.2999805227897907E-3</v>
      </c>
      <c r="AT109" s="10">
        <f t="shared" si="134"/>
        <v>3.993358396776836E-3</v>
      </c>
      <c r="AU109" s="10">
        <f t="shared" si="134"/>
        <v>-3.8043652971792019E-3</v>
      </c>
      <c r="AV109" s="10">
        <f t="shared" si="134"/>
        <v>-8.4899782482507069E-3</v>
      </c>
      <c r="AW109" s="10">
        <f t="shared" si="134"/>
        <v>4.7212466622714722E-4</v>
      </c>
      <c r="AX109" s="10">
        <f t="shared" si="134"/>
        <v>1.0604361489668701E-2</v>
      </c>
      <c r="AY109" s="10">
        <f t="shared" si="134"/>
        <v>2.7686395446515411E-2</v>
      </c>
      <c r="AZ109" s="10">
        <f t="shared" si="134"/>
        <v>-1.9529207384409997E-2</v>
      </c>
      <c r="BA109" s="10">
        <f t="shared" si="134"/>
        <v>-6.7388834005140952E-3</v>
      </c>
      <c r="BB109" s="10">
        <f t="shared" si="134"/>
        <v>3.0465651846757202E-3</v>
      </c>
      <c r="BC109" s="10">
        <f t="shared" si="134"/>
        <v>0.32724868525931194</v>
      </c>
      <c r="BD109" s="10">
        <f t="shared" si="134"/>
        <v>7.1862541035659921E-3</v>
      </c>
      <c r="BE109" s="10">
        <f t="shared" si="134"/>
        <v>8.3174957481649825E-3</v>
      </c>
      <c r="BF109" s="10">
        <f t="shared" si="134"/>
        <v>4.0246787026639863E-3</v>
      </c>
      <c r="BG109" s="10">
        <f t="shared" si="134"/>
        <v>8.8197873953682615E-4</v>
      </c>
      <c r="BH109" s="10">
        <f t="shared" si="134"/>
        <v>8.6282727963016281E-4</v>
      </c>
      <c r="BI109" s="10">
        <f t="shared" si="134"/>
        <v>1.5998362115630105E-3</v>
      </c>
      <c r="BJ109" s="10">
        <f t="shared" si="134"/>
        <v>3.1762102435271833E-2</v>
      </c>
    </row>
    <row r="110" spans="2:62">
      <c r="B110" s="396" t="str">
        <f>_xlfn.TEXTJOIN(",",TRUE,Regions!$C$3:'Regions'!$AD$3)</f>
        <v>IE,IE-CW,IE-D,IE-KE,IE-KK,IE-LS,IE-LD,IE-LH,IE-MH,IE-OY,IE-WH,IE-WX,IE-WW,IE-CE,IE-CO,IE-KY,IE-LK,IE-TA,IE-WD,IE-G,IE-LM,IE-MO,IE-RN,IE-SO,IE-CN,IE-DL,IE-MN</v>
      </c>
      <c r="C110" s="396" t="str">
        <f>C109</f>
        <v>T-CAR-HEV_DST00</v>
      </c>
      <c r="D110" s="396" t="str">
        <f>Commodities!C9</f>
        <v>TRADST</v>
      </c>
      <c r="E110" s="398" t="s">
        <v>919</v>
      </c>
      <c r="F110" s="400">
        <f t="shared" si="130"/>
        <v>0.95899999999999996</v>
      </c>
      <c r="G110" s="400">
        <f t="shared" si="130"/>
        <v>0.95</v>
      </c>
      <c r="H110" s="400">
        <f t="shared" si="130"/>
        <v>0.8</v>
      </c>
      <c r="I110" s="396">
        <v>5</v>
      </c>
      <c r="J110" s="188"/>
      <c r="K110" s="188"/>
      <c r="L110" s="188"/>
      <c r="M110" s="188"/>
      <c r="N110" s="188"/>
      <c r="O110" s="188"/>
      <c r="P110" s="188"/>
      <c r="Q110" s="188"/>
      <c r="R110" s="188"/>
      <c r="S110" s="188"/>
      <c r="T110" s="188"/>
      <c r="U110" s="188"/>
      <c r="V110" s="188"/>
      <c r="W110" s="188"/>
      <c r="X110" s="188"/>
      <c r="Y110" s="188"/>
      <c r="Z110" s="188"/>
      <c r="AA110" s="188"/>
      <c r="AB110" s="188"/>
      <c r="AC110" s="188"/>
      <c r="AD110" s="188"/>
      <c r="AE110" s="188"/>
      <c r="AF110" s="188"/>
      <c r="AI110" t="s">
        <v>336</v>
      </c>
      <c r="AJ110" s="10">
        <f t="shared" si="133"/>
        <v>2.7904121704018336E-3</v>
      </c>
      <c r="AK110" s="10">
        <f t="shared" ref="AK110:BJ110" si="135">AK36-AK72-AK85-AK98</f>
        <v>1.1918590887485597E-3</v>
      </c>
      <c r="AL110" s="10">
        <f t="shared" si="135"/>
        <v>-7.8285844604120136E-6</v>
      </c>
      <c r="AM110" s="10">
        <f t="shared" si="135"/>
        <v>-1.5969446932317943E-4</v>
      </c>
      <c r="AN110" s="10">
        <f t="shared" si="135"/>
        <v>-5.1810100130308782E-5</v>
      </c>
      <c r="AO110" s="10">
        <f t="shared" si="135"/>
        <v>5.7187608060896202E-4</v>
      </c>
      <c r="AP110" s="10">
        <f t="shared" si="135"/>
        <v>-8.1217647245308095E-5</v>
      </c>
      <c r="AQ110" s="10">
        <f t="shared" si="135"/>
        <v>-7.558963058003753E-4</v>
      </c>
      <c r="AR110" s="10">
        <f t="shared" si="135"/>
        <v>6.6850769889666498E-4</v>
      </c>
      <c r="AS110" s="10">
        <f t="shared" si="135"/>
        <v>4.5266286792323539E-4</v>
      </c>
      <c r="AT110" s="10">
        <f t="shared" si="135"/>
        <v>-3.3710209944540128E-4</v>
      </c>
      <c r="AU110" s="10">
        <f t="shared" si="135"/>
        <v>-9.0229247642055477E-4</v>
      </c>
      <c r="AV110" s="10">
        <f t="shared" si="135"/>
        <v>-3.4298659289144599E-4</v>
      </c>
      <c r="AW110" s="10">
        <f t="shared" si="135"/>
        <v>-5.9711793155221675E-5</v>
      </c>
      <c r="AX110" s="10">
        <f t="shared" si="135"/>
        <v>-1.4366429752186646E-4</v>
      </c>
      <c r="AY110" s="10">
        <f t="shared" si="135"/>
        <v>1.6534471696013752E-4</v>
      </c>
      <c r="AZ110" s="10">
        <f t="shared" si="135"/>
        <v>-1.2589876711837696E-3</v>
      </c>
      <c r="BA110" s="10">
        <f t="shared" si="135"/>
        <v>3.478699466056721E-4</v>
      </c>
      <c r="BB110" s="10">
        <f t="shared" si="135"/>
        <v>1.163479537572793E-3</v>
      </c>
      <c r="BC110" s="10">
        <f t="shared" si="135"/>
        <v>9.4865971851556229E-4</v>
      </c>
      <c r="BD110" s="10">
        <f t="shared" si="135"/>
        <v>-3.0857782315191792E-4</v>
      </c>
      <c r="BE110" s="10">
        <f t="shared" si="135"/>
        <v>1.7778212501445758E-4</v>
      </c>
      <c r="BF110" s="10">
        <f t="shared" si="135"/>
        <v>1.885589242438656E-4</v>
      </c>
      <c r="BG110" s="10">
        <f t="shared" si="135"/>
        <v>9.4877460340283062E-4</v>
      </c>
      <c r="BH110" s="10">
        <f t="shared" si="135"/>
        <v>3.0956105874546018E-4</v>
      </c>
      <c r="BI110" s="10">
        <f t="shared" si="135"/>
        <v>-2.9761153845911641E-4</v>
      </c>
      <c r="BJ110" s="10">
        <f t="shared" si="135"/>
        <v>3.6285720235251047E-4</v>
      </c>
    </row>
    <row r="111" spans="2:62">
      <c r="B111" s="401" t="str">
        <f>_xlfn.TEXTJOIN(",",TRUE,Regions!$C$3:'Regions'!$AD$3)</f>
        <v>IE,IE-CW,IE-D,IE-KE,IE-KK,IE-LS,IE-LD,IE-LH,IE-MH,IE-OY,IE-WH,IE-WX,IE-WW,IE-CE,IE-CO,IE-KY,IE-LK,IE-TA,IE-WD,IE-G,IE-LM,IE-MO,IE-RN,IE-SO,IE-CN,IE-DL,IE-MN</v>
      </c>
      <c r="C111" s="401" t="str">
        <f>C67</f>
        <v>T-CAR-PHEV_GSL00</v>
      </c>
      <c r="D111" s="401" t="str">
        <f>Commodities!C15</f>
        <v>TRAELC</v>
      </c>
      <c r="E111" s="402" t="s">
        <v>918</v>
      </c>
      <c r="F111" s="403">
        <v>0.5</v>
      </c>
      <c r="G111" s="403">
        <v>0.6</v>
      </c>
      <c r="H111" s="403">
        <v>0.8</v>
      </c>
      <c r="I111" s="401">
        <v>5</v>
      </c>
      <c r="J111" s="188"/>
      <c r="K111" s="188"/>
      <c r="L111" s="188"/>
      <c r="M111" s="188"/>
      <c r="N111" s="188"/>
      <c r="O111" s="188"/>
      <c r="P111" s="188"/>
      <c r="Q111" s="188"/>
      <c r="R111" s="188"/>
      <c r="S111" s="188"/>
      <c r="T111" s="188"/>
      <c r="U111" s="188"/>
      <c r="V111" s="188"/>
      <c r="W111" s="188"/>
      <c r="X111" s="188"/>
      <c r="Y111" s="188"/>
      <c r="Z111" s="188"/>
      <c r="AA111" s="188"/>
      <c r="AB111" s="188"/>
      <c r="AC111" s="188"/>
      <c r="AD111" s="188"/>
      <c r="AE111" s="188"/>
      <c r="AF111" s="188"/>
      <c r="AI111" t="s">
        <v>558</v>
      </c>
      <c r="AJ111" s="10">
        <f>SUM(AK111:BJ111)</f>
        <v>0.70332718656916882</v>
      </c>
      <c r="AK111" s="10">
        <f t="shared" ref="AK111:BJ111" si="136">AK37-AK73-AK86-AK99</f>
        <v>9.0883109999999878E-3</v>
      </c>
      <c r="AL111" s="10">
        <f t="shared" si="136"/>
        <v>-6.6439314999999777E-3</v>
      </c>
      <c r="AM111" s="10">
        <f t="shared" si="136"/>
        <v>-1.0555042250000007E-2</v>
      </c>
      <c r="AN111" s="10">
        <f t="shared" si="136"/>
        <v>-7.3324300000000286E-3</v>
      </c>
      <c r="AO111" s="10">
        <f t="shared" si="136"/>
        <v>1.3124417499999999E-2</v>
      </c>
      <c r="AP111" s="10">
        <f t="shared" si="136"/>
        <v>2.6711812500000084E-3</v>
      </c>
      <c r="AQ111" s="10">
        <f t="shared" si="136"/>
        <v>1.092670500000005E-2</v>
      </c>
      <c r="AR111" s="10">
        <f t="shared" si="136"/>
        <v>1.3492019999999938E-3</v>
      </c>
      <c r="AS111" s="10">
        <f t="shared" si="136"/>
        <v>-7.8562022499999995E-3</v>
      </c>
      <c r="AT111" s="10">
        <f t="shared" si="136"/>
        <v>4.7654800000000094E-3</v>
      </c>
      <c r="AU111" s="10">
        <f t="shared" si="136"/>
        <v>-5.3872705000000271E-3</v>
      </c>
      <c r="AV111" s="10">
        <f t="shared" si="136"/>
        <v>-4.100934250000049E-3</v>
      </c>
      <c r="AW111" s="10">
        <f t="shared" si="136"/>
        <v>9.7362614999999819E-3</v>
      </c>
      <c r="AX111" s="10">
        <f t="shared" si="136"/>
        <v>1.3690945000000565E-3</v>
      </c>
      <c r="AY111" s="10">
        <f t="shared" si="136"/>
        <v>9.3792320000000151E-3</v>
      </c>
      <c r="AZ111" s="10">
        <f t="shared" si="136"/>
        <v>-2.9164584999999965E-3</v>
      </c>
      <c r="BA111" s="10">
        <f t="shared" si="136"/>
        <v>-8.6951479999999581E-3</v>
      </c>
      <c r="BB111" s="10">
        <f t="shared" si="136"/>
        <v>-1.2026351500000004E-2</v>
      </c>
      <c r="BC111" s="10">
        <f t="shared" si="136"/>
        <v>-2.2233820000000515E-3</v>
      </c>
      <c r="BD111" s="10">
        <f t="shared" si="136"/>
        <v>5.3360950000000025E-3</v>
      </c>
      <c r="BE111" s="10">
        <f t="shared" si="136"/>
        <v>-5.8649630000000008E-3</v>
      </c>
      <c r="BF111" s="10">
        <f t="shared" si="136"/>
        <v>-3.2972500000000987E-4</v>
      </c>
      <c r="BG111" s="10">
        <f t="shared" si="136"/>
        <v>4.1979170000000163E-3</v>
      </c>
      <c r="BH111" s="10">
        <f t="shared" si="136"/>
        <v>0.16102028382015729</v>
      </c>
      <c r="BI111" s="10">
        <f t="shared" si="136"/>
        <v>0.54423985424901145</v>
      </c>
      <c r="BJ111" s="10">
        <f t="shared" si="136"/>
        <v>5.499050000003225E-5</v>
      </c>
    </row>
    <row r="112" spans="2:62">
      <c r="B112" s="401" t="str">
        <f>_xlfn.TEXTJOIN(",",TRUE,Regions!$C$3:'Regions'!$AD$3)</f>
        <v>IE,IE-CW,IE-D,IE-KE,IE-KK,IE-LS,IE-LD,IE-LH,IE-MH,IE-OY,IE-WH,IE-WX,IE-WW,IE-CE,IE-CO,IE-KY,IE-LK,IE-TA,IE-WD,IE-G,IE-LM,IE-MO,IE-RN,IE-SO,IE-CN,IE-DL,IE-MN</v>
      </c>
      <c r="C112" s="401" t="str">
        <f>C111</f>
        <v>T-CAR-PHEV_GSL00</v>
      </c>
      <c r="D112" s="401" t="str">
        <f>Commodities!C15</f>
        <v>TRAELC</v>
      </c>
      <c r="E112" s="402" t="s">
        <v>919</v>
      </c>
      <c r="F112" s="403">
        <v>0.3</v>
      </c>
      <c r="G112" s="403">
        <v>0.3</v>
      </c>
      <c r="H112" s="403">
        <v>0.3</v>
      </c>
      <c r="I112" s="401">
        <v>5</v>
      </c>
      <c r="J112" s="188"/>
      <c r="K112" s="188"/>
      <c r="L112" s="188"/>
      <c r="M112" s="188"/>
      <c r="N112" s="188"/>
      <c r="O112" s="188"/>
      <c r="P112" s="188"/>
      <c r="Q112" s="188"/>
      <c r="R112" s="188"/>
      <c r="S112" s="188"/>
      <c r="T112" s="188"/>
      <c r="U112" s="188"/>
      <c r="V112" s="188"/>
      <c r="W112" s="188"/>
      <c r="X112" s="188"/>
      <c r="Y112" s="188"/>
      <c r="Z112" s="188"/>
      <c r="AA112" s="188"/>
      <c r="AB112" s="188"/>
      <c r="AC112" s="188"/>
      <c r="AD112" s="188"/>
      <c r="AE112" s="188"/>
      <c r="AF112" s="188"/>
      <c r="AI112" t="s">
        <v>545</v>
      </c>
      <c r="AJ112" s="324">
        <f t="shared" si="133"/>
        <v>-2.8086984416308969E-6</v>
      </c>
      <c r="AK112" s="323">
        <f t="shared" ref="AK112:BJ112" si="137">AK38-AK74-AK87-AK100</f>
        <v>0</v>
      </c>
      <c r="AL112" s="323">
        <f t="shared" si="137"/>
        <v>-2.8086984416308969E-6</v>
      </c>
      <c r="AM112" s="323">
        <f t="shared" si="137"/>
        <v>0</v>
      </c>
      <c r="AN112" s="323">
        <f t="shared" si="137"/>
        <v>0</v>
      </c>
      <c r="AO112" s="323">
        <f t="shared" si="137"/>
        <v>0</v>
      </c>
      <c r="AP112" s="323">
        <f t="shared" si="137"/>
        <v>0</v>
      </c>
      <c r="AQ112" s="323">
        <f t="shared" si="137"/>
        <v>0</v>
      </c>
      <c r="AR112" s="323">
        <f t="shared" si="137"/>
        <v>0</v>
      </c>
      <c r="AS112" s="323">
        <f t="shared" si="137"/>
        <v>0</v>
      </c>
      <c r="AT112" s="323">
        <f t="shared" si="137"/>
        <v>0</v>
      </c>
      <c r="AU112" s="323">
        <f t="shared" si="137"/>
        <v>0</v>
      </c>
      <c r="AV112" s="323">
        <f t="shared" si="137"/>
        <v>0</v>
      </c>
      <c r="AW112" s="323">
        <f t="shared" si="137"/>
        <v>0</v>
      </c>
      <c r="AX112" s="323">
        <f t="shared" si="137"/>
        <v>0</v>
      </c>
      <c r="AY112" s="323">
        <f t="shared" si="137"/>
        <v>0</v>
      </c>
      <c r="AZ112" s="323">
        <f t="shared" si="137"/>
        <v>0</v>
      </c>
      <c r="BA112" s="323">
        <f t="shared" si="137"/>
        <v>0</v>
      </c>
      <c r="BB112" s="323">
        <f t="shared" si="137"/>
        <v>0</v>
      </c>
      <c r="BC112" s="323">
        <f t="shared" si="137"/>
        <v>0</v>
      </c>
      <c r="BD112" s="323">
        <f t="shared" si="137"/>
        <v>0</v>
      </c>
      <c r="BE112" s="323">
        <f t="shared" si="137"/>
        <v>0</v>
      </c>
      <c r="BF112" s="323">
        <f t="shared" si="137"/>
        <v>0</v>
      </c>
      <c r="BG112" s="323">
        <f t="shared" si="137"/>
        <v>0</v>
      </c>
      <c r="BH112" s="323">
        <f t="shared" si="137"/>
        <v>0</v>
      </c>
      <c r="BI112" s="323">
        <f t="shared" si="137"/>
        <v>0</v>
      </c>
      <c r="BJ112" s="323">
        <f t="shared" si="137"/>
        <v>0</v>
      </c>
    </row>
    <row r="113" spans="2:62">
      <c r="B113" s="396" t="str">
        <f>_xlfn.TEXTJOIN(",",TRUE,Regions!$C$3:'Regions'!$AD$3)</f>
        <v>IE,IE-CW,IE-D,IE-KE,IE-KK,IE-LS,IE-LD,IE-LH,IE-MH,IE-OY,IE-WH,IE-WX,IE-WW,IE-CE,IE-CO,IE-KY,IE-LK,IE-TA,IE-WD,IE-G,IE-LM,IE-MO,IE-RN,IE-SO,IE-CN,IE-DL,IE-MN</v>
      </c>
      <c r="C113" s="396" t="str">
        <f>C68</f>
        <v>T-CAR-PHEV_DST00</v>
      </c>
      <c r="D113" s="396" t="str">
        <f>Commodities!C15</f>
        <v>TRAELC</v>
      </c>
      <c r="E113" s="398" t="s">
        <v>918</v>
      </c>
      <c r="F113" s="400">
        <f t="shared" ref="F113:H114" si="138">F111</f>
        <v>0.5</v>
      </c>
      <c r="G113" s="400">
        <f t="shared" si="138"/>
        <v>0.6</v>
      </c>
      <c r="H113" s="400">
        <f t="shared" si="138"/>
        <v>0.8</v>
      </c>
      <c r="I113" s="396">
        <v>5</v>
      </c>
      <c r="J113" s="188"/>
      <c r="K113" s="188"/>
      <c r="L113" s="188"/>
      <c r="M113" s="188"/>
      <c r="N113" s="188"/>
      <c r="O113" s="188"/>
      <c r="P113" s="188"/>
      <c r="Q113" s="188"/>
      <c r="R113" s="188"/>
      <c r="S113" s="188"/>
      <c r="T113" s="188"/>
      <c r="U113" s="188"/>
      <c r="V113" s="188"/>
      <c r="W113" s="188"/>
      <c r="X113" s="188"/>
      <c r="Y113" s="188"/>
      <c r="Z113" s="188"/>
      <c r="AA113" s="188"/>
      <c r="AB113" s="188"/>
      <c r="AC113" s="188"/>
      <c r="AD113" s="188"/>
      <c r="AE113" s="188"/>
      <c r="AF113" s="188"/>
      <c r="AI113" t="s">
        <v>338</v>
      </c>
      <c r="AJ113" s="10">
        <f t="shared" si="133"/>
        <v>-0.36142894386926988</v>
      </c>
      <c r="AK113" s="10">
        <f t="shared" ref="AK113:BJ113" si="139">AK39-AK75-AK88-AK101</f>
        <v>-1.2008036635091493E-2</v>
      </c>
      <c r="AL113" s="10">
        <f t="shared" si="139"/>
        <v>0.35875501486640993</v>
      </c>
      <c r="AM113" s="10">
        <f t="shared" si="139"/>
        <v>-4.6930306039738599E-2</v>
      </c>
      <c r="AN113" s="10">
        <f t="shared" si="139"/>
        <v>-2.0929907457552865E-2</v>
      </c>
      <c r="AO113" s="10">
        <f t="shared" si="139"/>
        <v>-1.7864200781324117E-2</v>
      </c>
      <c r="AP113" s="10">
        <f t="shared" si="139"/>
        <v>-8.6208895065357748E-3</v>
      </c>
      <c r="AQ113" s="10">
        <f t="shared" si="139"/>
        <v>-2.7184075628418687E-2</v>
      </c>
      <c r="AR113" s="10">
        <f t="shared" si="139"/>
        <v>-4.1138472167757775E-2</v>
      </c>
      <c r="AS113" s="10">
        <f t="shared" si="139"/>
        <v>-1.6443450855553439E-2</v>
      </c>
      <c r="AT113" s="10">
        <f t="shared" si="139"/>
        <v>-1.8723273591250478E-2</v>
      </c>
      <c r="AU113" s="10">
        <f t="shared" si="139"/>
        <v>-3.1579204332873756E-2</v>
      </c>
      <c r="AV113" s="10">
        <f t="shared" si="139"/>
        <v>-3.0040128886266178E-2</v>
      </c>
      <c r="AW113" s="10">
        <f t="shared" si="139"/>
        <v>-2.5060754740245661E-2</v>
      </c>
      <c r="AX113" s="10">
        <f t="shared" si="139"/>
        <v>-0.11450113876236298</v>
      </c>
      <c r="AY113" s="10">
        <f t="shared" si="139"/>
        <v>-3.1154202684948007E-2</v>
      </c>
      <c r="AZ113" s="10">
        <f t="shared" si="139"/>
        <v>-4.110788892262169E-2</v>
      </c>
      <c r="BA113" s="10">
        <f t="shared" si="139"/>
        <v>-3.3652748353101128E-2</v>
      </c>
      <c r="BB113" s="10">
        <f t="shared" si="139"/>
        <v>-2.4503717840904757E-2</v>
      </c>
      <c r="BC113" s="10">
        <f t="shared" si="139"/>
        <v>-5.442931774710956E-2</v>
      </c>
      <c r="BD113" s="10">
        <f t="shared" si="139"/>
        <v>-6.7586862561454311E-3</v>
      </c>
      <c r="BE113" s="10">
        <f t="shared" si="139"/>
        <v>-2.7526397055010983E-2</v>
      </c>
      <c r="BF113" s="10">
        <f t="shared" si="139"/>
        <v>-1.3613551545270587E-2</v>
      </c>
      <c r="BG113" s="10">
        <f t="shared" si="139"/>
        <v>-1.3822572206855916E-2</v>
      </c>
      <c r="BH113" s="10">
        <f t="shared" si="139"/>
        <v>-1.606696056198147E-2</v>
      </c>
      <c r="BI113" s="10">
        <f t="shared" si="139"/>
        <v>-3.3576606618658834E-2</v>
      </c>
      <c r="BJ113" s="10">
        <f t="shared" si="139"/>
        <v>-1.2947469558099604E-2</v>
      </c>
    </row>
    <row r="114" spans="2:62">
      <c r="B114" s="396" t="str">
        <f>_xlfn.TEXTJOIN(",",TRUE,Regions!$C$3:'Regions'!$AD$3)</f>
        <v>IE,IE-CW,IE-D,IE-KE,IE-KK,IE-LS,IE-LD,IE-LH,IE-MH,IE-OY,IE-WH,IE-WX,IE-WW,IE-CE,IE-CO,IE-KY,IE-LK,IE-TA,IE-WD,IE-G,IE-LM,IE-MO,IE-RN,IE-SO,IE-CN,IE-DL,IE-MN</v>
      </c>
      <c r="C114" s="396" t="str">
        <f>C113</f>
        <v>T-CAR-PHEV_DST00</v>
      </c>
      <c r="D114" s="396" t="str">
        <f>Commodities!C15</f>
        <v>TRAELC</v>
      </c>
      <c r="E114" s="398" t="s">
        <v>919</v>
      </c>
      <c r="F114" s="400">
        <f t="shared" si="138"/>
        <v>0.3</v>
      </c>
      <c r="G114" s="400">
        <f t="shared" si="138"/>
        <v>0.3</v>
      </c>
      <c r="H114" s="400">
        <f t="shared" si="138"/>
        <v>0.3</v>
      </c>
      <c r="I114" s="396">
        <v>5</v>
      </c>
      <c r="J114" s="188"/>
      <c r="K114" s="188"/>
      <c r="L114" s="188"/>
      <c r="M114" s="188"/>
      <c r="N114" s="188"/>
      <c r="O114" s="188"/>
      <c r="P114" s="188"/>
      <c r="Q114" s="188"/>
      <c r="R114" s="188"/>
      <c r="S114" s="188"/>
      <c r="T114" s="188"/>
      <c r="U114" s="188"/>
      <c r="V114" s="188"/>
      <c r="W114" s="188"/>
      <c r="X114" s="188"/>
      <c r="Y114" s="188"/>
      <c r="Z114" s="188"/>
      <c r="AA114" s="188"/>
      <c r="AB114" s="188"/>
      <c r="AC114" s="188"/>
      <c r="AD114" s="188"/>
      <c r="AE114" s="188"/>
      <c r="AF114" s="188"/>
      <c r="AI114" s="107" t="s">
        <v>16</v>
      </c>
      <c r="AJ114" s="325">
        <f t="shared" ref="AJ114:BJ114" si="140">SUM(AJ108:AJ113)</f>
        <v>0.46793118676010287</v>
      </c>
      <c r="AK114" s="325">
        <f t="shared" si="140"/>
        <v>-8.0478898249367048E-4</v>
      </c>
      <c r="AL114" s="325">
        <f t="shared" si="140"/>
        <v>7.7395026676512768E-2</v>
      </c>
      <c r="AM114" s="325">
        <f t="shared" si="140"/>
        <v>-7.6722303753067503E-2</v>
      </c>
      <c r="AN114" s="325">
        <f t="shared" si="140"/>
        <v>7.2349577895168306E-3</v>
      </c>
      <c r="AO114" s="325">
        <f t="shared" si="140"/>
        <v>-1.0017888318558481E-3</v>
      </c>
      <c r="AP114" s="325">
        <f t="shared" si="140"/>
        <v>1.5686956777561975E-2</v>
      </c>
      <c r="AQ114" s="325">
        <f t="shared" si="140"/>
        <v>-2.7184358223823792E-2</v>
      </c>
      <c r="AR114" s="325">
        <f t="shared" si="140"/>
        <v>-5.7789136061692128E-2</v>
      </c>
      <c r="AS114" s="325">
        <f t="shared" si="140"/>
        <v>-2.6392420360419992E-2</v>
      </c>
      <c r="AT114" s="325">
        <f t="shared" si="140"/>
        <v>-1.0703670893919034E-2</v>
      </c>
      <c r="AU114" s="325">
        <f t="shared" si="140"/>
        <v>-4.1671546406473539E-2</v>
      </c>
      <c r="AV114" s="325">
        <f t="shared" si="140"/>
        <v>-4.2724459977408383E-2</v>
      </c>
      <c r="AW114" s="325">
        <f t="shared" si="140"/>
        <v>-1.5441373967173754E-2</v>
      </c>
      <c r="AX114" s="325">
        <f t="shared" si="140"/>
        <v>-0.10305087347021609</v>
      </c>
      <c r="AY114" s="325">
        <f t="shared" si="140"/>
        <v>5.907545478527558E-3</v>
      </c>
      <c r="AZ114" s="325">
        <f t="shared" si="140"/>
        <v>-6.4790212478215453E-2</v>
      </c>
      <c r="BA114" s="325">
        <f t="shared" si="140"/>
        <v>-4.8954589007009511E-2</v>
      </c>
      <c r="BB114" s="325">
        <f t="shared" si="140"/>
        <v>-3.1853774218656247E-2</v>
      </c>
      <c r="BC114" s="325">
        <f t="shared" si="140"/>
        <v>0.27147650903071785</v>
      </c>
      <c r="BD114" s="325">
        <f t="shared" si="140"/>
        <v>4.8346850242686444E-3</v>
      </c>
      <c r="BE114" s="325">
        <f t="shared" si="140"/>
        <v>-2.5287253181831545E-2</v>
      </c>
      <c r="BF114" s="325">
        <f t="shared" si="140"/>
        <v>-9.9444784183627451E-3</v>
      </c>
      <c r="BG114" s="325">
        <f t="shared" si="140"/>
        <v>-7.7287818639162429E-3</v>
      </c>
      <c r="BH114" s="325">
        <f t="shared" si="140"/>
        <v>0.14636169239655142</v>
      </c>
      <c r="BI114" s="325">
        <f t="shared" si="140"/>
        <v>0.5120266851034565</v>
      </c>
      <c r="BJ114" s="325">
        <f t="shared" si="140"/>
        <v>1.9052938579524774E-2</v>
      </c>
    </row>
    <row r="115" spans="2:62">
      <c r="B115" s="401" t="str">
        <f>_xlfn.TEXTJOIN(",",TRUE,Regions!$C$3:'Regions'!$AD$3)</f>
        <v>IE,IE-CW,IE-D,IE-KE,IE-KK,IE-LS,IE-LD,IE-LH,IE-MH,IE-OY,IE-WH,IE-WX,IE-WW,IE-CE,IE-CO,IE-KY,IE-LK,IE-TA,IE-WD,IE-G,IE-LM,IE-MO,IE-RN,IE-SO,IE-CN,IE-DL,IE-MN</v>
      </c>
      <c r="C115" s="401" t="str">
        <f>C18</f>
        <v>T-TAX-ICE_GSL00</v>
      </c>
      <c r="D115" s="401" t="str">
        <f>Commodities!C8</f>
        <v>TRAGSL</v>
      </c>
      <c r="E115" s="402" t="s">
        <v>918</v>
      </c>
      <c r="F115" s="403">
        <f t="shared" ref="F115:H118" si="141">F99</f>
        <v>0.96794815285714941</v>
      </c>
      <c r="G115" s="403">
        <f t="shared" si="141"/>
        <v>1</v>
      </c>
      <c r="H115" s="403">
        <f t="shared" si="141"/>
        <v>1</v>
      </c>
      <c r="I115" s="401">
        <v>5</v>
      </c>
      <c r="J115" s="188"/>
      <c r="K115" s="188"/>
      <c r="L115" s="188"/>
      <c r="M115" s="188"/>
      <c r="N115" s="188"/>
      <c r="O115" s="188"/>
      <c r="P115" s="188"/>
      <c r="Q115" s="188"/>
      <c r="R115" s="188"/>
      <c r="S115" s="188"/>
      <c r="T115" s="188"/>
      <c r="U115" s="188"/>
      <c r="V115" s="188"/>
      <c r="W115" s="188"/>
      <c r="X115" s="188"/>
      <c r="Y115" s="188"/>
      <c r="Z115" s="188"/>
      <c r="AA115" s="188"/>
      <c r="AB115" s="188"/>
      <c r="AC115" s="188"/>
      <c r="AD115" s="188"/>
      <c r="AE115" s="188"/>
      <c r="AF115" s="188"/>
      <c r="AI115" s="140"/>
    </row>
    <row r="116" spans="2:62">
      <c r="B116" s="401" t="str">
        <f>_xlfn.TEXTJOIN(",",TRUE,Regions!$C$3:'Regions'!$AD$3)</f>
        <v>IE,IE-CW,IE-D,IE-KE,IE-KK,IE-LS,IE-LD,IE-LH,IE-MH,IE-OY,IE-WH,IE-WX,IE-WW,IE-CE,IE-CO,IE-KY,IE-LK,IE-TA,IE-WD,IE-G,IE-LM,IE-MO,IE-RN,IE-SO,IE-CN,IE-DL,IE-MN</v>
      </c>
      <c r="C116" s="401" t="str">
        <f>C115</f>
        <v>T-TAX-ICE_GSL00</v>
      </c>
      <c r="D116" s="401" t="str">
        <f>Commodities!C8</f>
        <v>TRAGSL</v>
      </c>
      <c r="E116" s="402" t="s">
        <v>919</v>
      </c>
      <c r="F116" s="403">
        <f t="shared" si="141"/>
        <v>0.96794815285714941</v>
      </c>
      <c r="G116" s="403">
        <f t="shared" si="141"/>
        <v>0.95</v>
      </c>
      <c r="H116" s="403">
        <f t="shared" si="141"/>
        <v>0.9</v>
      </c>
      <c r="I116" s="401">
        <v>5</v>
      </c>
      <c r="J116" s="188"/>
      <c r="K116" s="188"/>
      <c r="L116" s="188"/>
      <c r="M116" s="188"/>
      <c r="N116" s="188"/>
      <c r="O116" s="188"/>
      <c r="P116" s="188"/>
      <c r="Q116" s="188"/>
      <c r="R116" s="188"/>
      <c r="S116" s="188"/>
      <c r="T116" s="188"/>
      <c r="U116" s="188"/>
      <c r="V116" s="188"/>
      <c r="W116" s="188"/>
      <c r="X116" s="188"/>
      <c r="Y116" s="188"/>
      <c r="Z116" s="188"/>
      <c r="AA116" s="188"/>
      <c r="AB116" s="188"/>
      <c r="AC116" s="188"/>
      <c r="AD116" s="188"/>
      <c r="AE116" s="188"/>
      <c r="AF116" s="188"/>
      <c r="AI116" s="140"/>
    </row>
    <row r="117" spans="2:62">
      <c r="B117" s="396" t="str">
        <f>_xlfn.TEXTJOIN(",",TRUE,Regions!$C$3:'Regions'!$AD$3)</f>
        <v>IE,IE-CW,IE-D,IE-KE,IE-KK,IE-LS,IE-LD,IE-LH,IE-MH,IE-OY,IE-WH,IE-WX,IE-WW,IE-CE,IE-CO,IE-KY,IE-LK,IE-TA,IE-WD,IE-G,IE-LM,IE-MO,IE-RN,IE-SO,IE-CN,IE-DL,IE-MN</v>
      </c>
      <c r="C117" s="396" t="str">
        <f>C19</f>
        <v>T-TAX-ICE_DST00</v>
      </c>
      <c r="D117" s="396" t="str">
        <f>Commodities!C9</f>
        <v>TRADST</v>
      </c>
      <c r="E117" s="398" t="s">
        <v>918</v>
      </c>
      <c r="F117" s="400">
        <f t="shared" si="141"/>
        <v>1</v>
      </c>
      <c r="G117" s="400">
        <f t="shared" si="141"/>
        <v>1</v>
      </c>
      <c r="H117" s="400">
        <f t="shared" si="141"/>
        <v>1</v>
      </c>
      <c r="I117" s="396">
        <v>5</v>
      </c>
      <c r="J117" s="188"/>
      <c r="K117" s="188"/>
      <c r="L117" s="188"/>
      <c r="M117" s="188"/>
      <c r="N117" s="188"/>
      <c r="O117" s="188"/>
      <c r="P117" s="188"/>
      <c r="Q117" s="188"/>
      <c r="R117" s="188"/>
      <c r="S117" s="188"/>
      <c r="T117" s="188"/>
      <c r="U117" s="188"/>
      <c r="V117" s="188"/>
      <c r="W117" s="188"/>
      <c r="X117" s="188"/>
      <c r="Y117" s="188"/>
      <c r="Z117" s="188"/>
      <c r="AA117" s="188"/>
      <c r="AB117" s="188"/>
      <c r="AC117" s="188"/>
      <c r="AD117" s="188"/>
      <c r="AE117" s="188"/>
      <c r="AF117" s="188"/>
      <c r="AI117" t="s">
        <v>990</v>
      </c>
    </row>
    <row r="118" spans="2:62">
      <c r="B118" s="396" t="str">
        <f>_xlfn.TEXTJOIN(",",TRUE,Regions!$C$3:'Regions'!$AD$3)</f>
        <v>IE,IE-CW,IE-D,IE-KE,IE-KK,IE-LS,IE-LD,IE-LH,IE-MH,IE-OY,IE-WH,IE-WX,IE-WW,IE-CE,IE-CO,IE-KY,IE-LK,IE-TA,IE-WD,IE-G,IE-LM,IE-MO,IE-RN,IE-SO,IE-CN,IE-DL,IE-MN</v>
      </c>
      <c r="C118" s="396" t="str">
        <f>C117</f>
        <v>T-TAX-ICE_DST00</v>
      </c>
      <c r="D118" s="396" t="str">
        <f>Commodities!C9</f>
        <v>TRADST</v>
      </c>
      <c r="E118" s="398" t="s">
        <v>919</v>
      </c>
      <c r="F118" s="400">
        <f t="shared" si="141"/>
        <v>0.95899999999999996</v>
      </c>
      <c r="G118" s="400">
        <f t="shared" si="141"/>
        <v>0.95</v>
      </c>
      <c r="H118" s="400">
        <f t="shared" si="141"/>
        <v>0.8</v>
      </c>
      <c r="I118" s="396">
        <v>5</v>
      </c>
      <c r="J118" s="188"/>
      <c r="K118" s="188"/>
      <c r="M118" s="188"/>
      <c r="N118" s="188"/>
      <c r="O118" s="188"/>
      <c r="P118" s="188"/>
      <c r="Q118" s="188"/>
      <c r="R118" s="188"/>
      <c r="S118" s="188"/>
      <c r="T118" s="188"/>
      <c r="U118" s="188"/>
      <c r="V118" s="188"/>
      <c r="W118" s="188"/>
      <c r="X118" s="188"/>
      <c r="Y118" s="188"/>
      <c r="Z118" s="188"/>
      <c r="AA118" s="188"/>
      <c r="AB118" s="188"/>
      <c r="AC118" s="188"/>
      <c r="AD118" s="188"/>
      <c r="AE118" s="188"/>
      <c r="AF118" s="188"/>
      <c r="AI118" s="82" t="s">
        <v>331</v>
      </c>
      <c r="AJ118" s="82" t="str">
        <f>AJ107</f>
        <v>IE</v>
      </c>
      <c r="AK118" s="82" t="str">
        <f t="shared" ref="AK118:BJ118" si="142">AK107</f>
        <v>IE-CW</v>
      </c>
      <c r="AL118" s="82" t="str">
        <f t="shared" si="142"/>
        <v>IE-D</v>
      </c>
      <c r="AM118" s="82" t="str">
        <f t="shared" si="142"/>
        <v>IE-KE</v>
      </c>
      <c r="AN118" s="82" t="str">
        <f t="shared" si="142"/>
        <v>IE-KK</v>
      </c>
      <c r="AO118" s="82" t="str">
        <f t="shared" si="142"/>
        <v>IE-LS</v>
      </c>
      <c r="AP118" s="82" t="str">
        <f t="shared" si="142"/>
        <v>IE-LD</v>
      </c>
      <c r="AQ118" s="82" t="str">
        <f t="shared" si="142"/>
        <v>IE-LH</v>
      </c>
      <c r="AR118" s="82" t="str">
        <f t="shared" si="142"/>
        <v>IE-MH</v>
      </c>
      <c r="AS118" s="82" t="str">
        <f t="shared" si="142"/>
        <v>IE-OY</v>
      </c>
      <c r="AT118" s="82" t="str">
        <f t="shared" si="142"/>
        <v>IE-WH</v>
      </c>
      <c r="AU118" s="82" t="str">
        <f t="shared" si="142"/>
        <v>IE-WX</v>
      </c>
      <c r="AV118" s="82" t="str">
        <f t="shared" si="142"/>
        <v>IE-WW</v>
      </c>
      <c r="AW118" s="82" t="str">
        <f t="shared" si="142"/>
        <v>IE-CE</v>
      </c>
      <c r="AX118" s="82" t="str">
        <f t="shared" si="142"/>
        <v>IE-CO</v>
      </c>
      <c r="AY118" s="82" t="str">
        <f t="shared" si="142"/>
        <v>IE-KY</v>
      </c>
      <c r="AZ118" s="82" t="str">
        <f t="shared" si="142"/>
        <v>IE-LK</v>
      </c>
      <c r="BA118" s="82" t="str">
        <f t="shared" si="142"/>
        <v>IE-TA</v>
      </c>
      <c r="BB118" s="82" t="str">
        <f t="shared" si="142"/>
        <v>IE-WD</v>
      </c>
      <c r="BC118" s="82" t="str">
        <f t="shared" si="142"/>
        <v>IE-G</v>
      </c>
      <c r="BD118" s="82" t="str">
        <f t="shared" si="142"/>
        <v>IE-LM</v>
      </c>
      <c r="BE118" s="82" t="str">
        <f t="shared" si="142"/>
        <v>IE-MO</v>
      </c>
      <c r="BF118" s="82" t="str">
        <f t="shared" si="142"/>
        <v>IE-RN</v>
      </c>
      <c r="BG118" s="82" t="str">
        <f t="shared" si="142"/>
        <v>IE-SO</v>
      </c>
      <c r="BH118" s="82" t="str">
        <f t="shared" si="142"/>
        <v>IE-CN</v>
      </c>
      <c r="BI118" s="82" t="str">
        <f t="shared" si="142"/>
        <v>IE-DL</v>
      </c>
      <c r="BJ118" s="82" t="str">
        <f t="shared" si="142"/>
        <v>IE-MN</v>
      </c>
    </row>
    <row r="119" spans="2:62">
      <c r="B119" s="401" t="str">
        <f>_xlfn.TEXTJOIN(",",TRUE,Regions!$C$3:'Regions'!$AD$3)</f>
        <v>IE,IE-CW,IE-D,IE-KE,IE-KK,IE-LS,IE-LD,IE-LH,IE-MH,IE-OY,IE-WH,IE-WX,IE-WW,IE-CE,IE-CO,IE-KY,IE-LK,IE-TA,IE-WD,IE-G,IE-LM,IE-MO,IE-RN,IE-SO,IE-CN,IE-DL,IE-MN</v>
      </c>
      <c r="C119" s="401" t="str">
        <f>C73</f>
        <v>T-TAX-HEV_GSL00</v>
      </c>
      <c r="D119" s="401" t="str">
        <f>Commodities!C8</f>
        <v>TRAGSL</v>
      </c>
      <c r="E119" s="402" t="s">
        <v>918</v>
      </c>
      <c r="F119" s="403">
        <f t="shared" ref="F119:H120" si="143">F107</f>
        <v>0.96794815285714941</v>
      </c>
      <c r="G119" s="403">
        <f t="shared" si="143"/>
        <v>1</v>
      </c>
      <c r="H119" s="403">
        <f t="shared" si="143"/>
        <v>1</v>
      </c>
      <c r="I119" s="401">
        <v>5</v>
      </c>
      <c r="J119" s="188"/>
      <c r="K119" s="188"/>
      <c r="AI119" t="s">
        <v>340</v>
      </c>
      <c r="AJ119" s="5">
        <f>1000*(AJ70+AJ83+AJ96)/(G6*AF!D6)</f>
        <v>1.1016594427576836</v>
      </c>
      <c r="AK119" s="10">
        <f>1000*(AK70+AK83+AK96)/(H6*AF!E6)</f>
        <v>0.74092484933966785</v>
      </c>
      <c r="AL119" s="10">
        <f>1000*(AL70+AL83+AL96)/(I6*AF!F6)</f>
        <v>1.0595030511421559</v>
      </c>
      <c r="AM119" s="10">
        <f>1.1*1000*(AM70+AM83+AM96)/(J6*AF!G6)</f>
        <v>1.2275324366146889</v>
      </c>
      <c r="AN119" s="10">
        <f>1000*(AN70+AN83+AN96)/(K6*AF!H6)</f>
        <v>0.95133325030788629</v>
      </c>
      <c r="AO119" s="10">
        <f>1000*(AO70+AO83+AO96)/(L6*AF!I6)</f>
        <v>0.79123598253526395</v>
      </c>
      <c r="AP119" s="10">
        <f>1000*(AP70+AP83+AP96)/(M6*AF!J6)</f>
        <v>1.9349266574845607</v>
      </c>
      <c r="AQ119" s="10">
        <f>1000*(AQ70+AQ83+AQ96)/(N6*AF!K6)</f>
        <v>0.93295845366377061</v>
      </c>
      <c r="AR119" s="10">
        <f>1000*(AR70+AR83+AR96)/(O6*AF!L6)</f>
        <v>1.1998652660384901</v>
      </c>
      <c r="AS119" s="10">
        <f>1000*(AS70+AS83+AS96)/(P6*AF!M6)</f>
        <v>1.2381364021106851</v>
      </c>
      <c r="AT119" s="10">
        <f>1000*(AT70+AT83+AT96)/(Q6*AF!N6)</f>
        <v>1.3460399504657303</v>
      </c>
      <c r="AU119" s="10">
        <f>1000*(AU70+AU83+AU96)/(R6*AF!O6)</f>
        <v>1.0996035929047578</v>
      </c>
      <c r="AV119" s="10">
        <f>1000*(AV70+AV83+AV96)/(S6*AF!P6)</f>
        <v>1.0409569233098648</v>
      </c>
      <c r="AW119" s="10">
        <f>1000*(AW70+AW83+AW96)/(T6*AF!Q6)</f>
        <v>1.3101352059532545</v>
      </c>
      <c r="AX119" s="10">
        <f>1000*(AX70+AX83+AX96)/(U6*AF!R6)</f>
        <v>1.1258974426160779</v>
      </c>
      <c r="AY119" s="10">
        <f>1000*(AY70+AY83+AY96)/(V6*AF!S6)</f>
        <v>1.1594569525255081</v>
      </c>
      <c r="AZ119" s="10">
        <f>1000*(AZ70+AZ83+AZ96)/(W6*AF!T6)</f>
        <v>1.0944456881327265</v>
      </c>
      <c r="BA119" s="10">
        <f>1000*(BA70+BA83+BA96)/(X6*AF!U6)</f>
        <v>1.156699075271667</v>
      </c>
      <c r="BB119" s="10">
        <f>1000*(BB70+BB83+BB96)/(Y6*AF!V6)</f>
        <v>0.96382332943130922</v>
      </c>
      <c r="BC119" s="10">
        <f>1000*(BC70+BC83+BC96)/(Z6*AF!W6)</f>
        <v>1.1173019798083221</v>
      </c>
      <c r="BD119" s="10">
        <f>1000*(BD70+BD83+BD96)/(AA6*AF!X6)</f>
        <v>2.5229357798165144</v>
      </c>
      <c r="BE119" s="10">
        <f>1000*(BE70+BE83+BE96)/(AB6*AF!Y6)</f>
        <v>1.3378821325841197</v>
      </c>
      <c r="BF119" s="10">
        <f>1000*(BF70+BF83+BF96)/(AC6*AF!Z6)</f>
        <v>1.3663662731117754</v>
      </c>
      <c r="BG119" s="10">
        <f>1000*(BG70+BG83+BG96)/(AD6*AF!AA6)</f>
        <v>1.0385196374622359</v>
      </c>
      <c r="BH119" s="10">
        <f>1000*(BH70+BH83+BH96)/(AE6*AF!AB6)</f>
        <v>0.90570163882594745</v>
      </c>
      <c r="BI119" s="10">
        <f>1000*(BI70+BI83+BI96)/(AF6*AF!AC6)</f>
        <v>1.0702221391989293</v>
      </c>
      <c r="BJ119" s="10">
        <f>1000*(BJ70+BJ83+BJ96)/(AG6*AF!AD6)</f>
        <v>1.3145629675661468</v>
      </c>
    </row>
    <row r="120" spans="2:62">
      <c r="B120" s="401" t="str">
        <f>_xlfn.TEXTJOIN(",",TRUE,Regions!$C$3:'Regions'!$AD$3)</f>
        <v>IE,IE-CW,IE-D,IE-KE,IE-KK,IE-LS,IE-LD,IE-LH,IE-MH,IE-OY,IE-WH,IE-WX,IE-WW,IE-CE,IE-CO,IE-KY,IE-LK,IE-TA,IE-WD,IE-G,IE-LM,IE-MO,IE-RN,IE-SO,IE-CN,IE-DL,IE-MN</v>
      </c>
      <c r="C120" s="401" t="str">
        <f>C119</f>
        <v>T-TAX-HEV_GSL00</v>
      </c>
      <c r="D120" s="401" t="str">
        <f>Commodities!C8</f>
        <v>TRAGSL</v>
      </c>
      <c r="E120" s="402" t="s">
        <v>919</v>
      </c>
      <c r="F120" s="403">
        <f t="shared" si="143"/>
        <v>0.96794815285714941</v>
      </c>
      <c r="G120" s="403">
        <f t="shared" si="143"/>
        <v>0.95</v>
      </c>
      <c r="H120" s="403">
        <f t="shared" si="143"/>
        <v>0.9</v>
      </c>
      <c r="I120" s="401">
        <v>5</v>
      </c>
      <c r="J120" s="188"/>
      <c r="K120" s="188"/>
      <c r="AI120" t="s">
        <v>339</v>
      </c>
      <c r="AJ120" s="10">
        <f>1000*(AJ71+AJ84+AJ97)/(SUMPRODUCT(G8:G16,AF!D7:D15))</f>
        <v>1.4897945139689699</v>
      </c>
      <c r="AK120" s="10">
        <f>1000*(AK71+AK84+AK97)/(SUMPRODUCT(H8:H16,AF!E7:E15))</f>
        <v>1.4912746780926103</v>
      </c>
      <c r="AL120" s="10">
        <f>1000*(AL71+AL84+AL97)/(SUMPRODUCT(I8:I16,AF!F7:F15))</f>
        <v>1.5291967848593075</v>
      </c>
      <c r="AM120" s="10">
        <f>1000*(AM71+AM84+AM97)/(SUMPRODUCT(J8:J16,AF!G7:G15))</f>
        <v>1.5025151679993503</v>
      </c>
      <c r="AN120" s="10">
        <f>1000*(AN71+AN84+AN97)/(SUMPRODUCT(K8:K16,AF!H7:H15))</f>
        <v>1.4506225292188679</v>
      </c>
      <c r="AO120" s="10">
        <f>1000*(AO71+AO84+AO97)/(SUMPRODUCT(L8:L16,AF!I7:I15))</f>
        <v>1.4879559121688459</v>
      </c>
      <c r="AP120" s="10">
        <f>1000*(AP71+AP84+AP97)/(SUMPRODUCT(M8:M16,AF!J7:J15))</f>
        <v>1.4294751830733958</v>
      </c>
      <c r="AQ120" s="10">
        <f>1000*(AQ71+AQ84+AQ97)/(SUMPRODUCT(N8:N16,AF!K7:K15))</f>
        <v>1.5038170501896317</v>
      </c>
      <c r="AR120" s="10">
        <f>1000*(AR71+AR84+AR97)/(SUMPRODUCT(O8:O16,AF!L7:L15))</f>
        <v>1.503394613173479</v>
      </c>
      <c r="AS120" s="10">
        <f>1000*(AS71+AS84+AS97)/(SUMPRODUCT(P8:P16,AF!M7:M15))</f>
        <v>1.4955098130314788</v>
      </c>
      <c r="AT120" s="10">
        <f>1000*(AT71+AT84+AT97)/(SUMPRODUCT(Q8:Q16,AF!N7:N15))</f>
        <v>1.486941727766369</v>
      </c>
      <c r="AU120" s="10">
        <f>1000*(AU71+AU84+AU97)/(SUMPRODUCT(R8:R16,AF!O7:O15))</f>
        <v>1.4947634233049139</v>
      </c>
      <c r="AV120" s="10">
        <f>1000*(AV71+AV84+AV97)/(SUMPRODUCT(S8:S16,AF!P7:P15))</f>
        <v>1.499360182826516</v>
      </c>
      <c r="AW120" s="10">
        <f>1000*(AW71+AW84+AW97)/(SUMPRODUCT(T8:T16,AF!Q7:Q15))</f>
        <v>1.4915708270190542</v>
      </c>
      <c r="AX120" s="10">
        <f>1000*(AX71+AX84+AX97)/(SUMPRODUCT(U8:U16,AF!R7:R15))</f>
        <v>1.4895483179814737</v>
      </c>
      <c r="AY120" s="10">
        <f>1000*(AY71+AY84+AY97)/(SUMPRODUCT(V8:V16,AF!S7:S15))</f>
        <v>1.4706577313749039</v>
      </c>
      <c r="AZ120" s="10">
        <f>1000*(AZ71+AZ84+AZ97)/(SUMPRODUCT(W8:W16,AF!T7:T15))</f>
        <v>1.5044750320079219</v>
      </c>
      <c r="BA120" s="10">
        <f>1000*(BA71+BA84+BA97)/(SUMPRODUCT(X8:X16,AF!U7:U15))</f>
        <v>1.4964788464970638</v>
      </c>
      <c r="BB120" s="10">
        <f>1000*(BB71+BB84+BB97)/(SUMPRODUCT(Y8:Y16,AF!V7:V15))</f>
        <v>1.4889218314811574</v>
      </c>
      <c r="BC120" s="10">
        <f>1000*(BC71+BC84+BC97)/(SUMPRODUCT(Z8:Z16,AF!W7:W15))</f>
        <v>1.3490665870746095</v>
      </c>
      <c r="BD120" s="10">
        <f>1000*(BD71+BD84+BD97)/(SUMPRODUCT(AA8:AA16,AF!X7:X15))</f>
        <v>1.4672156453502565</v>
      </c>
      <c r="BE120" s="10">
        <f>1000*(BE71+BE84+BE97)/(SUMPRODUCT(AB8:AB16,AF!Y7:Y15))</f>
        <v>1.4847255380854452</v>
      </c>
      <c r="BF120" s="10">
        <f>1000*(BF71+BF84+BF97)/(SUMPRODUCT(AC8:AC16,AF!Z7:Z15))</f>
        <v>1.4859474969855042</v>
      </c>
      <c r="BG120" s="10">
        <f>1000*(BG71+BG84+BG97)/(SUMPRODUCT(AD8:AD16,AF!AA7:AA15))</f>
        <v>1.4903334527829029</v>
      </c>
      <c r="BH120" s="10">
        <f>1000*(BH71+BH84+BH97)/(SUMPRODUCT(AE8:AE16,AF!AB7:AB15))</f>
        <v>1.4906053008664815</v>
      </c>
      <c r="BI120" s="10">
        <f>1000*(BI71+BI84+BI97)/(SUMPRODUCT(AF8:AF16,AF!AC7:AC15))</f>
        <v>1.490641884791186</v>
      </c>
      <c r="BJ120" s="10">
        <f>1000*(BJ71+BJ84+BJ97)/(SUMPRODUCT(AG8:AG16,AF!AD7:AD15))</f>
        <v>1.4301318456278682</v>
      </c>
    </row>
    <row r="121" spans="2:62">
      <c r="B121" s="396" t="str">
        <f>_xlfn.TEXTJOIN(",",TRUE,Regions!$C$3:'Regions'!$AD$3)</f>
        <v>IE,IE-CW,IE-D,IE-KE,IE-KK,IE-LS,IE-LD,IE-LH,IE-MH,IE-OY,IE-WH,IE-WX,IE-WW,IE-CE,IE-CO,IE-KY,IE-LK,IE-TA,IE-WD,IE-G,IE-LM,IE-MO,IE-RN,IE-SO,IE-CN,IE-DL,IE-MN</v>
      </c>
      <c r="C121" s="396" t="str">
        <f>C22</f>
        <v>T-BUS-ICE_DST00</v>
      </c>
      <c r="D121" s="396" t="str">
        <f>Commodities!C9</f>
        <v>TRADST</v>
      </c>
      <c r="E121" s="398" t="s">
        <v>918</v>
      </c>
      <c r="F121" s="400">
        <f>'EB2018'!U49/('EB2018'!U49+'EB2018'!AI49)</f>
        <v>0.95889311287254497</v>
      </c>
      <c r="G121" s="400">
        <v>1</v>
      </c>
      <c r="H121" s="400">
        <v>1</v>
      </c>
      <c r="I121" s="396">
        <v>5</v>
      </c>
      <c r="J121" s="188"/>
      <c r="K121" s="188"/>
      <c r="AI121" t="s">
        <v>336</v>
      </c>
      <c r="AJ121" s="10">
        <f>1000*(AJ72+AJ85+AJ98)/(SUMPRODUCT(G18:G20,AF!D16:D18))</f>
        <v>1.4887104403501485</v>
      </c>
      <c r="AK121" s="10">
        <f>1000*(AK72+AK85+AK98)/(SUMPRODUCT(H18:H20,AF!E16:E18))</f>
        <v>1.2864770089115007</v>
      </c>
      <c r="AL121" s="10">
        <f>1000*(AL72+AL85+AL98)/(SUMPRODUCT(I18:I20,AF!F16:F18))</f>
        <v>1.4920297290635816</v>
      </c>
      <c r="AM121" s="10">
        <f>1000*(AM72+AM85+AM98)/(SUMPRODUCT(J18:J20,AF!G16:G18))</f>
        <v>1.4965882178803183</v>
      </c>
      <c r="AN121" s="10">
        <f>1000*(AN72+AN85+AN98)/(SUMPRODUCT(K18:K20,AF!H16:H18))</f>
        <v>1.4977904978351977</v>
      </c>
      <c r="AO121" s="10">
        <f>1000*(AO72+AO85+AO98)/(SUMPRODUCT(L18:L20,AF!I16:I18))</f>
        <v>1.4310653132695272</v>
      </c>
      <c r="AP121" s="10">
        <f>1000*(AP72+AP85+AP98)/(SUMPRODUCT(M18:M20,AF!J16:J18))</f>
        <v>1.5125960645241427</v>
      </c>
      <c r="AQ121" s="10">
        <f>1000*(AQ72+AQ85+AQ98)/(SUMPRODUCT(N18:N20,AF!K16:K18))</f>
        <v>1.5228727834472542</v>
      </c>
      <c r="AR121" s="10">
        <f>1000*(AR72+AR85+AR98)/(SUMPRODUCT(O18:O20,AF!L16:L18))</f>
        <v>1.4762626822387042</v>
      </c>
      <c r="AS121" s="10">
        <f>1000*(AS72+AS85+AS98)/(SUMPRODUCT(P18:P20,AF!M16:M18))</f>
        <v>1.4201989273688242</v>
      </c>
      <c r="AT121" s="10">
        <f>1000*(AT72+AT85+AT98)/(SUMPRODUCT(Q18:Q20,AF!N16:N18))</f>
        <v>1.5206424319807899</v>
      </c>
      <c r="AU121" s="10">
        <f>1000*(AU72+AU85+AU98)/(SUMPRODUCT(R18:R20,AF!O16:O18))</f>
        <v>1.5788100500066378</v>
      </c>
      <c r="AV121" s="10">
        <f>1000*(AV72+AV85+AV98)/(SUMPRODUCT(S18:S20,AF!P16:P18))</f>
        <v>1.5169195586874926</v>
      </c>
      <c r="AW121" s="10">
        <f>1000*(AW72+AW85+AW98)/(SUMPRODUCT(T18:T20,AF!Q16:Q18))</f>
        <v>1.4962888783453543</v>
      </c>
      <c r="AX121" s="10">
        <f>1000*(AX72+AX85+AX98)/(SUMPRODUCT(U18:U20,AF!R16:R18))</f>
        <v>1.4940666969479417</v>
      </c>
      <c r="AY121" s="10">
        <f>1000*(AY72+AY85+AY98)/(SUMPRODUCT(V18:V20,AF!S16:S18))</f>
        <v>1.4828819131855375</v>
      </c>
      <c r="AZ121" s="10">
        <f>1000*(AZ72+AZ85+AZ98)/(SUMPRODUCT(W18:W20,AF!T16:T18))</f>
        <v>1.5401449896847841</v>
      </c>
      <c r="BA121" s="10">
        <f>1000*(BA72+BA85+BA98)/(SUMPRODUCT(X18:X20,AF!U16:U18))</f>
        <v>1.4580171245632942</v>
      </c>
      <c r="BB121" s="10">
        <f>1000*(BB72+BB85+BB98)/(SUMPRODUCT(Y18:Y20,AF!V16:V18))</f>
        <v>1.3932425331233422</v>
      </c>
      <c r="BC121" s="10">
        <f>1000*(BC72+BC85+BC98)/(SUMPRODUCT(Z18:Z20,AF!W16:W18))</f>
        <v>1.4674576355007889</v>
      </c>
      <c r="BD121" s="10">
        <f>1000*(BD72+BD85+BD98)/(SUMPRODUCT(AA18:AA20,AF!X16:X18))</f>
        <v>1.6024869748792236</v>
      </c>
      <c r="BE121" s="10">
        <f>1000*(BE72+BE85+BE98)/(SUMPRODUCT(AB18:AB20,AF!Y16:Y18))</f>
        <v>1.476022708121151</v>
      </c>
      <c r="BF121" s="10">
        <f>1000*(BF72+BF85+BF98)/(SUMPRODUCT(AC18:AC20,AF!Z16:Z18))</f>
        <v>1.4552294346858181</v>
      </c>
      <c r="BG121" s="10">
        <f>1000*(BG72+BG85+BG98)/(SUMPRODUCT(AD18:AD20,AF!AA16:AA18))</f>
        <v>1.3490355626033566</v>
      </c>
      <c r="BH121" s="10">
        <f>1000*(BH72+BH85+BH98)/(SUMPRODUCT(AE18:AE20,AF!AB16:AB18))</f>
        <v>1.4490615456274449</v>
      </c>
      <c r="BI121" s="10">
        <f>1000*(BI72+BI85+BI98)/(SUMPRODUCT(AF18:AF20,AF!AC16:AC18))</f>
        <v>1.5121196904749867</v>
      </c>
      <c r="BJ121" s="10">
        <f>1000*(BJ72+BJ85+BJ98)/(SUMPRODUCT(AG18:AG20,AF!AD16:AD18))</f>
        <v>1.3801290603395258</v>
      </c>
    </row>
    <row r="122" spans="2:62">
      <c r="B122" s="396" t="str">
        <f>_xlfn.TEXTJOIN(",",TRUE,Regions!$C$3:'Regions'!$AD$3)</f>
        <v>IE,IE-CW,IE-D,IE-KE,IE-KK,IE-LS,IE-LD,IE-LH,IE-MH,IE-OY,IE-WH,IE-WX,IE-WW,IE-CE,IE-CO,IE-KY,IE-LK,IE-TA,IE-WD,IE-G,IE-LM,IE-MO,IE-RN,IE-SO,IE-CN,IE-DL,IE-MN</v>
      </c>
      <c r="C122" s="396" t="str">
        <f>C121</f>
        <v>T-BUS-ICE_DST00</v>
      </c>
      <c r="D122" s="396" t="str">
        <f>Commodities!C9</f>
        <v>TRADST</v>
      </c>
      <c r="E122" s="398" t="s">
        <v>919</v>
      </c>
      <c r="F122" s="400">
        <f>F121</f>
        <v>0.95889311287254497</v>
      </c>
      <c r="G122" s="400">
        <v>0.95</v>
      </c>
      <c r="H122" s="400">
        <v>0.8</v>
      </c>
      <c r="I122" s="396">
        <v>5</v>
      </c>
      <c r="K122" s="188"/>
      <c r="AI122" t="s">
        <v>558</v>
      </c>
      <c r="AJ122" s="32">
        <f>1000*(AJ73+AJ86+AJ99)/(G22*AF!D19)</f>
        <v>25.427830336380726</v>
      </c>
      <c r="AK122" s="32">
        <f>1000*(AK73+AK86+AK99)/(H22*AF!E19)</f>
        <v>25.152785867180366</v>
      </c>
      <c r="AL122" s="10">
        <f>1000*(AL73+AL86+AL99)/(I22*AF!F19)</f>
        <v>27.301203196585941</v>
      </c>
      <c r="AM122" s="32">
        <f>1000*(AM73+AM86+AM99)/(J22*AF!G19)</f>
        <v>27.885361398196402</v>
      </c>
      <c r="AN122" s="32">
        <f>1000*(AN73+AN86+AN99)/(K22*AF!H19)</f>
        <v>27.93329928841143</v>
      </c>
      <c r="AO122" s="32">
        <f>1000*(AO73+AO86+AO99)/(L22*AF!I19)</f>
        <v>24.855745462572266</v>
      </c>
      <c r="AP122" s="32">
        <f>1000*(AP73+AP86+AP99)/(M22*AF!J19)</f>
        <v>26.387779311012658</v>
      </c>
      <c r="AQ122" s="32">
        <f>1000*(AQ73+AQ86+AQ99)/(N22*AF!K19)</f>
        <v>25.949353527802703</v>
      </c>
      <c r="AR122" s="32">
        <f>1000*(AR73+AR86+AR99)/(O22*AF!L19)</f>
        <v>27.127894878977461</v>
      </c>
      <c r="AS122" s="32">
        <f>1000*(AS73+AS86+AS99)/(P22*AF!M19)</f>
        <v>28.420523625985009</v>
      </c>
      <c r="AT122" s="32">
        <f>1000*(AT73+AT86+AT99)/(Q22*AF!N19)</f>
        <v>26.329112945614195</v>
      </c>
      <c r="AU122" s="32">
        <f>1000*(AU73+AU86+AU99)/(R22*AF!O19)</f>
        <v>27.79959238146305</v>
      </c>
      <c r="AV122" s="32">
        <f>1000*(AV73+AV86+AV99)/(S22*AF!P19)</f>
        <v>27.713408215847512</v>
      </c>
      <c r="AW122" s="32">
        <f>1000*(AW73+AW86+AW99)/(T22*AF!Q19)</f>
        <v>25.926651836938962</v>
      </c>
      <c r="AX122" s="32">
        <f>1000*(AX73+AX86+AX99)/(U22*AF!R19)</f>
        <v>27.20287149415141</v>
      </c>
      <c r="AY122" s="32">
        <f>1000*(AY73+AY86+AY99)/(V22*AF!S19)</f>
        <v>26.738708360662599</v>
      </c>
      <c r="AZ122" s="32">
        <f>1000*(AZ73+AZ86+AZ99)/(W22*AF!T19)</f>
        <v>27.517737580205367</v>
      </c>
      <c r="BA122" s="32">
        <f>1000*(BA73+BA86+BA99)/(X22*AF!U19)</f>
        <v>27.93568790635878</v>
      </c>
      <c r="BB122" s="32">
        <f>1000*(BB73+BB86+BB99)/(Y22*AF!V19)</f>
        <v>29.41353195173086</v>
      </c>
      <c r="BC122" s="32">
        <f>1000*(BC73+BC86+BC99)/(Z22*AF!W19)</f>
        <v>27.356288298803619</v>
      </c>
      <c r="BD122" s="32">
        <f>1000*(BD73+BD86+BD99)/(AA22*AF!X19)</f>
        <v>24.819885054330499</v>
      </c>
      <c r="BE122" s="32">
        <f>1000*(BE73+BE86+BE99)/(AB22*AF!Y19)</f>
        <v>27.708745998755393</v>
      </c>
      <c r="BF122" s="32">
        <f>1000*(BF73+BF86+BF99)/(AC22*AF!Z19)</f>
        <v>27.332681361117377</v>
      </c>
      <c r="BG122" s="32">
        <f>1000*(BG73+BG86+BG99)/(AD22*AF!AA19)</f>
        <v>26.239440430692728</v>
      </c>
      <c r="BH122" s="32">
        <f>1000*(BH73+BH86+BH99)/(AE22*AF!AB19)</f>
        <v>6.0098468922767463</v>
      </c>
      <c r="BI122" s="32">
        <f>1000*(BI73+BI86+BI99)/(AF22*AF!AC19)</f>
        <v>0.73082084302538375</v>
      </c>
      <c r="BJ122" s="32">
        <f>1000*(BJ73+BJ86+BJ99)/(AG22*AF!AD19)</f>
        <v>27.244502059484393</v>
      </c>
    </row>
    <row r="123" spans="2:62">
      <c r="B123" s="401" t="str">
        <f>_xlfn.TEXTJOIN(",",TRUE,Regions!$C$3:'Regions'!$AD$3)</f>
        <v>IE,IE-CW,IE-D,IE-KE,IE-KK,IE-LS,IE-LD,IE-LH,IE-MH,IE-OY,IE-WH,IE-WX,IE-WW,IE-CE,IE-CO,IE-KY,IE-LK,IE-TA,IE-WD,IE-G,IE-LM,IE-MO,IE-RN,IE-SO,IE-CN,IE-DL,IE-MN</v>
      </c>
      <c r="C123" s="401" t="str">
        <f>C26</f>
        <v>T-HPT-ICE_DST00</v>
      </c>
      <c r="D123" s="401" t="str">
        <f>Commodities!C9</f>
        <v>TRADST</v>
      </c>
      <c r="E123" s="402" t="s">
        <v>918</v>
      </c>
      <c r="F123" s="403">
        <f>'EB2018'!U50/('EB2018'!U50+'EB2018'!AI50)</f>
        <v>1</v>
      </c>
      <c r="G123" s="403">
        <f>F123</f>
        <v>1</v>
      </c>
      <c r="H123" s="403">
        <v>1</v>
      </c>
      <c r="I123" s="401">
        <v>5</v>
      </c>
      <c r="K123" s="188"/>
      <c r="AI123" t="s">
        <v>545</v>
      </c>
      <c r="AJ123" s="32">
        <f>(1000*(AJ74+AJ87+AJ100)/(G24*AF!D20))</f>
        <v>78.020092029331138</v>
      </c>
      <c r="AK123" s="32">
        <f>AJ123</f>
        <v>78.020092029331138</v>
      </c>
      <c r="AL123" s="10">
        <f>1000*(AL74+AL87+AL100)/(I24*AF!F20)</f>
        <v>78.020092029331138</v>
      </c>
      <c r="AM123" s="32">
        <f>AL123</f>
        <v>78.020092029331138</v>
      </c>
      <c r="AN123" s="32">
        <f t="shared" ref="AN123:BJ123" si="144">AM123</f>
        <v>78.020092029331138</v>
      </c>
      <c r="AO123" s="32">
        <f t="shared" si="144"/>
        <v>78.020092029331138</v>
      </c>
      <c r="AP123" s="32">
        <f t="shared" si="144"/>
        <v>78.020092029331138</v>
      </c>
      <c r="AQ123" s="32">
        <f t="shared" si="144"/>
        <v>78.020092029331138</v>
      </c>
      <c r="AR123" s="32">
        <f t="shared" si="144"/>
        <v>78.020092029331138</v>
      </c>
      <c r="AS123" s="32">
        <f t="shared" si="144"/>
        <v>78.020092029331138</v>
      </c>
      <c r="AT123" s="32">
        <f t="shared" si="144"/>
        <v>78.020092029331138</v>
      </c>
      <c r="AU123" s="32">
        <f t="shared" si="144"/>
        <v>78.020092029331138</v>
      </c>
      <c r="AV123" s="32">
        <f t="shared" si="144"/>
        <v>78.020092029331138</v>
      </c>
      <c r="AW123" s="32">
        <f t="shared" si="144"/>
        <v>78.020092029331138</v>
      </c>
      <c r="AX123" s="32">
        <f t="shared" si="144"/>
        <v>78.020092029331138</v>
      </c>
      <c r="AY123" s="32">
        <f t="shared" si="144"/>
        <v>78.020092029331138</v>
      </c>
      <c r="AZ123" s="32">
        <f t="shared" si="144"/>
        <v>78.020092029331138</v>
      </c>
      <c r="BA123" s="32">
        <f t="shared" si="144"/>
        <v>78.020092029331138</v>
      </c>
      <c r="BB123" s="32">
        <f t="shared" si="144"/>
        <v>78.020092029331138</v>
      </c>
      <c r="BC123" s="32">
        <f t="shared" si="144"/>
        <v>78.020092029331138</v>
      </c>
      <c r="BD123" s="32">
        <f t="shared" si="144"/>
        <v>78.020092029331138</v>
      </c>
      <c r="BE123" s="32">
        <f t="shared" si="144"/>
        <v>78.020092029331138</v>
      </c>
      <c r="BF123" s="32">
        <f t="shared" si="144"/>
        <v>78.020092029331138</v>
      </c>
      <c r="BG123" s="32">
        <f t="shared" si="144"/>
        <v>78.020092029331138</v>
      </c>
      <c r="BH123" s="32">
        <f t="shared" si="144"/>
        <v>78.020092029331138</v>
      </c>
      <c r="BI123" s="32">
        <f t="shared" si="144"/>
        <v>78.020092029331138</v>
      </c>
      <c r="BJ123" s="32">
        <f t="shared" si="144"/>
        <v>78.020092029331138</v>
      </c>
    </row>
    <row r="124" spans="2:62">
      <c r="B124" s="401" t="str">
        <f>_xlfn.TEXTJOIN(",",TRUE,Regions!$C$3:'Regions'!$AD$3)</f>
        <v>IE,IE-CW,IE-D,IE-KE,IE-KK,IE-LS,IE-LD,IE-LH,IE-MH,IE-OY,IE-WH,IE-WX,IE-WW,IE-CE,IE-CO,IE-KY,IE-LK,IE-TA,IE-WD,IE-G,IE-LM,IE-MO,IE-RN,IE-SO,IE-CN,IE-DL,IE-MN</v>
      </c>
      <c r="C124" s="401" t="str">
        <f>C123</f>
        <v>T-HPT-ICE_DST00</v>
      </c>
      <c r="D124" s="401" t="str">
        <f>Commodities!C9</f>
        <v>TRADST</v>
      </c>
      <c r="E124" s="402" t="s">
        <v>919</v>
      </c>
      <c r="F124" s="403">
        <f>F123</f>
        <v>1</v>
      </c>
      <c r="G124" s="403">
        <f>G123</f>
        <v>1</v>
      </c>
      <c r="H124" s="403">
        <v>0.95</v>
      </c>
      <c r="I124" s="401">
        <v>5</v>
      </c>
      <c r="K124" s="188"/>
      <c r="AI124" s="79" t="s">
        <v>338</v>
      </c>
      <c r="AJ124" s="274">
        <f>1000*(AJ75+AJ88+AJ101)/(SUMPRODUCT(G25:G26,AF!D21:D22))</f>
        <v>120.81976698364331</v>
      </c>
      <c r="AK124" s="274">
        <f>1000*(AK75+AK88+AK101)/(SUMPRODUCT(H25:H26,AF!E21:E22))</f>
        <v>214.40168597621496</v>
      </c>
      <c r="AL124" s="274">
        <f>1000*(AL75+AL88+AL101)/(SUMPRODUCT(I25:I26,AF!F21:F22))</f>
        <v>57.365621078947562</v>
      </c>
      <c r="AM124" s="274">
        <f>1000*(AM75+AM88+AM101)/(SUMPRODUCT(J25:J26,AF!G21:G22))</f>
        <v>214.40168597621496</v>
      </c>
      <c r="AN124" s="274">
        <f>1000*(AN75+AN88+AN101)/(SUMPRODUCT(K25:K26,AF!H21:H22))</f>
        <v>214.40168597621502</v>
      </c>
      <c r="AO124" s="274">
        <f>1000*(AO75+AO88+AO101)/(SUMPRODUCT(L25:L26,AF!I21:I22))</f>
        <v>214.40168597621502</v>
      </c>
      <c r="AP124" s="274">
        <f>1000*(AP75+AP88+AP101)/(SUMPRODUCT(M25:M26,AF!J21:J22))</f>
        <v>214.40168597621496</v>
      </c>
      <c r="AQ124" s="274">
        <f>1000*(AQ75+AQ88+AQ101)/(SUMPRODUCT(N25:N26,AF!K21:K22))</f>
        <v>214.40168597621496</v>
      </c>
      <c r="AR124" s="274">
        <f>1000*(AR75+AR88+AR101)/(SUMPRODUCT(O25:O26,AF!L21:L22))</f>
        <v>214.40168597621496</v>
      </c>
      <c r="AS124" s="274">
        <f>1000*(AS75+AS88+AS101)/(SUMPRODUCT(P25:P26,AF!M21:M22))</f>
        <v>214.40168597621499</v>
      </c>
      <c r="AT124" s="274">
        <f>1000*(AT75+AT88+AT101)/(SUMPRODUCT(Q25:Q26,AF!N21:N22))</f>
        <v>214.40168597621499</v>
      </c>
      <c r="AU124" s="274">
        <f>1000*(AU75+AU88+AU101)/(SUMPRODUCT(R25:R26,AF!O21:O22))</f>
        <v>214.40168597621496</v>
      </c>
      <c r="AV124" s="274">
        <f>1000*(AV75+AV88+AV101)/(SUMPRODUCT(S25:S26,AF!P21:P22))</f>
        <v>214.40168597621496</v>
      </c>
      <c r="AW124" s="274">
        <f>1000*(AW75+AW88+AW101)/(SUMPRODUCT(T25:T26,AF!Q21:Q22))</f>
        <v>214.40168597621499</v>
      </c>
      <c r="AX124" s="274">
        <f>1000*(AX75+AX88+AX101)/(SUMPRODUCT(U25:U26,AF!R21:R22))</f>
        <v>214.40168597621499</v>
      </c>
      <c r="AY124" s="274">
        <f>1000*(AY75+AY88+AY101)/(SUMPRODUCT(V25:V26,AF!S21:S22))</f>
        <v>214.40168597621499</v>
      </c>
      <c r="AZ124" s="274">
        <f>1000*(AZ75+AZ88+AZ101)/(SUMPRODUCT(W25:W26,AF!T21:T22))</f>
        <v>214.40168597621499</v>
      </c>
      <c r="BA124" s="274">
        <f>1000*(BA75+BA88+BA101)/(SUMPRODUCT(X25:X26,AF!U21:U22))</f>
        <v>214.40168597621496</v>
      </c>
      <c r="BB124" s="274">
        <f>1000*(BB75+BB88+BB101)/(SUMPRODUCT(Y25:Y26,AF!V21:V22))</f>
        <v>214.40168597621496</v>
      </c>
      <c r="BC124" s="274">
        <f>1000*(BC75+BC88+BC101)/(SUMPRODUCT(Z25:Z26,AF!W21:W22))</f>
        <v>214.40168597621496</v>
      </c>
      <c r="BD124" s="274">
        <f>1000*(BD75+BD88+BD101)/(SUMPRODUCT(AA25:AA26,AF!X21:X22))</f>
        <v>214.40168597621494</v>
      </c>
      <c r="BE124" s="274">
        <f>1000*(BE75+BE88+BE101)/(SUMPRODUCT(AB25:AB26,AF!Y21:Y22))</f>
        <v>214.40168597621494</v>
      </c>
      <c r="BF124" s="274">
        <f>1000*(BF75+BF88+BF101)/(SUMPRODUCT(AC25:AC26,AF!Z21:Z22))</f>
        <v>214.40168597621494</v>
      </c>
      <c r="BG124" s="274">
        <f>1000*(BG75+BG88+BG101)/(SUMPRODUCT(AD25:AD26,AF!AA21:AA22))</f>
        <v>214.40168597621494</v>
      </c>
      <c r="BH124" s="274">
        <f>1000*(BH75+BH88+BH101)/(SUMPRODUCT(AE25:AE26,AF!AB21:AB22))</f>
        <v>214.40168597621491</v>
      </c>
      <c r="BI124" s="274">
        <f>1000*(BI75+BI88+BI101)/(SUMPRODUCT(AF25:AF26,AF!AC21:AC22))</f>
        <v>214.40168597621494</v>
      </c>
      <c r="BJ124" s="274">
        <f>1000*(BJ75+BJ88+BJ101)/(SUMPRODUCT(AG25:AG26,AF!AD21:AD22))</f>
        <v>214.40168597621502</v>
      </c>
    </row>
    <row r="125" spans="2:62">
      <c r="B125" s="396" t="str">
        <f>_xlfn.TEXTJOIN(",",TRUE,Regions!$C$3:'Regions'!$AD$3)</f>
        <v>IE,IE-CW,IE-D,IE-KE,IE-KK,IE-LS,IE-LD,IE-LH,IE-MH,IE-OY,IE-WH,IE-WX,IE-WW,IE-CE,IE-CO,IE-KY,IE-LK,IE-TA,IE-WD,IE-G,IE-LM,IE-MO,IE-RN,IE-SO,IE-CN,IE-DL,IE-MN</v>
      </c>
      <c r="C125" s="396" t="str">
        <f>C28</f>
        <v>T-LGT-ICE_GSL00</v>
      </c>
      <c r="D125" s="396" t="str">
        <f>Commodities!C8</f>
        <v>TRAGSL</v>
      </c>
      <c r="E125" s="398" t="s">
        <v>918</v>
      </c>
      <c r="F125" s="400">
        <f t="shared" ref="F125:H126" si="145">F99</f>
        <v>0.96794815285714941</v>
      </c>
      <c r="G125" s="400">
        <f t="shared" si="145"/>
        <v>1</v>
      </c>
      <c r="H125" s="400">
        <f t="shared" si="145"/>
        <v>1</v>
      </c>
      <c r="I125" s="396">
        <v>5</v>
      </c>
      <c r="K125" s="188"/>
    </row>
    <row r="126" spans="2:62">
      <c r="B126" s="396" t="str">
        <f>_xlfn.TEXTJOIN(",",TRUE,Regions!$C$3:'Regions'!$AD$3)</f>
        <v>IE,IE-CW,IE-D,IE-KE,IE-KK,IE-LS,IE-LD,IE-LH,IE-MH,IE-OY,IE-WH,IE-WX,IE-WW,IE-CE,IE-CO,IE-KY,IE-LK,IE-TA,IE-WD,IE-G,IE-LM,IE-MO,IE-RN,IE-SO,IE-CN,IE-DL,IE-MN</v>
      </c>
      <c r="C126" s="396" t="str">
        <f>C125</f>
        <v>T-LGT-ICE_GSL00</v>
      </c>
      <c r="D126" s="396" t="str">
        <f>Commodities!C8</f>
        <v>TRAGSL</v>
      </c>
      <c r="E126" s="398" t="s">
        <v>919</v>
      </c>
      <c r="F126" s="400">
        <f t="shared" si="145"/>
        <v>0.96794815285714941</v>
      </c>
      <c r="G126" s="400">
        <f t="shared" si="145"/>
        <v>0.95</v>
      </c>
      <c r="H126" s="400">
        <f t="shared" si="145"/>
        <v>0.9</v>
      </c>
      <c r="I126" s="396">
        <v>5</v>
      </c>
      <c r="K126" s="188"/>
      <c r="AM126" s="52"/>
    </row>
    <row r="127" spans="2:62">
      <c r="B127" s="401" t="str">
        <f>_xlfn.TEXTJOIN(",",TRUE,Regions!$C$3:'Regions'!$AD$3)</f>
        <v>IE,IE-CW,IE-D,IE-KE,IE-KK,IE-LS,IE-LD,IE-LH,IE-MH,IE-OY,IE-WH,IE-WX,IE-WW,IE-CE,IE-CO,IE-KY,IE-LK,IE-TA,IE-WD,IE-G,IE-LM,IE-MO,IE-RN,IE-SO,IE-CN,IE-DL,IE-MN</v>
      </c>
      <c r="C127" s="401" t="str">
        <f>C29</f>
        <v>T-LGT-ICE_DST00</v>
      </c>
      <c r="D127" s="401" t="str">
        <f>Commodities!C9</f>
        <v>TRADST</v>
      </c>
      <c r="E127" s="402" t="s">
        <v>918</v>
      </c>
      <c r="F127" s="403">
        <f>'EB2018'!U47/('EB2018'!AI47+'EB2018'!U47)</f>
        <v>0.95889311287254497</v>
      </c>
      <c r="G127" s="403">
        <f>G101</f>
        <v>1</v>
      </c>
      <c r="H127" s="403">
        <f>H101</f>
        <v>1</v>
      </c>
      <c r="I127" s="401">
        <v>5</v>
      </c>
      <c r="K127" s="188"/>
    </row>
    <row r="128" spans="2:62">
      <c r="B128" s="401" t="str">
        <f>_xlfn.TEXTJOIN(",",TRUE,Regions!$C$3:'Regions'!$AD$3)</f>
        <v>IE,IE-CW,IE-D,IE-KE,IE-KK,IE-LS,IE-LD,IE-LH,IE-MH,IE-OY,IE-WH,IE-WX,IE-WW,IE-CE,IE-CO,IE-KY,IE-LK,IE-TA,IE-WD,IE-G,IE-LM,IE-MO,IE-RN,IE-SO,IE-CN,IE-DL,IE-MN</v>
      </c>
      <c r="C128" s="401" t="str">
        <f>C127</f>
        <v>T-LGT-ICE_DST00</v>
      </c>
      <c r="D128" s="401" t="str">
        <f>Commodities!C9</f>
        <v>TRADST</v>
      </c>
      <c r="E128" s="402" t="s">
        <v>919</v>
      </c>
      <c r="F128" s="403">
        <f>F127</f>
        <v>0.95889311287254497</v>
      </c>
      <c r="G128" s="403">
        <f>G102</f>
        <v>0.95</v>
      </c>
      <c r="H128" s="403">
        <f>H102</f>
        <v>0.8</v>
      </c>
      <c r="I128" s="401">
        <v>5</v>
      </c>
      <c r="K128" s="188"/>
    </row>
    <row r="129" spans="2:34">
      <c r="B129" s="396" t="str">
        <f>_xlfn.TEXTJOIN(",",TRUE,Regions!$C$3:'Regions'!$AD$3)</f>
        <v>IE,IE-CW,IE-D,IE-KE,IE-KK,IE-LS,IE-LD,IE-LH,IE-MH,IE-OY,IE-WH,IE-WX,IE-WW,IE-CE,IE-CO,IE-KY,IE-LK,IE-TA,IE-WD,IE-G,IE-LM,IE-MO,IE-RN,IE-SO,IE-CN,IE-DL,IE-MN</v>
      </c>
      <c r="C129" s="396" t="str">
        <f>C30</f>
        <v>T-MGT-ICE_DST00</v>
      </c>
      <c r="D129" s="396" t="str">
        <f>Commodities!C9</f>
        <v>TRADST</v>
      </c>
      <c r="E129" s="398" t="s">
        <v>918</v>
      </c>
      <c r="F129" s="400">
        <f>'EB2018'!U46/('EB2018'!U46+'EB2018'!AI46)</f>
        <v>0.95889311287254497</v>
      </c>
      <c r="G129" s="400">
        <v>1</v>
      </c>
      <c r="H129" s="400">
        <v>1</v>
      </c>
      <c r="I129" s="396">
        <v>5</v>
      </c>
      <c r="K129" s="188"/>
    </row>
    <row r="130" spans="2:34">
      <c r="B130" s="396" t="str">
        <f>_xlfn.TEXTJOIN(",",TRUE,Regions!$C$3:'Regions'!$AD$3)</f>
        <v>IE,IE-CW,IE-D,IE-KE,IE-KK,IE-LS,IE-LD,IE-LH,IE-MH,IE-OY,IE-WH,IE-WX,IE-WW,IE-CE,IE-CO,IE-KY,IE-LK,IE-TA,IE-WD,IE-G,IE-LM,IE-MO,IE-RN,IE-SO,IE-CN,IE-DL,IE-MN</v>
      </c>
      <c r="C130" s="396" t="str">
        <f>C129</f>
        <v>T-MGT-ICE_DST00</v>
      </c>
      <c r="D130" s="396" t="str">
        <f>Commodities!C9</f>
        <v>TRADST</v>
      </c>
      <c r="E130" s="398" t="s">
        <v>919</v>
      </c>
      <c r="F130" s="400">
        <f>F129</f>
        <v>0.95889311287254497</v>
      </c>
      <c r="G130" s="400">
        <v>0.95</v>
      </c>
      <c r="H130" s="400">
        <v>0.8</v>
      </c>
      <c r="I130" s="396">
        <v>5</v>
      </c>
      <c r="K130" s="188"/>
    </row>
    <row r="131" spans="2:34">
      <c r="B131" s="401" t="str">
        <f>_xlfn.TEXTJOIN(",",TRUE,Regions!$C$3:'Regions'!$AD$3)</f>
        <v>IE,IE-CW,IE-D,IE-KE,IE-KK,IE-LS,IE-LD,IE-LH,IE-MH,IE-OY,IE-WH,IE-WX,IE-WW,IE-CE,IE-CO,IE-KY,IE-LK,IE-TA,IE-WD,IE-G,IE-LM,IE-MO,IE-RN,IE-SO,IE-CN,IE-DL,IE-MN</v>
      </c>
      <c r="C131" s="401" t="str">
        <f>C31</f>
        <v>T-HGT-ICE_DST00</v>
      </c>
      <c r="D131" s="401" t="str">
        <f>Commodities!C9</f>
        <v>TRADST</v>
      </c>
      <c r="E131" s="402" t="s">
        <v>918</v>
      </c>
      <c r="F131" s="403">
        <f>'EB2018'!U46/('EB2018'!U46+'EB2018'!AI46)</f>
        <v>0.95889311287254497</v>
      </c>
      <c r="G131" s="403">
        <v>1</v>
      </c>
      <c r="H131" s="403">
        <v>1</v>
      </c>
      <c r="I131" s="401">
        <v>5</v>
      </c>
      <c r="K131" s="188"/>
    </row>
    <row r="132" spans="2:34">
      <c r="B132" s="401" t="str">
        <f>_xlfn.TEXTJOIN(",",TRUE,Regions!$C$3:'Regions'!$AD$3)</f>
        <v>IE,IE-CW,IE-D,IE-KE,IE-KK,IE-LS,IE-LD,IE-LH,IE-MH,IE-OY,IE-WH,IE-WX,IE-WW,IE-CE,IE-CO,IE-KY,IE-LK,IE-TA,IE-WD,IE-G,IE-LM,IE-MO,IE-RN,IE-SO,IE-CN,IE-DL,IE-MN</v>
      </c>
      <c r="C132" s="401" t="str">
        <f>C131</f>
        <v>T-HGT-ICE_DST00</v>
      </c>
      <c r="D132" s="401" t="str">
        <f>Commodities!C9</f>
        <v>TRADST</v>
      </c>
      <c r="E132" s="402" t="s">
        <v>919</v>
      </c>
      <c r="F132" s="403">
        <f>F131</f>
        <v>0.95889311287254497</v>
      </c>
      <c r="G132" s="403">
        <v>0.95</v>
      </c>
      <c r="H132" s="403">
        <v>0.8</v>
      </c>
      <c r="I132" s="401">
        <v>5</v>
      </c>
      <c r="K132" s="188"/>
    </row>
    <row r="133" spans="2:34">
      <c r="B133" s="396" t="str">
        <f>_xlfn.TEXTJOIN(",",TRUE,Regions!$C$3:'Regions'!$AD$3)</f>
        <v>IE,IE-CW,IE-D,IE-KE,IE-KK,IE-LS,IE-LD,IE-LH,IE-MH,IE-OY,IE-WH,IE-WX,IE-WW,IE-CE,IE-CO,IE-KY,IE-LK,IE-TA,IE-WD,IE-G,IE-LM,IE-MO,IE-RN,IE-SO,IE-CN,IE-DL,IE-MN</v>
      </c>
      <c r="C133" s="396" t="str">
        <f>C32</f>
        <v>T-GTR-ICE_DST00</v>
      </c>
      <c r="D133" s="396" t="str">
        <f>Commodities!C9</f>
        <v>TRADST</v>
      </c>
      <c r="E133" s="398" t="s">
        <v>918</v>
      </c>
      <c r="F133" s="400">
        <f>'EB2018'!U50/('EB2018'!U50+'EB2018'!AI50)</f>
        <v>1</v>
      </c>
      <c r="G133" s="400">
        <v>1</v>
      </c>
      <c r="H133" s="400">
        <v>1</v>
      </c>
      <c r="I133" s="396">
        <v>5</v>
      </c>
      <c r="K133" s="188"/>
    </row>
    <row r="134" spans="2:34">
      <c r="B134" s="396" t="str">
        <f>_xlfn.TEXTJOIN(",",TRUE,Regions!$C$3:'Regions'!$AD$3)</f>
        <v>IE,IE-CW,IE-D,IE-KE,IE-KK,IE-LS,IE-LD,IE-LH,IE-MH,IE-OY,IE-WH,IE-WX,IE-WW,IE-CE,IE-CO,IE-KY,IE-LK,IE-TA,IE-WD,IE-G,IE-LM,IE-MO,IE-RN,IE-SO,IE-CN,IE-DL,IE-MN</v>
      </c>
      <c r="C134" s="396" t="str">
        <f>C133</f>
        <v>T-GTR-ICE_DST00</v>
      </c>
      <c r="D134" s="396" t="str">
        <f>Commodities!C9</f>
        <v>TRADST</v>
      </c>
      <c r="E134" s="398" t="s">
        <v>919</v>
      </c>
      <c r="F134" s="400">
        <f>F133</f>
        <v>1</v>
      </c>
      <c r="G134" s="400">
        <v>1</v>
      </c>
      <c r="H134" s="400">
        <v>0.95</v>
      </c>
      <c r="I134" s="396">
        <v>5</v>
      </c>
      <c r="K134" s="188"/>
    </row>
    <row r="135" spans="2:34">
      <c r="B135" s="401" t="str">
        <f>_xlfn.TEXTJOIN(",",TRUE,Regions!$C$3:'Regions'!$AD$3)</f>
        <v>IE,IE-CW,IE-D,IE-KE,IE-KK,IE-LS,IE-LD,IE-LH,IE-MH,IE-OY,IE-WH,IE-WX,IE-WW,IE-CE,IE-CO,IE-KY,IE-LK,IE-TA,IE-WD,IE-G,IE-LM,IE-MO,IE-RN,IE-SO,IE-CN,IE-DL,IE-MN</v>
      </c>
      <c r="C135" s="401" t="str">
        <f>C34</f>
        <v>T-TUR_CON00</v>
      </c>
      <c r="D135" s="401" t="str">
        <f>Commodities!C9</f>
        <v>TRADST</v>
      </c>
      <c r="E135" s="402" t="s">
        <v>918</v>
      </c>
      <c r="F135" s="403">
        <f>'EB2018'!U53/('EB2018'!U53+'EB2018'!AI53)</f>
        <v>0.95889311287254486</v>
      </c>
      <c r="G135" s="404">
        <v>1</v>
      </c>
      <c r="H135" s="404">
        <v>1</v>
      </c>
      <c r="I135" s="401">
        <v>5</v>
      </c>
      <c r="K135" s="188"/>
    </row>
    <row r="136" spans="2:34">
      <c r="B136" s="401" t="str">
        <f>_xlfn.TEXTJOIN(",",TRUE,Regions!$C$3:'Regions'!$AD$3)</f>
        <v>IE,IE-CW,IE-D,IE-KE,IE-KK,IE-LS,IE-LD,IE-LH,IE-MH,IE-OY,IE-WH,IE-WX,IE-WW,IE-CE,IE-CO,IE-KY,IE-LK,IE-TA,IE-WD,IE-G,IE-LM,IE-MO,IE-RN,IE-SO,IE-CN,IE-DL,IE-MN</v>
      </c>
      <c r="C136" s="401" t="str">
        <f>C135</f>
        <v>T-TUR_CON00</v>
      </c>
      <c r="D136" s="401" t="str">
        <f>Commodities!C9</f>
        <v>TRADST</v>
      </c>
      <c r="E136" s="402" t="s">
        <v>919</v>
      </c>
      <c r="F136" s="403">
        <f>F135</f>
        <v>0.95889311287254486</v>
      </c>
      <c r="G136" s="404">
        <v>0.95</v>
      </c>
      <c r="H136" s="404">
        <v>0.8</v>
      </c>
      <c r="I136" s="401">
        <v>5</v>
      </c>
      <c r="K136" s="188"/>
    </row>
    <row r="137" spans="2:34">
      <c r="B137" s="396" t="str">
        <f>_xlfn.TEXTJOIN(",",TRUE,Regions!$C$3:'Regions'!$AD$3)</f>
        <v>IE,IE-CW,IE-D,IE-KE,IE-KK,IE-LS,IE-LD,IE-LH,IE-MH,IE-OY,IE-WH,IE-WX,IE-WW,IE-CE,IE-CO,IE-KY,IE-LK,IE-TA,IE-WD,IE-G,IE-LM,IE-MO,IE-RN,IE-SO,IE-CN,IE-DL,IE-MN</v>
      </c>
      <c r="C137" s="396" t="str">
        <f>C35</f>
        <v>T-NAV_CON00</v>
      </c>
      <c r="D137" s="396" t="str">
        <f>Commodities!C9</f>
        <v>TRADST</v>
      </c>
      <c r="E137" s="398" t="s">
        <v>918</v>
      </c>
      <c r="F137" s="400">
        <v>1</v>
      </c>
      <c r="G137" s="400">
        <v>1</v>
      </c>
      <c r="H137" s="400">
        <v>1</v>
      </c>
      <c r="I137" s="396">
        <v>5</v>
      </c>
      <c r="K137" s="188"/>
      <c r="AH137" s="140"/>
    </row>
    <row r="138" spans="2:34">
      <c r="B138" s="396" t="str">
        <f>_xlfn.TEXTJOIN(",",TRUE,Regions!$C$3:'Regions'!$AD$3)</f>
        <v>IE,IE-CW,IE-D,IE-KE,IE-KK,IE-LS,IE-LD,IE-LH,IE-MH,IE-OY,IE-WH,IE-WX,IE-WW,IE-CE,IE-CO,IE-KY,IE-LK,IE-TA,IE-WD,IE-G,IE-LM,IE-MO,IE-RN,IE-SO,IE-CN,IE-DL,IE-MN</v>
      </c>
      <c r="C138" s="396" t="str">
        <f>C137</f>
        <v>T-NAV_CON00</v>
      </c>
      <c r="D138" s="396" t="str">
        <f>Commodities!C9</f>
        <v>TRADST</v>
      </c>
      <c r="E138" s="398" t="s">
        <v>919</v>
      </c>
      <c r="F138" s="400">
        <v>1</v>
      </c>
      <c r="G138" s="400">
        <v>1</v>
      </c>
      <c r="H138" s="400">
        <v>0.8</v>
      </c>
      <c r="I138" s="396">
        <v>5</v>
      </c>
      <c r="K138" s="188"/>
      <c r="AH138" s="140"/>
    </row>
    <row r="139" spans="2:34">
      <c r="B139" s="401" t="str">
        <f>_xlfn.TEXTJOIN(",",TRUE,Regions!$C$3:'Regions'!$AD$3)</f>
        <v>IE,IE-CW,IE-D,IE-KE,IE-KK,IE-LS,IE-LD,IE-LH,IE-MH,IE-OY,IE-WH,IE-WX,IE-WW,IE-CE,IE-CO,IE-KY,IE-LK,IE-TA,IE-WD,IE-G,IE-LM,IE-MO,IE-RN,IE-SO,IE-CN,IE-DL,IE-MN</v>
      </c>
      <c r="C139" s="401" t="str">
        <f>C36</f>
        <v>T-OTH_CON00</v>
      </c>
      <c r="D139" s="401" t="str">
        <f>Commodities!C8</f>
        <v>TRAGSL</v>
      </c>
      <c r="E139" s="402" t="s">
        <v>918</v>
      </c>
      <c r="F139" s="403">
        <f>'EB2018'!P55/('EB2018'!AQ55)</f>
        <v>0.28638499143949797</v>
      </c>
      <c r="G139" s="403">
        <f t="shared" ref="G139:G146" si="146">F139</f>
        <v>0.28638499143949797</v>
      </c>
      <c r="H139" s="403">
        <v>0.3</v>
      </c>
      <c r="I139" s="401">
        <v>5</v>
      </c>
      <c r="K139" s="188"/>
      <c r="AH139" s="140"/>
    </row>
    <row r="140" spans="2:34">
      <c r="B140" s="401" t="str">
        <f>_xlfn.TEXTJOIN(",",TRUE,Regions!$C$3:'Regions'!$AD$3)</f>
        <v>IE,IE-CW,IE-D,IE-KE,IE-KK,IE-LS,IE-LD,IE-LH,IE-MH,IE-OY,IE-WH,IE-WX,IE-WW,IE-CE,IE-CO,IE-KY,IE-LK,IE-TA,IE-WD,IE-G,IE-LM,IE-MO,IE-RN,IE-SO,IE-CN,IE-DL,IE-MN</v>
      </c>
      <c r="C140" s="401" t="str">
        <f t="shared" ref="C140:C146" si="147">C139</f>
        <v>T-OTH_CON00</v>
      </c>
      <c r="D140" s="401" t="str">
        <f>Commodities!C8</f>
        <v>TRAGSL</v>
      </c>
      <c r="E140" s="402" t="s">
        <v>919</v>
      </c>
      <c r="F140" s="403">
        <f>F139</f>
        <v>0.28638499143949797</v>
      </c>
      <c r="G140" s="403">
        <f t="shared" si="146"/>
        <v>0.28638499143949797</v>
      </c>
      <c r="H140" s="403">
        <v>0</v>
      </c>
      <c r="I140" s="401">
        <v>5</v>
      </c>
      <c r="K140" s="188"/>
      <c r="AH140" s="140"/>
    </row>
    <row r="141" spans="2:34">
      <c r="B141" s="401" t="str">
        <f>_xlfn.TEXTJOIN(",",TRUE,Regions!$C$3:'Regions'!$AD$3)</f>
        <v>IE,IE-CW,IE-D,IE-KE,IE-KK,IE-LS,IE-LD,IE-LH,IE-MH,IE-OY,IE-WH,IE-WX,IE-WW,IE-CE,IE-CO,IE-KY,IE-LK,IE-TA,IE-WD,IE-G,IE-LM,IE-MO,IE-RN,IE-SO,IE-CN,IE-DL,IE-MN</v>
      </c>
      <c r="C141" s="401" t="str">
        <f t="shared" si="147"/>
        <v>T-OTH_CON00</v>
      </c>
      <c r="D141" s="401" t="str">
        <f>Commodities!C9</f>
        <v>TRADST</v>
      </c>
      <c r="E141" s="402" t="s">
        <v>918</v>
      </c>
      <c r="F141" s="403">
        <f>'EB2018'!U55/('EB2018'!AQ55)</f>
        <v>0.63176465715120822</v>
      </c>
      <c r="G141" s="403">
        <f t="shared" si="146"/>
        <v>0.63176465715120822</v>
      </c>
      <c r="H141" s="403">
        <v>0.7</v>
      </c>
      <c r="I141" s="401">
        <v>5</v>
      </c>
      <c r="K141" s="188"/>
      <c r="AH141" s="140"/>
    </row>
    <row r="142" spans="2:34">
      <c r="B142" s="401" t="str">
        <f>_xlfn.TEXTJOIN(",",TRUE,Regions!$C$3:'Regions'!$AD$3)</f>
        <v>IE,IE-CW,IE-D,IE-KE,IE-KK,IE-LS,IE-LD,IE-LH,IE-MH,IE-OY,IE-WH,IE-WX,IE-WW,IE-CE,IE-CO,IE-KY,IE-LK,IE-TA,IE-WD,IE-G,IE-LM,IE-MO,IE-RN,IE-SO,IE-CN,IE-DL,IE-MN</v>
      </c>
      <c r="C142" s="401" t="str">
        <f t="shared" si="147"/>
        <v>T-OTH_CON00</v>
      </c>
      <c r="D142" s="401" t="str">
        <f>Commodities!C9</f>
        <v>TRADST</v>
      </c>
      <c r="E142" s="402" t="s">
        <v>919</v>
      </c>
      <c r="F142" s="403">
        <f>F141</f>
        <v>0.63176465715120822</v>
      </c>
      <c r="G142" s="403">
        <f t="shared" si="146"/>
        <v>0.63176465715120822</v>
      </c>
      <c r="H142" s="403">
        <v>0</v>
      </c>
      <c r="I142" s="401">
        <v>5</v>
      </c>
      <c r="K142" s="188"/>
      <c r="AH142" s="140"/>
    </row>
    <row r="143" spans="2:34">
      <c r="B143" s="401" t="str">
        <f>_xlfn.TEXTJOIN(",",TRUE,Regions!$C$3:'Regions'!$AD$3)</f>
        <v>IE,IE-CW,IE-D,IE-KE,IE-KK,IE-LS,IE-LD,IE-LH,IE-MH,IE-OY,IE-WH,IE-WX,IE-WW,IE-CE,IE-CO,IE-KY,IE-LK,IE-TA,IE-WD,IE-G,IE-LM,IE-MO,IE-RN,IE-SO,IE-CN,IE-DL,IE-MN</v>
      </c>
      <c r="C143" s="401" t="str">
        <f t="shared" si="147"/>
        <v>T-OTH_CON00</v>
      </c>
      <c r="D143" s="401" t="str">
        <f>Commodities!C13</f>
        <v>TRACNG</v>
      </c>
      <c r="E143" s="402" t="s">
        <v>918</v>
      </c>
      <c r="F143" s="403">
        <f>'EB2018'!AA55/'EB2018'!AQ55</f>
        <v>4.5284048110606781E-2</v>
      </c>
      <c r="G143" s="403">
        <f t="shared" si="146"/>
        <v>4.5284048110606781E-2</v>
      </c>
      <c r="H143" s="403">
        <v>0.05</v>
      </c>
      <c r="I143" s="401">
        <v>5</v>
      </c>
      <c r="K143" s="188"/>
      <c r="AH143" s="140"/>
    </row>
    <row r="144" spans="2:34">
      <c r="B144" s="401" t="str">
        <f>_xlfn.TEXTJOIN(",",TRUE,Regions!$C$3:'Regions'!$AD$3)</f>
        <v>IE,IE-CW,IE-D,IE-KE,IE-KK,IE-LS,IE-LD,IE-LH,IE-MH,IE-OY,IE-WH,IE-WX,IE-WW,IE-CE,IE-CO,IE-KY,IE-LK,IE-TA,IE-WD,IE-G,IE-LM,IE-MO,IE-RN,IE-SO,IE-CN,IE-DL,IE-MN</v>
      </c>
      <c r="C144" s="401" t="str">
        <f t="shared" si="147"/>
        <v>T-OTH_CON00</v>
      </c>
      <c r="D144" s="401" t="str">
        <f>Commodities!C13</f>
        <v>TRACNG</v>
      </c>
      <c r="E144" s="402" t="s">
        <v>919</v>
      </c>
      <c r="F144" s="403">
        <f>F143</f>
        <v>4.5284048110606781E-2</v>
      </c>
      <c r="G144" s="403">
        <f t="shared" si="146"/>
        <v>4.5284048110606781E-2</v>
      </c>
      <c r="H144" s="403">
        <v>0</v>
      </c>
      <c r="I144" s="401">
        <v>5</v>
      </c>
      <c r="K144" s="188"/>
      <c r="AH144" s="140"/>
    </row>
    <row r="145" spans="2:34">
      <c r="B145" s="401" t="str">
        <f>_xlfn.TEXTJOIN(",",TRUE,Regions!$C$3:'Regions'!$AD$3)</f>
        <v>IE,IE-CW,IE-D,IE-KE,IE-KK,IE-LS,IE-LD,IE-LH,IE-MH,IE-OY,IE-WH,IE-WX,IE-WW,IE-CE,IE-CO,IE-KY,IE-LK,IE-TA,IE-WD,IE-G,IE-LM,IE-MO,IE-RN,IE-SO,IE-CN,IE-DL,IE-MN</v>
      </c>
      <c r="C145" s="401" t="str">
        <f t="shared" si="147"/>
        <v>T-OTH_CON00</v>
      </c>
      <c r="D145" s="401" t="str">
        <f>Commodities!C11</f>
        <v>TRABDL</v>
      </c>
      <c r="E145" s="402" t="s">
        <v>918</v>
      </c>
      <c r="F145" s="403">
        <f>'EB2018'!AI55/'EB2018'!AQ55</f>
        <v>2.7083183833526942E-2</v>
      </c>
      <c r="G145" s="403">
        <f t="shared" si="146"/>
        <v>2.7083183833526942E-2</v>
      </c>
      <c r="H145" s="403">
        <v>0.2</v>
      </c>
      <c r="I145" s="401">
        <v>5</v>
      </c>
      <c r="K145" s="188"/>
      <c r="AH145" s="140"/>
    </row>
    <row r="146" spans="2:34">
      <c r="B146" s="210" t="str">
        <f>_xlfn.TEXTJOIN(",",TRUE,Regions!$C$3:'Regions'!$AD$3)</f>
        <v>IE,IE-CW,IE-D,IE-KE,IE-KK,IE-LS,IE-LD,IE-LH,IE-MH,IE-OY,IE-WH,IE-WX,IE-WW,IE-CE,IE-CO,IE-KY,IE-LK,IE-TA,IE-WD,IE-G,IE-LM,IE-MO,IE-RN,IE-SO,IE-CN,IE-DL,IE-MN</v>
      </c>
      <c r="C146" s="210" t="str">
        <f t="shared" si="147"/>
        <v>T-OTH_CON00</v>
      </c>
      <c r="D146" s="210" t="str">
        <f>Commodities!C11</f>
        <v>TRABDL</v>
      </c>
      <c r="E146" s="406" t="s">
        <v>919</v>
      </c>
      <c r="F146" s="407">
        <f>F145</f>
        <v>2.7083183833526942E-2</v>
      </c>
      <c r="G146" s="407">
        <f t="shared" si="146"/>
        <v>2.7083183833526942E-2</v>
      </c>
      <c r="H146" s="407">
        <v>0</v>
      </c>
      <c r="I146" s="210">
        <v>5</v>
      </c>
      <c r="K146" s="188"/>
      <c r="AH146" s="140"/>
    </row>
    <row r="147" spans="2:34">
      <c r="K147" s="188"/>
      <c r="AH147" s="140"/>
    </row>
    <row r="148" spans="2:34">
      <c r="K148" s="188"/>
      <c r="AH148" s="140"/>
    </row>
    <row r="149" spans="2:34">
      <c r="K149" s="188"/>
      <c r="AH149" s="140"/>
    </row>
    <row r="150" spans="2:34">
      <c r="K150" s="188"/>
      <c r="AH150" s="140"/>
    </row>
    <row r="151" spans="2:34">
      <c r="K151" s="188"/>
      <c r="AH151" s="140"/>
    </row>
    <row r="152" spans="2:34">
      <c r="K152" s="188"/>
      <c r="AH152" s="140"/>
    </row>
    <row r="153" spans="2:34">
      <c r="K153" s="188"/>
      <c r="AH153" s="140"/>
    </row>
    <row r="154" spans="2:34">
      <c r="K154" s="188"/>
      <c r="AH154" s="140"/>
    </row>
    <row r="155" spans="2:34">
      <c r="K155" s="188"/>
      <c r="AH155" s="140"/>
    </row>
    <row r="156" spans="2:34">
      <c r="K156" s="188"/>
      <c r="AH156" s="140"/>
    </row>
    <row r="157" spans="2:34">
      <c r="K157" s="188"/>
      <c r="AH157" s="140"/>
    </row>
    <row r="158" spans="2:34">
      <c r="K158" s="188"/>
      <c r="AH158" s="140"/>
    </row>
    <row r="159" spans="2:34">
      <c r="K159" s="188"/>
      <c r="AH159" s="140"/>
    </row>
    <row r="160" spans="2:34">
      <c r="K160" s="188"/>
      <c r="AH160" s="140"/>
    </row>
    <row r="161" spans="10:34">
      <c r="K161" s="188"/>
      <c r="AH161" s="140"/>
    </row>
    <row r="162" spans="10:34">
      <c r="K162" s="188"/>
      <c r="AH162" s="140"/>
    </row>
    <row r="163" spans="10:34">
      <c r="K163" s="188"/>
      <c r="AH163" s="140"/>
    </row>
    <row r="164" spans="10:34">
      <c r="K164" s="188"/>
      <c r="AH164" s="140"/>
    </row>
    <row r="165" spans="10:34">
      <c r="K165" s="188"/>
      <c r="AH165" s="140"/>
    </row>
    <row r="166" spans="10:34">
      <c r="K166" s="188"/>
      <c r="AH166" s="140"/>
    </row>
    <row r="167" spans="10:34">
      <c r="K167" s="188"/>
      <c r="AH167" s="140"/>
    </row>
    <row r="168" spans="10:34">
      <c r="K168" s="188"/>
      <c r="AH168" s="140"/>
    </row>
    <row r="169" spans="10:34">
      <c r="K169" s="188"/>
      <c r="AH169" s="140"/>
    </row>
    <row r="170" spans="10:34">
      <c r="K170" s="188"/>
      <c r="AH170" s="140"/>
    </row>
    <row r="171" spans="10:34">
      <c r="J171" s="188"/>
      <c r="K171" s="188"/>
      <c r="AH171" s="140"/>
    </row>
    <row r="172" spans="10:34">
      <c r="J172" s="188"/>
      <c r="K172" s="188"/>
      <c r="AH172" s="140"/>
    </row>
    <row r="173" spans="10:34">
      <c r="AH173" s="140"/>
    </row>
    <row r="174" spans="10:34">
      <c r="AH174" s="140"/>
    </row>
    <row r="175" spans="10:34">
      <c r="AH175" s="140"/>
    </row>
    <row r="176" spans="10:34">
      <c r="AH176" s="140"/>
    </row>
    <row r="177" spans="3:34">
      <c r="AH177" s="140"/>
    </row>
    <row r="178" spans="3:34">
      <c r="AH178" s="140"/>
    </row>
    <row r="179" spans="3:34">
      <c r="AH179" s="140"/>
    </row>
    <row r="180" spans="3:34">
      <c r="AH180" s="140"/>
    </row>
    <row r="181" spans="3:34">
      <c r="AH181" s="140"/>
    </row>
    <row r="182" spans="3:34">
      <c r="AH182" s="140"/>
    </row>
    <row r="183" spans="3:34" ht="15.5">
      <c r="C183" s="101" t="s">
        <v>506</v>
      </c>
      <c r="E183" s="98"/>
      <c r="F183" s="98"/>
      <c r="G183" s="98"/>
      <c r="H183" s="98"/>
      <c r="I183" s="98"/>
      <c r="J183" s="98"/>
      <c r="K183" s="98"/>
      <c r="L183" s="98"/>
      <c r="M183" s="98"/>
      <c r="N183" s="9"/>
      <c r="O183" s="9"/>
      <c r="P183" s="9"/>
      <c r="Q183" s="9"/>
      <c r="R183" s="9"/>
      <c r="S183" s="9"/>
      <c r="T183" s="9"/>
      <c r="U183" s="9"/>
      <c r="V183" s="9"/>
      <c r="W183" s="9"/>
      <c r="X183" s="9"/>
      <c r="Y183" s="9"/>
      <c r="Z183" s="9"/>
      <c r="AA183" s="9"/>
      <c r="AB183" s="9"/>
      <c r="AC183" s="9"/>
      <c r="AD183" s="9"/>
      <c r="AE183" s="9"/>
      <c r="AF183" s="9"/>
    </row>
    <row r="184" spans="3:34">
      <c r="C184" s="82" t="s">
        <v>466</v>
      </c>
      <c r="D184" s="82" t="s">
        <v>505</v>
      </c>
      <c r="E184" s="82" t="str">
        <f>Regions!C3</f>
        <v>IE</v>
      </c>
      <c r="F184" s="82" t="str">
        <f>Regions!E3</f>
        <v>IE-CW</v>
      </c>
      <c r="G184" s="82" t="str">
        <f>Regions!F3</f>
        <v>IE-D</v>
      </c>
      <c r="H184" s="82" t="str">
        <f>Regions!G3</f>
        <v>IE-KE</v>
      </c>
      <c r="I184" s="82" t="str">
        <f>Regions!H3</f>
        <v>IE-KK</v>
      </c>
      <c r="J184" s="82" t="str">
        <f>Regions!I3</f>
        <v>IE-LS</v>
      </c>
      <c r="K184" s="82" t="str">
        <f>Regions!J3</f>
        <v>IE-LD</v>
      </c>
      <c r="L184" s="82" t="str">
        <f>Regions!K3</f>
        <v>IE-LH</v>
      </c>
      <c r="M184" s="82" t="str">
        <f>Regions!L3</f>
        <v>IE-MH</v>
      </c>
      <c r="N184" s="82" t="str">
        <f>Regions!M3</f>
        <v>IE-OY</v>
      </c>
      <c r="O184" s="82" t="str">
        <f>Regions!N3</f>
        <v>IE-WH</v>
      </c>
      <c r="P184" s="82" t="str">
        <f>Regions!O3</f>
        <v>IE-WX</v>
      </c>
      <c r="Q184" s="82" t="str">
        <f>Regions!P3</f>
        <v>IE-WW</v>
      </c>
      <c r="R184" s="82" t="str">
        <f>Regions!Q3</f>
        <v>IE-CE</v>
      </c>
      <c r="S184" s="82" t="str">
        <f>Regions!R3</f>
        <v>IE-CO</v>
      </c>
      <c r="T184" s="82" t="str">
        <f>Regions!S3</f>
        <v>IE-KY</v>
      </c>
      <c r="U184" s="82" t="str">
        <f>Regions!T3</f>
        <v>IE-LK</v>
      </c>
      <c r="V184" s="82" t="str">
        <f>Regions!U3</f>
        <v>IE-TA</v>
      </c>
      <c r="W184" s="82" t="str">
        <f>Regions!V3</f>
        <v>IE-WD</v>
      </c>
      <c r="X184" s="82" t="str">
        <f>Regions!W3</f>
        <v>IE-G</v>
      </c>
      <c r="Y184" s="82" t="str">
        <f>Regions!X3</f>
        <v>IE-LM</v>
      </c>
      <c r="Z184" s="82" t="str">
        <f>Regions!Y3</f>
        <v>IE-MO</v>
      </c>
      <c r="AA184" s="82" t="str">
        <f>Regions!Z3</f>
        <v>IE-RN</v>
      </c>
      <c r="AB184" s="82" t="str">
        <f>Regions!AA3</f>
        <v>IE-SO</v>
      </c>
      <c r="AC184" s="82" t="str">
        <f>Regions!AB3</f>
        <v>IE-CN</v>
      </c>
      <c r="AD184" s="82" t="str">
        <f>Regions!AC3</f>
        <v>IE-DL</v>
      </c>
      <c r="AE184" s="82" t="str">
        <f>Regions!AD3</f>
        <v>IE-MN</v>
      </c>
      <c r="AF184" s="154" t="s">
        <v>462</v>
      </c>
    </row>
    <row r="185" spans="3:34">
      <c r="C185" s="98" t="s">
        <v>340</v>
      </c>
      <c r="D185" t="s">
        <v>20</v>
      </c>
      <c r="E185" s="30">
        <f>SUM(F185:AE185)</f>
        <v>39852</v>
      </c>
      <c r="F185" s="30">
        <v>563</v>
      </c>
      <c r="G185" s="30">
        <v>12616</v>
      </c>
      <c r="H185" s="30">
        <v>2168</v>
      </c>
      <c r="I185" s="30">
        <v>872</v>
      </c>
      <c r="J185" s="30">
        <v>513</v>
      </c>
      <c r="K185" s="30">
        <v>213</v>
      </c>
      <c r="L185" s="30">
        <v>855</v>
      </c>
      <c r="M185" s="30">
        <v>1684</v>
      </c>
      <c r="N185" s="30">
        <v>669</v>
      </c>
      <c r="O185" s="30">
        <v>604</v>
      </c>
      <c r="P185" s="30">
        <v>1506</v>
      </c>
      <c r="Q185" s="30">
        <v>1554</v>
      </c>
      <c r="R185" s="30">
        <v>924</v>
      </c>
      <c r="S185" s="30">
        <v>5452</v>
      </c>
      <c r="T185" s="30">
        <v>1062</v>
      </c>
      <c r="U185" s="30">
        <v>1489</v>
      </c>
      <c r="V185" s="30">
        <v>1412</v>
      </c>
      <c r="W185" s="30">
        <v>1293</v>
      </c>
      <c r="X185" s="30">
        <v>1458</v>
      </c>
      <c r="Y185" s="30">
        <v>160</v>
      </c>
      <c r="Z185" s="30">
        <v>605</v>
      </c>
      <c r="AA185" s="30">
        <v>295</v>
      </c>
      <c r="AB185" s="30">
        <v>400</v>
      </c>
      <c r="AC185" s="30">
        <v>448</v>
      </c>
      <c r="AD185" s="30">
        <v>736</v>
      </c>
      <c r="AE185" s="30">
        <v>301</v>
      </c>
      <c r="AF185" t="s">
        <v>511</v>
      </c>
    </row>
    <row r="186" spans="3:34">
      <c r="C186" s="98" t="s">
        <v>339</v>
      </c>
      <c r="D186" t="s">
        <v>464</v>
      </c>
      <c r="E186" s="30">
        <f>Efficiency!D83</f>
        <v>946860</v>
      </c>
      <c r="F186" s="30">
        <f>Efficiency!E83</f>
        <v>10796</v>
      </c>
      <c r="G186" s="30">
        <f>Efficiency!F83</f>
        <v>299408</v>
      </c>
      <c r="H186" s="30">
        <f>Efficiency!G83</f>
        <v>44521</v>
      </c>
      <c r="I186" s="30">
        <f>Efficiency!H83</f>
        <v>17346</v>
      </c>
      <c r="J186" s="30">
        <f>Efficiency!I83</f>
        <v>12391</v>
      </c>
      <c r="K186" s="30">
        <f>Efficiency!J83</f>
        <v>5804</v>
      </c>
      <c r="L186" s="30">
        <f>Efficiency!K83</f>
        <v>20722</v>
      </c>
      <c r="M186" s="30">
        <f>Efficiency!L83</f>
        <v>34216</v>
      </c>
      <c r="N186" s="30">
        <f>Efficiency!M83</f>
        <v>12252</v>
      </c>
      <c r="O186" s="30">
        <f>Efficiency!N83</f>
        <v>14417</v>
      </c>
      <c r="P186" s="30">
        <f>Efficiency!O83</f>
        <v>29236</v>
      </c>
      <c r="Q186" s="30">
        <f>Efficiency!P83</f>
        <v>32847</v>
      </c>
      <c r="R186" s="30">
        <f>Efficiency!Q83</f>
        <v>24057</v>
      </c>
      <c r="S186" s="30">
        <f>Efficiency!R83</f>
        <v>121228</v>
      </c>
      <c r="T186" s="30">
        <f>Efficiency!S83</f>
        <v>31727</v>
      </c>
      <c r="U186" s="30">
        <f>Efficiency!T83</f>
        <v>40146</v>
      </c>
      <c r="V186" s="30">
        <f>Efficiency!U83</f>
        <v>30854</v>
      </c>
      <c r="W186" s="30">
        <f>Efficiency!V83</f>
        <v>27159</v>
      </c>
      <c r="X186" s="30">
        <f>Efficiency!W83</f>
        <v>45820</v>
      </c>
      <c r="Y186" s="30">
        <f>Efficiency!X83</f>
        <v>4961</v>
      </c>
      <c r="Z186" s="30">
        <f>Efficiency!Y83</f>
        <v>22404</v>
      </c>
      <c r="AA186" s="30">
        <f>Efficiency!Z83</f>
        <v>11971</v>
      </c>
      <c r="AB186" s="30">
        <f>Efficiency!AA83</f>
        <v>11761</v>
      </c>
      <c r="AC186" s="30">
        <f>Efficiency!AB83</f>
        <v>10568</v>
      </c>
      <c r="AD186" s="30">
        <f>Efficiency!AC83</f>
        <v>22398</v>
      </c>
      <c r="AE186" s="30">
        <f>Efficiency!AD83</f>
        <v>7850</v>
      </c>
      <c r="AF186" t="s">
        <v>463</v>
      </c>
      <c r="AG186" s="98"/>
    </row>
    <row r="187" spans="3:34">
      <c r="C187" s="98"/>
      <c r="D187" t="s">
        <v>465</v>
      </c>
      <c r="E187" s="30">
        <f>Efficiency!D130</f>
        <v>1129404</v>
      </c>
      <c r="F187" s="30">
        <f>Efficiency!E130</f>
        <v>17385</v>
      </c>
      <c r="G187" s="30">
        <f>Efficiency!F130</f>
        <v>225706</v>
      </c>
      <c r="H187" s="30">
        <f>Efficiency!G130</f>
        <v>56834</v>
      </c>
      <c r="I187" s="30">
        <f>Efficiency!H130</f>
        <v>26674</v>
      </c>
      <c r="J187" s="30">
        <f>Efficiency!I130</f>
        <v>22058</v>
      </c>
      <c r="K187" s="30">
        <f>Efficiency!J130</f>
        <v>11270</v>
      </c>
      <c r="L187" s="30">
        <f>Efficiency!K130</f>
        <v>29947</v>
      </c>
      <c r="M187" s="30">
        <f>Efficiency!L130</f>
        <v>52424</v>
      </c>
      <c r="N187" s="30">
        <f>Efficiency!M130</f>
        <v>21785</v>
      </c>
      <c r="O187" s="30">
        <f>Efficiency!N130</f>
        <v>26113</v>
      </c>
      <c r="P187" s="30">
        <f>Efficiency!O130</f>
        <v>44971</v>
      </c>
      <c r="Q187" s="30">
        <f>Efficiency!P130</f>
        <v>34195</v>
      </c>
      <c r="R187" s="30">
        <f>Efficiency!Q130</f>
        <v>32584</v>
      </c>
      <c r="S187" s="30">
        <f>Efficiency!R130</f>
        <v>132295</v>
      </c>
      <c r="T187" s="30">
        <f>Efficiency!S130</f>
        <v>39247</v>
      </c>
      <c r="U187" s="30">
        <f>Efficiency!T130</f>
        <v>47853</v>
      </c>
      <c r="V187" s="30">
        <f>Efficiency!U130</f>
        <v>47714</v>
      </c>
      <c r="W187" s="30">
        <f>Efficiency!V130</f>
        <v>29674</v>
      </c>
      <c r="X187" s="30">
        <f>Efficiency!W130</f>
        <v>66337</v>
      </c>
      <c r="Y187" s="30">
        <f>Efficiency!X130</f>
        <v>9454</v>
      </c>
      <c r="Z187" s="30">
        <f>Efficiency!Y130</f>
        <v>37994</v>
      </c>
      <c r="AA187" s="30">
        <f>Efficiency!Z130</f>
        <v>20248</v>
      </c>
      <c r="AB187" s="30">
        <f>Efficiency!AA130</f>
        <v>16993</v>
      </c>
      <c r="AC187" s="30">
        <f>Efficiency!AB130</f>
        <v>20890</v>
      </c>
      <c r="AD187" s="30">
        <f>Efficiency!AC130</f>
        <v>41125</v>
      </c>
      <c r="AE187" s="30">
        <f>Efficiency!AD130</f>
        <v>17634</v>
      </c>
      <c r="AF187" t="s">
        <v>463</v>
      </c>
      <c r="AG187" s="98"/>
    </row>
    <row r="188" spans="3:34">
      <c r="C188" s="98"/>
      <c r="D188" t="s">
        <v>467</v>
      </c>
      <c r="E188" s="30">
        <f>Efficiency!D177</f>
        <v>67</v>
      </c>
      <c r="F188" s="30">
        <f>Efficiency!E177</f>
        <v>0</v>
      </c>
      <c r="G188" s="30">
        <f>Efficiency!F177</f>
        <v>28</v>
      </c>
      <c r="H188" s="30">
        <f>Efficiency!G177</f>
        <v>1</v>
      </c>
      <c r="I188" s="30">
        <f>Efficiency!H177</f>
        <v>1</v>
      </c>
      <c r="J188" s="30">
        <f>Efficiency!I177</f>
        <v>0</v>
      </c>
      <c r="K188" s="30">
        <f>Efficiency!J177</f>
        <v>2</v>
      </c>
      <c r="L188" s="30">
        <f>Efficiency!K177</f>
        <v>1</v>
      </c>
      <c r="M188" s="30">
        <f>Efficiency!L177</f>
        <v>2</v>
      </c>
      <c r="N188" s="30">
        <f>Efficiency!M177</f>
        <v>3</v>
      </c>
      <c r="O188" s="30">
        <f>Efficiency!N177</f>
        <v>1</v>
      </c>
      <c r="P188" s="30">
        <f>Efficiency!O177</f>
        <v>3</v>
      </c>
      <c r="Q188" s="30">
        <f>Efficiency!P177</f>
        <v>5</v>
      </c>
      <c r="R188" s="30">
        <f>Efficiency!Q177</f>
        <v>1</v>
      </c>
      <c r="S188" s="30">
        <f>Efficiency!R177</f>
        <v>5</v>
      </c>
      <c r="T188" s="30">
        <f>Efficiency!S177</f>
        <v>3</v>
      </c>
      <c r="U188" s="30">
        <f>Efficiency!T177</f>
        <v>2</v>
      </c>
      <c r="V188" s="30">
        <f>Efficiency!U177</f>
        <v>0</v>
      </c>
      <c r="W188" s="30">
        <f>Efficiency!V177</f>
        <v>0</v>
      </c>
      <c r="X188" s="30">
        <f>Efficiency!W177</f>
        <v>7</v>
      </c>
      <c r="Y188" s="30">
        <f>Efficiency!X177</f>
        <v>0</v>
      </c>
      <c r="Z188" s="30">
        <f>Efficiency!Y177</f>
        <v>0</v>
      </c>
      <c r="AA188" s="30">
        <f>Efficiency!Z177</f>
        <v>0</v>
      </c>
      <c r="AB188" s="30">
        <f>Efficiency!AA177</f>
        <v>0</v>
      </c>
      <c r="AC188" s="30">
        <f>Efficiency!AB177</f>
        <v>0</v>
      </c>
      <c r="AD188" s="30">
        <f>Efficiency!AC177</f>
        <v>2</v>
      </c>
      <c r="AE188" s="30">
        <f>Efficiency!AD177</f>
        <v>0</v>
      </c>
      <c r="AF188" t="s">
        <v>463</v>
      </c>
      <c r="AG188" s="98"/>
    </row>
    <row r="189" spans="3:34">
      <c r="C189" s="98"/>
      <c r="D189" t="s">
        <v>468</v>
      </c>
      <c r="E189" s="30">
        <f>Efficiency!D226</f>
        <v>8529</v>
      </c>
      <c r="F189" s="30">
        <f>Efficiency!E226</f>
        <v>98</v>
      </c>
      <c r="G189" s="30">
        <f>Efficiency!F226</f>
        <v>265</v>
      </c>
      <c r="H189" s="30">
        <f>Efficiency!G226</f>
        <v>281</v>
      </c>
      <c r="I189" s="30">
        <f>Efficiency!H226</f>
        <v>574</v>
      </c>
      <c r="J189" s="30">
        <f>Efficiency!I226</f>
        <v>124</v>
      </c>
      <c r="K189" s="30">
        <f>Efficiency!J226</f>
        <v>316</v>
      </c>
      <c r="L189" s="30">
        <f>Efficiency!K226</f>
        <v>41</v>
      </c>
      <c r="M189" s="30">
        <f>Efficiency!L226</f>
        <v>83</v>
      </c>
      <c r="N189" s="30">
        <f>Efficiency!M226</f>
        <v>53</v>
      </c>
      <c r="O189" s="30">
        <f>Efficiency!N226</f>
        <v>260</v>
      </c>
      <c r="P189" s="30">
        <f>Efficiency!O226</f>
        <v>177</v>
      </c>
      <c r="Q189" s="30">
        <f>Efficiency!P226</f>
        <v>315</v>
      </c>
      <c r="R189" s="30">
        <f>Efficiency!Q226</f>
        <v>205</v>
      </c>
      <c r="S189" s="30">
        <f>Efficiency!R226</f>
        <v>1162</v>
      </c>
      <c r="T189" s="30">
        <f>Efficiency!S226</f>
        <v>350</v>
      </c>
      <c r="U189" s="30">
        <f>Efficiency!T226</f>
        <v>33</v>
      </c>
      <c r="V189" s="30">
        <f>Efficiency!U226</f>
        <v>75</v>
      </c>
      <c r="W189" s="30">
        <f>Efficiency!V226</f>
        <v>229</v>
      </c>
      <c r="X189" s="30">
        <f>Efficiency!W226</f>
        <v>2626</v>
      </c>
      <c r="Y189" s="30">
        <f>Efficiency!X226</f>
        <v>107</v>
      </c>
      <c r="Z189" s="30">
        <f>Efficiency!Y226</f>
        <v>247</v>
      </c>
      <c r="AA189" s="30">
        <f>Efficiency!Z226</f>
        <v>85</v>
      </c>
      <c r="AB189" s="30">
        <f>Efficiency!AA226</f>
        <v>75</v>
      </c>
      <c r="AC189" s="30">
        <f>Efficiency!AB226</f>
        <v>91</v>
      </c>
      <c r="AD189" s="30">
        <f>Efficiency!AC226</f>
        <v>185</v>
      </c>
      <c r="AE189" s="30">
        <f>Efficiency!AD226</f>
        <v>472</v>
      </c>
      <c r="AF189" t="s">
        <v>463</v>
      </c>
      <c r="AG189" s="98"/>
    </row>
    <row r="190" spans="3:34">
      <c r="C190" s="98"/>
      <c r="D190" t="s">
        <v>469</v>
      </c>
      <c r="E190" s="30">
        <f>Efficiency!D274</f>
        <v>29800</v>
      </c>
      <c r="F190" s="30">
        <f>Efficiency!E274</f>
        <v>205</v>
      </c>
      <c r="G190" s="30">
        <f>Efficiency!F274</f>
        <v>1109</v>
      </c>
      <c r="H190" s="30">
        <f>Efficiency!G274</f>
        <v>572</v>
      </c>
      <c r="I190" s="30">
        <f>Efficiency!H274</f>
        <v>1428</v>
      </c>
      <c r="J190" s="30">
        <f>Efficiency!I274</f>
        <v>365</v>
      </c>
      <c r="K190" s="30">
        <f>Efficiency!J274</f>
        <v>805</v>
      </c>
      <c r="L190" s="30">
        <f>Efficiency!K274</f>
        <v>159</v>
      </c>
      <c r="M190" s="30">
        <f>Efficiency!L274</f>
        <v>457</v>
      </c>
      <c r="N190" s="30">
        <f>Efficiency!M274</f>
        <v>161</v>
      </c>
      <c r="O190" s="30">
        <f>Efficiency!N274</f>
        <v>418</v>
      </c>
      <c r="P190" s="30">
        <f>Efficiency!O274</f>
        <v>488</v>
      </c>
      <c r="Q190" s="30">
        <f>Efficiency!P274</f>
        <v>616</v>
      </c>
      <c r="R190" s="30">
        <f>Efficiency!Q274</f>
        <v>492</v>
      </c>
      <c r="S190" s="30">
        <f>Efficiency!R274</f>
        <v>2929</v>
      </c>
      <c r="T190" s="30">
        <f>Efficiency!S274</f>
        <v>1663</v>
      </c>
      <c r="U190" s="30">
        <f>Efficiency!T274</f>
        <v>90</v>
      </c>
      <c r="V190" s="30">
        <f>Efficiency!U274</f>
        <v>273</v>
      </c>
      <c r="W190" s="30">
        <f>Efficiency!V274</f>
        <v>565</v>
      </c>
      <c r="X190" s="30">
        <f>Efficiency!W274</f>
        <v>13569</v>
      </c>
      <c r="Y190" s="30">
        <f>Efficiency!X274</f>
        <v>307</v>
      </c>
      <c r="Z190" s="30">
        <f>Efficiency!Y274</f>
        <v>583</v>
      </c>
      <c r="AA190" s="30">
        <f>Efficiency!Z274</f>
        <v>347</v>
      </c>
      <c r="AB190" s="30">
        <f>Efficiency!AA274</f>
        <v>265</v>
      </c>
      <c r="AC190" s="30">
        <f>Efficiency!AB274</f>
        <v>256</v>
      </c>
      <c r="AD190" s="30">
        <f>Efficiency!AC274</f>
        <v>573</v>
      </c>
      <c r="AE190" s="30">
        <f>Efficiency!AD274</f>
        <v>1105</v>
      </c>
      <c r="AF190" t="s">
        <v>463</v>
      </c>
      <c r="AG190" s="98"/>
    </row>
    <row r="191" spans="3:34">
      <c r="C191" s="98"/>
      <c r="D191" t="s">
        <v>598</v>
      </c>
      <c r="E191" s="30">
        <f>Efficiency!D322</f>
        <v>773</v>
      </c>
      <c r="F191" s="30">
        <f>Efficiency!E322</f>
        <v>14</v>
      </c>
      <c r="G191" s="30">
        <f>Efficiency!F322</f>
        <v>33</v>
      </c>
      <c r="H191" s="30">
        <f>Efficiency!G322</f>
        <v>19</v>
      </c>
      <c r="I191" s="30">
        <f>Efficiency!H322</f>
        <v>43</v>
      </c>
      <c r="J191" s="30">
        <f>Efficiency!I322</f>
        <v>16</v>
      </c>
      <c r="K191" s="30">
        <f>Efficiency!J322</f>
        <v>24</v>
      </c>
      <c r="L191" s="30">
        <f>Efficiency!K322</f>
        <v>8</v>
      </c>
      <c r="M191" s="30">
        <f>Efficiency!L322</f>
        <v>13</v>
      </c>
      <c r="N191" s="30">
        <f>Efficiency!M322</f>
        <v>10</v>
      </c>
      <c r="O191" s="30">
        <f>Efficiency!N322</f>
        <v>23</v>
      </c>
      <c r="P191" s="30">
        <f>Efficiency!O322</f>
        <v>16</v>
      </c>
      <c r="Q191" s="30">
        <f>Efficiency!P322</f>
        <v>17</v>
      </c>
      <c r="R191" s="30">
        <f>Efficiency!Q322</f>
        <v>13</v>
      </c>
      <c r="S191" s="30">
        <f>Efficiency!R322</f>
        <v>71</v>
      </c>
      <c r="T191" s="30">
        <f>Efficiency!S322</f>
        <v>32</v>
      </c>
      <c r="U191" s="30">
        <f>Efficiency!T322</f>
        <v>2</v>
      </c>
      <c r="V191" s="30">
        <f>Efficiency!U322</f>
        <v>4</v>
      </c>
      <c r="W191" s="30">
        <f>Efficiency!V322</f>
        <v>13</v>
      </c>
      <c r="X191" s="30">
        <f>Efficiency!W322</f>
        <v>287</v>
      </c>
      <c r="Y191" s="30">
        <f>Efficiency!X322</f>
        <v>16</v>
      </c>
      <c r="Z191" s="30">
        <f>Efficiency!Y322</f>
        <v>17</v>
      </c>
      <c r="AA191" s="30">
        <f>Efficiency!Z322</f>
        <v>11</v>
      </c>
      <c r="AB191" s="30">
        <f>Efficiency!AA322</f>
        <v>5</v>
      </c>
      <c r="AC191" s="30">
        <f>Efficiency!AB322</f>
        <v>16</v>
      </c>
      <c r="AD191" s="30">
        <f>Efficiency!AC322</f>
        <v>12</v>
      </c>
      <c r="AE191" s="30">
        <f>Efficiency!AD322</f>
        <v>38</v>
      </c>
      <c r="AF191" t="s">
        <v>463</v>
      </c>
      <c r="AG191" s="98"/>
    </row>
    <row r="192" spans="3:34">
      <c r="C192" s="98"/>
      <c r="D192" t="s">
        <v>470</v>
      </c>
      <c r="E192" s="30">
        <f>Efficiency!D370</f>
        <v>2759</v>
      </c>
      <c r="F192" s="30">
        <f>Efficiency!E370</f>
        <v>15</v>
      </c>
      <c r="G192" s="30">
        <f>Efficiency!F370</f>
        <v>109</v>
      </c>
      <c r="H192" s="30">
        <f>Efficiency!G370</f>
        <v>33</v>
      </c>
      <c r="I192" s="30">
        <f>Efficiency!H370</f>
        <v>150</v>
      </c>
      <c r="J192" s="30">
        <f>Efficiency!I370</f>
        <v>24</v>
      </c>
      <c r="K192" s="30">
        <f>Efficiency!J370</f>
        <v>54</v>
      </c>
      <c r="L192" s="30">
        <f>Efficiency!K370</f>
        <v>18</v>
      </c>
      <c r="M192" s="30">
        <f>Efficiency!L370</f>
        <v>23</v>
      </c>
      <c r="N192" s="30">
        <f>Efficiency!M370</f>
        <v>10</v>
      </c>
      <c r="O192" s="30">
        <f>Efficiency!N370</f>
        <v>32</v>
      </c>
      <c r="P192" s="30">
        <f>Efficiency!O370</f>
        <v>35</v>
      </c>
      <c r="Q192" s="30">
        <f>Efficiency!P370</f>
        <v>42</v>
      </c>
      <c r="R192" s="30">
        <f>Efficiency!Q370</f>
        <v>37</v>
      </c>
      <c r="S192" s="30">
        <f>Efficiency!R370</f>
        <v>262</v>
      </c>
      <c r="T192" s="30">
        <f>Efficiency!S370</f>
        <v>152</v>
      </c>
      <c r="U192" s="30">
        <f>Efficiency!T370</f>
        <v>3</v>
      </c>
      <c r="V192" s="30">
        <f>Efficiency!U370</f>
        <v>23</v>
      </c>
      <c r="W192" s="30">
        <f>Efficiency!V370</f>
        <v>40</v>
      </c>
      <c r="X192" s="30">
        <f>Efficiency!W370</f>
        <v>1430</v>
      </c>
      <c r="Y192" s="30">
        <f>Efficiency!X370</f>
        <v>17</v>
      </c>
      <c r="Z192" s="30">
        <f>Efficiency!Y370</f>
        <v>47</v>
      </c>
      <c r="AA192" s="30">
        <f>Efficiency!Z370</f>
        <v>18</v>
      </c>
      <c r="AB192" s="30">
        <f>Efficiency!AA370</f>
        <v>16</v>
      </c>
      <c r="AC192" s="30">
        <f>Efficiency!AB370</f>
        <v>24</v>
      </c>
      <c r="AD192" s="30">
        <f>Efficiency!AC370</f>
        <v>37</v>
      </c>
      <c r="AE192" s="30">
        <f>Efficiency!AD370</f>
        <v>108</v>
      </c>
      <c r="AF192" t="s">
        <v>463</v>
      </c>
      <c r="AG192" s="98"/>
    </row>
    <row r="193" spans="3:34">
      <c r="C193" s="98"/>
      <c r="D193" t="s">
        <v>471</v>
      </c>
      <c r="E193" s="30">
        <f>Efficiency!D418</f>
        <v>25</v>
      </c>
      <c r="F193" s="30">
        <f>Efficiency!E418</f>
        <v>0</v>
      </c>
      <c r="G193" s="30">
        <f>Efficiency!F418</f>
        <v>11</v>
      </c>
      <c r="H193" s="30">
        <f>Efficiency!G418</f>
        <v>2</v>
      </c>
      <c r="I193" s="30">
        <f>Efficiency!H418</f>
        <v>0</v>
      </c>
      <c r="J193" s="30">
        <f>Efficiency!I418</f>
        <v>0</v>
      </c>
      <c r="K193" s="30">
        <f>Efficiency!J418</f>
        <v>1</v>
      </c>
      <c r="L193" s="30">
        <f>Efficiency!K418</f>
        <v>0</v>
      </c>
      <c r="M193" s="30">
        <f>Efficiency!L418</f>
        <v>1</v>
      </c>
      <c r="N193" s="30">
        <f>Efficiency!M418</f>
        <v>0</v>
      </c>
      <c r="O193" s="30">
        <f>Efficiency!N418</f>
        <v>0</v>
      </c>
      <c r="P193" s="30">
        <f>Efficiency!O418</f>
        <v>1</v>
      </c>
      <c r="Q193" s="30">
        <f>Efficiency!P418</f>
        <v>1</v>
      </c>
      <c r="R193" s="30">
        <f>Efficiency!Q418</f>
        <v>2</v>
      </c>
      <c r="S193" s="30">
        <f>Efficiency!R418</f>
        <v>2</v>
      </c>
      <c r="T193" s="30">
        <f>Efficiency!S418</f>
        <v>0</v>
      </c>
      <c r="U193" s="30">
        <f>Efficiency!T418</f>
        <v>0</v>
      </c>
      <c r="V193" s="30">
        <f>Efficiency!U418</f>
        <v>1</v>
      </c>
      <c r="W193" s="30">
        <f>Efficiency!V418</f>
        <v>0</v>
      </c>
      <c r="X193" s="30">
        <f>Efficiency!W418</f>
        <v>0</v>
      </c>
      <c r="Y193" s="30">
        <f>Efficiency!X418</f>
        <v>0</v>
      </c>
      <c r="Z193" s="30">
        <f>Efficiency!Y418</f>
        <v>0</v>
      </c>
      <c r="AA193" s="30">
        <f>Efficiency!Z418</f>
        <v>0</v>
      </c>
      <c r="AB193" s="30">
        <f>Efficiency!AA418</f>
        <v>1</v>
      </c>
      <c r="AC193" s="30">
        <f>Efficiency!AB418</f>
        <v>0</v>
      </c>
      <c r="AD193" s="30">
        <f>Efficiency!AC418</f>
        <v>1</v>
      </c>
      <c r="AE193" s="30">
        <f>Efficiency!AD418</f>
        <v>1</v>
      </c>
      <c r="AF193" t="s">
        <v>463</v>
      </c>
      <c r="AG193" s="98"/>
    </row>
    <row r="194" spans="3:34">
      <c r="C194" s="98"/>
      <c r="D194" t="s">
        <v>472</v>
      </c>
      <c r="E194" s="30">
        <f>Efficiency!D466</f>
        <v>4530</v>
      </c>
      <c r="F194" s="30">
        <f>Efficiency!E466</f>
        <v>46</v>
      </c>
      <c r="G194" s="30">
        <f>Efficiency!F466</f>
        <v>1676</v>
      </c>
      <c r="H194" s="30">
        <f>Efficiency!G466</f>
        <v>292</v>
      </c>
      <c r="I194" s="30">
        <f>Efficiency!H466</f>
        <v>54</v>
      </c>
      <c r="J194" s="30">
        <f>Efficiency!I466</f>
        <v>56</v>
      </c>
      <c r="K194" s="30">
        <f>Efficiency!J466</f>
        <v>24</v>
      </c>
      <c r="L194" s="30">
        <f>Efficiency!K466</f>
        <v>103</v>
      </c>
      <c r="M194" s="30">
        <f>Efficiency!L466</f>
        <v>239</v>
      </c>
      <c r="N194" s="30">
        <f>Efficiency!M466</f>
        <v>29</v>
      </c>
      <c r="O194" s="30">
        <f>Efficiency!N466</f>
        <v>98</v>
      </c>
      <c r="P194" s="30">
        <f>Efficiency!O466</f>
        <v>141</v>
      </c>
      <c r="Q194" s="30">
        <f>Efficiency!P466</f>
        <v>257</v>
      </c>
      <c r="R194" s="30">
        <f>Efficiency!Q466</f>
        <v>107</v>
      </c>
      <c r="S194" s="30">
        <f>Efficiency!R466</f>
        <v>514</v>
      </c>
      <c r="T194" s="30">
        <f>Efficiency!S466</f>
        <v>98</v>
      </c>
      <c r="U194" s="30">
        <f>Efficiency!T466</f>
        <v>123</v>
      </c>
      <c r="V194" s="30">
        <f>Efficiency!U466</f>
        <v>94</v>
      </c>
      <c r="W194" s="30">
        <f>Efficiency!V466</f>
        <v>100</v>
      </c>
      <c r="X194" s="30">
        <f>Efficiency!W466</f>
        <v>228</v>
      </c>
      <c r="Y194" s="30">
        <f>Efficiency!X466</f>
        <v>17</v>
      </c>
      <c r="Z194" s="30">
        <f>Efficiency!Y466</f>
        <v>58</v>
      </c>
      <c r="AA194" s="30">
        <f>Efficiency!Z466</f>
        <v>30</v>
      </c>
      <c r="AB194" s="30">
        <f>Efficiency!AA466</f>
        <v>29</v>
      </c>
      <c r="AC194" s="30">
        <f>Efficiency!AB466</f>
        <v>35</v>
      </c>
      <c r="AD194" s="30">
        <f>Efficiency!AC466</f>
        <v>51</v>
      </c>
      <c r="AE194" s="30">
        <f>Efficiency!AD466</f>
        <v>31</v>
      </c>
      <c r="AF194" t="s">
        <v>463</v>
      </c>
    </row>
    <row r="195" spans="3:34">
      <c r="C195" t="s">
        <v>530</v>
      </c>
      <c r="D195" t="s">
        <v>464</v>
      </c>
      <c r="E195" s="30">
        <f>Efficiency!D514</f>
        <v>2500</v>
      </c>
      <c r="F195" s="30">
        <f>Efficiency!E514</f>
        <v>10</v>
      </c>
      <c r="G195" s="30">
        <f>Efficiency!F514</f>
        <v>1579</v>
      </c>
      <c r="H195" s="30">
        <f>Efficiency!G514</f>
        <v>71</v>
      </c>
      <c r="I195" s="30">
        <f>Efficiency!H514</f>
        <v>10</v>
      </c>
      <c r="J195" s="30">
        <f>Efficiency!I514</f>
        <v>12</v>
      </c>
      <c r="K195" s="30">
        <f>Efficiency!J514</f>
        <v>4</v>
      </c>
      <c r="L195" s="30">
        <f>Efficiency!K514</f>
        <v>48</v>
      </c>
      <c r="M195" s="30">
        <f>Efficiency!L514</f>
        <v>95</v>
      </c>
      <c r="N195" s="30">
        <f>Efficiency!M514</f>
        <v>14</v>
      </c>
      <c r="O195" s="30">
        <f>Efficiency!N514</f>
        <v>14</v>
      </c>
      <c r="P195" s="30">
        <f>Efficiency!O514</f>
        <v>17</v>
      </c>
      <c r="Q195" s="30">
        <f>Efficiency!P514</f>
        <v>31</v>
      </c>
      <c r="R195" s="30">
        <f>Efficiency!Q514</f>
        <v>44</v>
      </c>
      <c r="S195" s="30">
        <f>Efficiency!R514</f>
        <v>164</v>
      </c>
      <c r="T195" s="30">
        <f>Efficiency!S514</f>
        <v>28</v>
      </c>
      <c r="U195" s="30">
        <f>Efficiency!T514</f>
        <v>125</v>
      </c>
      <c r="V195" s="30">
        <f>Efficiency!U514</f>
        <v>12</v>
      </c>
      <c r="W195" s="30">
        <f>Efficiency!V514</f>
        <v>44</v>
      </c>
      <c r="X195" s="30">
        <f>Efficiency!W514</f>
        <v>115</v>
      </c>
      <c r="Y195" s="30">
        <f>Efficiency!X514</f>
        <v>0</v>
      </c>
      <c r="Z195" s="30">
        <f>Efficiency!Y514</f>
        <v>20</v>
      </c>
      <c r="AA195" s="30">
        <f>Efficiency!Z514</f>
        <v>3</v>
      </c>
      <c r="AB195" s="30">
        <f>Efficiency!AA514</f>
        <v>12</v>
      </c>
      <c r="AC195" s="30">
        <f>Efficiency!AB514</f>
        <v>7</v>
      </c>
      <c r="AD195" s="30">
        <f>Efficiency!AC514</f>
        <v>17</v>
      </c>
      <c r="AE195" s="30">
        <f>Efficiency!AD514</f>
        <v>4</v>
      </c>
      <c r="AF195" t="s">
        <v>473</v>
      </c>
    </row>
    <row r="196" spans="3:34">
      <c r="C196" s="98"/>
      <c r="D196" t="s">
        <v>465</v>
      </c>
      <c r="E196" s="30">
        <f>Efficiency!D562</f>
        <v>17463</v>
      </c>
      <c r="F196" s="30">
        <f>Efficiency!E562</f>
        <v>147</v>
      </c>
      <c r="G196" s="30">
        <f>Efficiency!F562</f>
        <v>8514</v>
      </c>
      <c r="H196" s="30">
        <f>Efficiency!G562</f>
        <v>715</v>
      </c>
      <c r="I196" s="30">
        <f>Efficiency!H562</f>
        <v>204</v>
      </c>
      <c r="J196" s="30">
        <f>Efficiency!I562</f>
        <v>200</v>
      </c>
      <c r="K196" s="30">
        <f>Efficiency!J562</f>
        <v>83</v>
      </c>
      <c r="L196" s="30">
        <f>Efficiency!K562</f>
        <v>508</v>
      </c>
      <c r="M196" s="30">
        <f>Efficiency!L562</f>
        <v>832</v>
      </c>
      <c r="N196" s="30">
        <f>Efficiency!M562</f>
        <v>150</v>
      </c>
      <c r="O196" s="30">
        <f>Efficiency!N562</f>
        <v>259</v>
      </c>
      <c r="P196" s="30">
        <f>Efficiency!O562</f>
        <v>250</v>
      </c>
      <c r="Q196" s="30">
        <f>Efficiency!P562</f>
        <v>315</v>
      </c>
      <c r="R196" s="30">
        <f>Efficiency!Q562</f>
        <v>301</v>
      </c>
      <c r="S196" s="30">
        <f>Efficiency!R562</f>
        <v>1538</v>
      </c>
      <c r="T196" s="30">
        <f>Efficiency!S562</f>
        <v>436</v>
      </c>
      <c r="U196" s="30">
        <f>Efficiency!T562</f>
        <v>487</v>
      </c>
      <c r="V196" s="30">
        <f>Efficiency!U562</f>
        <v>241</v>
      </c>
      <c r="W196" s="30">
        <f>Efficiency!V562</f>
        <v>262</v>
      </c>
      <c r="X196" s="30">
        <f>Efficiency!W562</f>
        <v>822</v>
      </c>
      <c r="Y196" s="30">
        <f>Efficiency!X562</f>
        <v>65</v>
      </c>
      <c r="Z196" s="30">
        <f>Efficiency!Y562</f>
        <v>270</v>
      </c>
      <c r="AA196" s="30">
        <f>Efficiency!Z562</f>
        <v>129</v>
      </c>
      <c r="AB196" s="30">
        <f>Efficiency!AA562</f>
        <v>155</v>
      </c>
      <c r="AC196" s="30">
        <f>Efficiency!AB562</f>
        <v>157</v>
      </c>
      <c r="AD196" s="30">
        <f>Efficiency!AC562</f>
        <v>348</v>
      </c>
      <c r="AE196" s="30">
        <f>Efficiency!AD562</f>
        <v>75</v>
      </c>
      <c r="AF196" t="s">
        <v>473</v>
      </c>
    </row>
    <row r="197" spans="3:34">
      <c r="C197" s="98"/>
      <c r="D197" t="s">
        <v>469</v>
      </c>
      <c r="E197" s="30">
        <f>Efficiency!D610</f>
        <v>1350</v>
      </c>
      <c r="F197" s="30">
        <f>Efficiency!E610</f>
        <v>4</v>
      </c>
      <c r="G197" s="30">
        <f>Efficiency!F610</f>
        <v>1055</v>
      </c>
      <c r="H197" s="30">
        <f>Efficiency!G610</f>
        <v>37</v>
      </c>
      <c r="I197" s="30">
        <f>Efficiency!H610</f>
        <v>1</v>
      </c>
      <c r="J197" s="30">
        <f>Efficiency!I610</f>
        <v>16</v>
      </c>
      <c r="K197" s="30">
        <f>Efficiency!J610</f>
        <v>0</v>
      </c>
      <c r="L197" s="30">
        <f>Efficiency!K610</f>
        <v>25</v>
      </c>
      <c r="M197" s="30">
        <f>Efficiency!L610</f>
        <v>51</v>
      </c>
      <c r="N197" s="30">
        <f>Efficiency!M610</f>
        <v>3</v>
      </c>
      <c r="O197" s="30">
        <f>Efficiency!N610</f>
        <v>6</v>
      </c>
      <c r="P197" s="30">
        <f>Efficiency!O610</f>
        <v>3</v>
      </c>
      <c r="Q197" s="30">
        <f>Efficiency!P610</f>
        <v>13</v>
      </c>
      <c r="R197" s="30">
        <f>Efficiency!Q610</f>
        <v>7</v>
      </c>
      <c r="S197" s="30">
        <f>Efficiency!R610</f>
        <v>49</v>
      </c>
      <c r="T197" s="30">
        <f>Efficiency!S610</f>
        <v>4</v>
      </c>
      <c r="U197" s="30">
        <f>Efficiency!T610</f>
        <v>42</v>
      </c>
      <c r="V197" s="30">
        <f>Efficiency!U610</f>
        <v>3</v>
      </c>
      <c r="W197" s="30">
        <f>Efficiency!V610</f>
        <v>1</v>
      </c>
      <c r="X197" s="30">
        <f>Efficiency!W610</f>
        <v>24</v>
      </c>
      <c r="Y197" s="30">
        <f>Efficiency!X610</f>
        <v>0</v>
      </c>
      <c r="Z197" s="30">
        <f>Efficiency!Y610</f>
        <v>2</v>
      </c>
      <c r="AA197" s="30">
        <f>Efficiency!Z610</f>
        <v>0</v>
      </c>
      <c r="AB197" s="30">
        <f>Efficiency!AA610</f>
        <v>2</v>
      </c>
      <c r="AC197" s="30">
        <f>Efficiency!AB610</f>
        <v>1</v>
      </c>
      <c r="AD197" s="30">
        <f>Efficiency!AC610</f>
        <v>1</v>
      </c>
      <c r="AE197" s="30">
        <f>Efficiency!AD610</f>
        <v>0</v>
      </c>
      <c r="AF197" t="s">
        <v>473</v>
      </c>
      <c r="AH197" s="140"/>
    </row>
    <row r="198" spans="3:34">
      <c r="C198" t="s">
        <v>531</v>
      </c>
      <c r="D198" t="s">
        <v>474</v>
      </c>
      <c r="E198" s="30">
        <v>10695</v>
      </c>
      <c r="F198" s="30">
        <v>149</v>
      </c>
      <c r="G198" s="30">
        <v>3066</v>
      </c>
      <c r="H198" s="30">
        <v>501</v>
      </c>
      <c r="I198" s="30">
        <v>295</v>
      </c>
      <c r="J198" s="30">
        <v>198</v>
      </c>
      <c r="K198" s="30">
        <v>105</v>
      </c>
      <c r="L198" s="30">
        <v>230</v>
      </c>
      <c r="M198" s="30">
        <v>376</v>
      </c>
      <c r="N198" s="30">
        <v>211</v>
      </c>
      <c r="O198" s="30">
        <v>160</v>
      </c>
      <c r="P198" s="30">
        <v>289</v>
      </c>
      <c r="Q198" s="30">
        <v>251</v>
      </c>
      <c r="R198" s="30">
        <v>238</v>
      </c>
      <c r="S198" s="30">
        <v>897</v>
      </c>
      <c r="T198" s="30">
        <v>524</v>
      </c>
      <c r="U198" s="30">
        <v>314</v>
      </c>
      <c r="V198" s="30">
        <v>391</v>
      </c>
      <c r="W198" s="30">
        <v>179</v>
      </c>
      <c r="X198" s="30">
        <v>596</v>
      </c>
      <c r="Y198" s="30">
        <v>99</v>
      </c>
      <c r="Z198" s="30">
        <v>341</v>
      </c>
      <c r="AA198" s="30">
        <v>126</v>
      </c>
      <c r="AB198" s="30">
        <v>119</v>
      </c>
      <c r="AC198" s="30">
        <v>194</v>
      </c>
      <c r="AD198" s="30">
        <v>625</v>
      </c>
      <c r="AE198" s="30">
        <v>221</v>
      </c>
      <c r="AF198" t="s">
        <v>477</v>
      </c>
      <c r="AH198" s="140"/>
    </row>
    <row r="199" spans="3:34">
      <c r="C199" t="s">
        <v>24</v>
      </c>
      <c r="D199" t="s">
        <v>561</v>
      </c>
      <c r="E199" s="30">
        <f>SUM(F199:AE199)</f>
        <v>73</v>
      </c>
      <c r="F199" s="269">
        <v>0</v>
      </c>
      <c r="G199" s="153">
        <f>Demands!B122+Demands!C122</f>
        <v>73</v>
      </c>
      <c r="H199" s="269">
        <v>0</v>
      </c>
      <c r="I199" s="269">
        <v>0</v>
      </c>
      <c r="J199" s="269">
        <v>0</v>
      </c>
      <c r="K199" s="269">
        <v>0</v>
      </c>
      <c r="L199" s="269">
        <v>0</v>
      </c>
      <c r="M199" s="269">
        <v>0</v>
      </c>
      <c r="N199" s="269">
        <v>0</v>
      </c>
      <c r="O199" s="269">
        <v>0</v>
      </c>
      <c r="P199" s="269">
        <v>0</v>
      </c>
      <c r="Q199" s="269">
        <v>0</v>
      </c>
      <c r="R199" s="269">
        <v>0</v>
      </c>
      <c r="S199" s="269">
        <v>0</v>
      </c>
      <c r="T199" s="269">
        <v>0</v>
      </c>
      <c r="U199" s="269">
        <v>0</v>
      </c>
      <c r="V199" s="269">
        <v>0</v>
      </c>
      <c r="W199" s="269">
        <v>0</v>
      </c>
      <c r="X199" s="269">
        <v>0</v>
      </c>
      <c r="Y199" s="269">
        <v>0</v>
      </c>
      <c r="Z199" s="269">
        <v>0</v>
      </c>
      <c r="AA199" s="269">
        <v>0</v>
      </c>
      <c r="AB199" s="269">
        <v>0</v>
      </c>
      <c r="AC199" s="269">
        <v>0</v>
      </c>
      <c r="AD199" s="269">
        <v>0</v>
      </c>
      <c r="AE199" s="269">
        <v>0</v>
      </c>
      <c r="AF199" t="s">
        <v>564</v>
      </c>
      <c r="AH199" s="140"/>
    </row>
    <row r="200" spans="3:34">
      <c r="C200" s="30"/>
      <c r="D200" t="s">
        <v>562</v>
      </c>
      <c r="E200" s="30">
        <f>SUM(F289:F292)</f>
        <v>52</v>
      </c>
      <c r="F200" s="269">
        <v>0</v>
      </c>
      <c r="G200" s="153">
        <f>E200</f>
        <v>52</v>
      </c>
      <c r="H200" s="269">
        <v>0</v>
      </c>
      <c r="I200" s="269">
        <v>0</v>
      </c>
      <c r="J200" s="269">
        <v>0</v>
      </c>
      <c r="K200" s="269">
        <v>0</v>
      </c>
      <c r="L200" s="269">
        <v>0</v>
      </c>
      <c r="M200" s="269">
        <v>0</v>
      </c>
      <c r="N200" s="269">
        <v>0</v>
      </c>
      <c r="O200" s="269">
        <v>0</v>
      </c>
      <c r="P200" s="269">
        <v>0</v>
      </c>
      <c r="Q200" s="269">
        <v>0</v>
      </c>
      <c r="R200" s="269">
        <v>0</v>
      </c>
      <c r="S200" s="269">
        <v>0</v>
      </c>
      <c r="T200" s="269">
        <v>0</v>
      </c>
      <c r="U200" s="269">
        <v>0</v>
      </c>
      <c r="V200" s="269">
        <v>0</v>
      </c>
      <c r="W200" s="269">
        <v>0</v>
      </c>
      <c r="X200" s="269">
        <v>0</v>
      </c>
      <c r="Y200" s="269">
        <v>0</v>
      </c>
      <c r="Z200" s="269">
        <v>0</v>
      </c>
      <c r="AA200" s="269">
        <v>0</v>
      </c>
      <c r="AB200" s="269">
        <v>0</v>
      </c>
      <c r="AC200" s="269">
        <v>0</v>
      </c>
      <c r="AD200" s="269">
        <v>0</v>
      </c>
      <c r="AE200" s="269">
        <v>0</v>
      </c>
      <c r="AF200" t="s">
        <v>565</v>
      </c>
      <c r="AH200" s="140"/>
    </row>
    <row r="201" spans="3:34">
      <c r="C201" s="30"/>
      <c r="D201" t="s">
        <v>563</v>
      </c>
      <c r="E201" s="30">
        <f>SUM(F278:F288)</f>
        <v>144</v>
      </c>
      <c r="F201" s="30">
        <f>$E$201*Demands!C139</f>
        <v>1.7216380556777637</v>
      </c>
      <c r="G201" s="30">
        <f>$E$201*Demands!D139</f>
        <v>40.744476376377783</v>
      </c>
      <c r="H201" s="30">
        <f>$E$201*Demands!E139</f>
        <v>6.7285771436191437</v>
      </c>
      <c r="I201" s="30">
        <f>$E$201*Demands!F139</f>
        <v>3.0008007366861493</v>
      </c>
      <c r="J201" s="30">
        <f>$E$201*Demands!G139</f>
        <v>2.5612586665098633</v>
      </c>
      <c r="K201" s="30">
        <f>$E$201*Demands!H139</f>
        <v>1.2360098406821689</v>
      </c>
      <c r="L201" s="30">
        <f>$E$201*Demands!I139</f>
        <v>3.897484703997276</v>
      </c>
      <c r="M201" s="30">
        <f>$E$201*Demands!J139</f>
        <v>5.8981798098014071</v>
      </c>
      <c r="N201" s="30">
        <f>$E$201*Demands!K139</f>
        <v>2.3575603256287172</v>
      </c>
      <c r="O201" s="30">
        <f>$E$201*Demands!L139</f>
        <v>2.684427214967243</v>
      </c>
      <c r="P201" s="30">
        <f>$E$201*Demands!M139</f>
        <v>4.5276310857195625</v>
      </c>
      <c r="Q201" s="30">
        <f>$E$201*Demands!N139</f>
        <v>4.3069679631824895</v>
      </c>
      <c r="R201" s="30">
        <f>$E$201*Demands!O139</f>
        <v>3.5930560820182822</v>
      </c>
      <c r="S201" s="30">
        <f>$E$201*Demands!P139</f>
        <v>16.416465397486057</v>
      </c>
      <c r="T201" s="30">
        <f>$E$201*Demands!Q139</f>
        <v>4.4666969769197546</v>
      </c>
      <c r="U201" s="30">
        <f>$E$201*Demands!R139</f>
        <v>5.8937949731880215</v>
      </c>
      <c r="V201" s="30">
        <f>$E$201*Demands!S139</f>
        <v>4.8249230081071151</v>
      </c>
      <c r="W201" s="30">
        <f>$E$201*Demands!T139</f>
        <v>3.5131915751496496</v>
      </c>
      <c r="X201" s="30">
        <f>$E$201*Demands!U139</f>
        <v>7.8037390812213223</v>
      </c>
      <c r="Y201" s="30">
        <f>$E$201*Demands!V139</f>
        <v>0.96901865130573772</v>
      </c>
      <c r="Z201" s="30">
        <f>$E$201*Demands!W139</f>
        <v>3.94656463381469</v>
      </c>
      <c r="AA201" s="30">
        <f>$E$201*Demands!X139</f>
        <v>1.9518268577542608</v>
      </c>
      <c r="AB201" s="30">
        <f>$E$201*Demands!Y139</f>
        <v>1.9817949479878143</v>
      </c>
      <c r="AC201" s="30">
        <f>$E$201*Demands!Z139</f>
        <v>2.3035814749053136</v>
      </c>
      <c r="AD201" s="30">
        <f>$E$201*Demands!AA139</f>
        <v>4.8140062769524086</v>
      </c>
      <c r="AE201" s="30">
        <f>$E$201*Demands!AB139</f>
        <v>1.8563281403399705</v>
      </c>
      <c r="AF201" t="s">
        <v>565</v>
      </c>
      <c r="AH201" s="140"/>
    </row>
    <row r="202" spans="3:34">
      <c r="C202" t="s">
        <v>635</v>
      </c>
      <c r="D202" t="s">
        <v>1026</v>
      </c>
      <c r="E202" s="30">
        <f>Demands!C360+Demands!C361</f>
        <v>890</v>
      </c>
      <c r="F202" s="30">
        <f>Demands!D360+Demands!D361</f>
        <v>10</v>
      </c>
      <c r="G202" s="30">
        <f>Demands!E360+Demands!E361</f>
        <v>278</v>
      </c>
      <c r="H202" s="30">
        <f>Demands!F360+Demands!F361</f>
        <v>49</v>
      </c>
      <c r="I202" s="30">
        <f>Demands!G360+Demands!G361</f>
        <v>15</v>
      </c>
      <c r="J202" s="30">
        <f>Demands!H360+Demands!H361</f>
        <v>21</v>
      </c>
      <c r="K202" s="30">
        <f>Demands!I360+Demands!I361</f>
        <v>8</v>
      </c>
      <c r="L202" s="30">
        <f>Demands!J360+Demands!J361</f>
        <v>15</v>
      </c>
      <c r="M202" s="30">
        <f>Demands!K360+Demands!K361</f>
        <v>21</v>
      </c>
      <c r="N202" s="30">
        <f>Demands!L360+Demands!L361</f>
        <v>10</v>
      </c>
      <c r="O202" s="30">
        <f>Demands!M360+Demands!M361</f>
        <v>14</v>
      </c>
      <c r="P202" s="30">
        <f>Demands!N360+Demands!N361</f>
        <v>28</v>
      </c>
      <c r="Q202" s="30">
        <f>Demands!O360+Demands!O361</f>
        <v>46</v>
      </c>
      <c r="R202" s="30">
        <f>Demands!P360+Demands!P361</f>
        <v>16</v>
      </c>
      <c r="S202" s="30">
        <f>Demands!Q360+Demands!Q361</f>
        <v>131</v>
      </c>
      <c r="T202" s="30">
        <f>Demands!R360+Demands!R361</f>
        <v>21</v>
      </c>
      <c r="U202" s="30">
        <f>Demands!S360+Demands!S361</f>
        <v>14</v>
      </c>
      <c r="V202" s="30">
        <f>Demands!T360+Demands!T361</f>
        <v>27</v>
      </c>
      <c r="W202" s="30">
        <f>Demands!U360+Demands!U361</f>
        <v>30</v>
      </c>
      <c r="X202" s="30">
        <f>Demands!V360+Demands!V361</f>
        <v>44</v>
      </c>
      <c r="Y202" s="30">
        <f>Demands!W360+Demands!W361</f>
        <v>2</v>
      </c>
      <c r="Z202" s="30">
        <f>Demands!X360+Demands!X361</f>
        <v>19</v>
      </c>
      <c r="AA202" s="30">
        <f>Demands!Y360+Demands!Y361</f>
        <v>14</v>
      </c>
      <c r="AB202" s="30">
        <f>Demands!Z360+Demands!Z361</f>
        <v>9</v>
      </c>
      <c r="AC202" s="30">
        <f>Demands!AA360+Demands!AA361</f>
        <v>7</v>
      </c>
      <c r="AD202" s="30">
        <f>Demands!AB360+Demands!AB361</f>
        <v>29</v>
      </c>
      <c r="AE202" s="30">
        <f>Demands!AC360+Demands!AC361</f>
        <v>12</v>
      </c>
      <c r="AF202" t="s">
        <v>559</v>
      </c>
      <c r="AH202" s="140"/>
    </row>
    <row r="203" spans="3:34">
      <c r="D203" t="s">
        <v>1027</v>
      </c>
      <c r="E203" s="30">
        <f>(Demands!C368+Demands!C369)-Demands!C360-Demands!C361</f>
        <v>320884</v>
      </c>
      <c r="F203" s="30">
        <f>(Demands!D368+Demands!D369)-Demands!D360-Demands!D361</f>
        <v>5262</v>
      </c>
      <c r="G203" s="30">
        <f>(Demands!E368+Demands!E369)-Demands!E360-Demands!E361</f>
        <v>67396</v>
      </c>
      <c r="H203" s="30">
        <f>(Demands!F368+Demands!F369)-Demands!F360-Demands!F361</f>
        <v>14377</v>
      </c>
      <c r="I203" s="30">
        <f>(Demands!G368+Demands!G369)-Demands!G360-Demands!G361</f>
        <v>7244</v>
      </c>
      <c r="J203" s="30">
        <f>(Demands!H368+Demands!H369)-Demands!H360-Demands!H361</f>
        <v>5341</v>
      </c>
      <c r="K203" s="30">
        <f>(Demands!I368+Demands!I369)-Demands!I360-Demands!I361</f>
        <v>3521</v>
      </c>
      <c r="L203" s="30">
        <f>(Demands!J368+Demands!J369)-Demands!J360-Demands!J361</f>
        <v>7139</v>
      </c>
      <c r="M203" s="30">
        <f>(Demands!K368+Demands!K369)-Demands!K360-Demands!K361</f>
        <v>12860</v>
      </c>
      <c r="N203" s="30">
        <f>(Demands!L368+Demands!L369)-Demands!L360-Demands!L361</f>
        <v>6027</v>
      </c>
      <c r="O203" s="30">
        <f>(Demands!M368+Demands!M369)-Demands!M360-Demands!M361</f>
        <v>7581</v>
      </c>
      <c r="P203" s="30">
        <f>(Demands!N368+Demands!N369)-Demands!N360-Demands!N361</f>
        <v>12181</v>
      </c>
      <c r="Q203" s="30">
        <f>(Demands!O368+Demands!O369)-Demands!O360-Demands!O361</f>
        <v>8787</v>
      </c>
      <c r="R203" s="30">
        <f>(Demands!P368+Demands!P369)-Demands!P360-Demands!P361</f>
        <v>8802</v>
      </c>
      <c r="S203" s="30">
        <f>(Demands!Q368+Demands!Q369)-Demands!Q360-Demands!Q361</f>
        <v>37667</v>
      </c>
      <c r="T203" s="30">
        <f>(Demands!R368+Demands!R369)-Demands!R360-Demands!R361</f>
        <v>11120</v>
      </c>
      <c r="U203" s="30">
        <f>(Demands!S368+Demands!S369)-Demands!S360-Demands!S361</f>
        <v>11993</v>
      </c>
      <c r="V203" s="30">
        <f>(Demands!T368+Demands!T369)-Demands!T360-Demands!T361</f>
        <v>12476</v>
      </c>
      <c r="W203" s="30">
        <f>(Demands!U368+Demands!U369)-Demands!U360-Demands!U361</f>
        <v>7567</v>
      </c>
      <c r="X203" s="30">
        <f>(Demands!V368+Demands!V369)-Demands!V360-Demands!V361</f>
        <v>18740</v>
      </c>
      <c r="Y203" s="30">
        <f>(Demands!W368+Demands!W369)-Demands!W360-Demands!W361</f>
        <v>3193</v>
      </c>
      <c r="Z203" s="30">
        <f>(Demands!X368+Demands!X369)-Demands!X360-Demands!X361</f>
        <v>12511</v>
      </c>
      <c r="AA203" s="30">
        <f>(Demands!Y368+Demands!Y369)-Demands!Y360-Demands!Y361</f>
        <v>5896</v>
      </c>
      <c r="AB203" s="30">
        <f>(Demands!Z368+Demands!Z369)-Demands!Z360-Demands!Z361</f>
        <v>5600</v>
      </c>
      <c r="AC203" s="30">
        <f>(Demands!AA368+Demands!AA369)-Demands!AA360-Demands!AA361</f>
        <v>7370</v>
      </c>
      <c r="AD203" s="30">
        <f>(Demands!AB368+Demands!AB369)-Demands!AB360-Demands!AB361</f>
        <v>13568</v>
      </c>
      <c r="AE203" s="30">
        <f>(Demands!AC368+Demands!AC369)-Demands!AC360-Demands!AC361</f>
        <v>6664</v>
      </c>
      <c r="AH203" s="140"/>
    </row>
    <row r="204" spans="3:34">
      <c r="D204" t="s">
        <v>1028</v>
      </c>
      <c r="E204" s="30">
        <f>Demands!C370+Demands!C371</f>
        <v>11034</v>
      </c>
      <c r="F204" s="30">
        <f>Demands!D370+Demands!D371</f>
        <v>147</v>
      </c>
      <c r="G204" s="30">
        <f>Demands!E370+Demands!E371</f>
        <v>2966</v>
      </c>
      <c r="H204" s="30">
        <f>Demands!F370+Demands!F371</f>
        <v>553</v>
      </c>
      <c r="I204" s="30">
        <f>Demands!G370+Demands!G371</f>
        <v>249</v>
      </c>
      <c r="J204" s="30">
        <f>Demands!H370+Demands!H371</f>
        <v>217</v>
      </c>
      <c r="K204" s="30">
        <f>Demands!I370+Demands!I371</f>
        <v>134</v>
      </c>
      <c r="L204" s="30">
        <f>Demands!J370+Demands!J371</f>
        <v>372</v>
      </c>
      <c r="M204" s="30">
        <f>Demands!K370+Demands!K371</f>
        <v>479</v>
      </c>
      <c r="N204" s="30">
        <f>Demands!L370+Demands!L371</f>
        <v>166</v>
      </c>
      <c r="O204" s="30">
        <f>Demands!M370+Demands!M371</f>
        <v>198</v>
      </c>
      <c r="P204" s="30">
        <f>Demands!N370+Demands!N371</f>
        <v>389</v>
      </c>
      <c r="Q204" s="30">
        <f>Demands!O370+Demands!O371</f>
        <v>207</v>
      </c>
      <c r="R204" s="30">
        <f>Demands!P370+Demands!P371</f>
        <v>220</v>
      </c>
      <c r="S204" s="30">
        <f>Demands!Q370+Demands!Q371</f>
        <v>1167</v>
      </c>
      <c r="T204" s="30">
        <f>Demands!R370+Demands!R371</f>
        <v>262</v>
      </c>
      <c r="U204" s="30">
        <f>Demands!S370+Demands!S371</f>
        <v>700</v>
      </c>
      <c r="V204" s="30">
        <f>Demands!T370+Demands!T371</f>
        <v>409</v>
      </c>
      <c r="W204" s="30">
        <f>Demands!U370+Demands!U371</f>
        <v>207</v>
      </c>
      <c r="X204" s="30">
        <f>Demands!V370+Demands!V371</f>
        <v>547</v>
      </c>
      <c r="Y204" s="30">
        <f>Demands!W370+Demands!W371</f>
        <v>74</v>
      </c>
      <c r="Z204" s="30">
        <f>Demands!X370+Demands!X371</f>
        <v>261</v>
      </c>
      <c r="AA204" s="30">
        <f>Demands!Y370+Demands!Y371</f>
        <v>148</v>
      </c>
      <c r="AB204" s="30">
        <f>Demands!Z370+Demands!Z371</f>
        <v>205</v>
      </c>
      <c r="AC204" s="30">
        <f>Demands!AA370+Demands!AA371</f>
        <v>184</v>
      </c>
      <c r="AD204" s="30">
        <f>Demands!AB370+Demands!AB371</f>
        <v>318</v>
      </c>
      <c r="AE204" s="30">
        <f>Demands!AC370+Demands!AC371</f>
        <v>256</v>
      </c>
      <c r="AH204" s="140"/>
    </row>
    <row r="205" spans="3:34">
      <c r="D205" t="s">
        <v>1029</v>
      </c>
      <c r="E205" s="30">
        <f>Demands!C372+Demands!C373</f>
        <v>21651</v>
      </c>
      <c r="F205" s="30">
        <f>Demands!D372+Demands!D373</f>
        <v>390</v>
      </c>
      <c r="G205" s="30">
        <f>Demands!E372+Demands!E373</f>
        <v>3883</v>
      </c>
      <c r="H205" s="30">
        <f>Demands!F372+Demands!F373</f>
        <v>1112</v>
      </c>
      <c r="I205" s="30">
        <f>Demands!G372+Demands!G373</f>
        <v>713</v>
      </c>
      <c r="J205" s="30">
        <f>Demands!H372+Demands!H373</f>
        <v>455</v>
      </c>
      <c r="K205" s="30">
        <f>Demands!I372+Demands!I373</f>
        <v>276</v>
      </c>
      <c r="L205" s="30">
        <f>Demands!J372+Demands!J373</f>
        <v>617</v>
      </c>
      <c r="M205" s="30">
        <f>Demands!K372+Demands!K373</f>
        <v>1424</v>
      </c>
      <c r="N205" s="30">
        <f>Demands!L372+Demands!L373</f>
        <v>323</v>
      </c>
      <c r="O205" s="30">
        <f>Demands!M372+Demands!M373</f>
        <v>316</v>
      </c>
      <c r="P205" s="30">
        <f>Demands!N372+Demands!N373</f>
        <v>1390</v>
      </c>
      <c r="Q205" s="30">
        <f>Demands!O372+Demands!O373</f>
        <v>396</v>
      </c>
      <c r="R205" s="30">
        <f>Demands!P372+Demands!P373</f>
        <v>397</v>
      </c>
      <c r="S205" s="30">
        <f>Demands!Q372+Demands!Q373</f>
        <v>2558</v>
      </c>
      <c r="T205" s="30">
        <f>Demands!R372+Demands!R373</f>
        <v>516</v>
      </c>
      <c r="U205" s="30">
        <f>Demands!S372+Demands!S373</f>
        <v>941</v>
      </c>
      <c r="V205" s="30">
        <f>Demands!T372+Demands!T373</f>
        <v>1050</v>
      </c>
      <c r="W205" s="30">
        <f>Demands!U372+Demands!U373</f>
        <v>358</v>
      </c>
      <c r="X205" s="30">
        <f>Demands!V372+Demands!V373</f>
        <v>1026</v>
      </c>
      <c r="Y205" s="30">
        <f>Demands!W372+Demands!W373</f>
        <v>135</v>
      </c>
      <c r="Z205" s="30">
        <f>Demands!X372+Demands!X373</f>
        <v>570</v>
      </c>
      <c r="AA205" s="30">
        <f>Demands!Y372+Demands!Y373</f>
        <v>326</v>
      </c>
      <c r="AB205" s="30">
        <f>Demands!Z372+Demands!Z373</f>
        <v>232</v>
      </c>
      <c r="AC205" s="30">
        <f>Demands!AA372+Demands!AA373</f>
        <v>488</v>
      </c>
      <c r="AD205" s="30">
        <f>Demands!AB372+Demands!AB373</f>
        <v>720</v>
      </c>
      <c r="AE205" s="30">
        <f>Demands!AC372+Demands!AC373</f>
        <v>1036</v>
      </c>
      <c r="AF205" t="s">
        <v>559</v>
      </c>
      <c r="AH205" s="140"/>
    </row>
    <row r="206" spans="3:34">
      <c r="C206" s="79"/>
      <c r="D206" s="79" t="s">
        <v>563</v>
      </c>
      <c r="E206" s="79">
        <f>SUM(G316)</f>
        <v>14</v>
      </c>
      <c r="F206" s="79">
        <v>0</v>
      </c>
      <c r="G206" s="79">
        <f>E206</f>
        <v>14</v>
      </c>
      <c r="H206" s="79">
        <v>0</v>
      </c>
      <c r="I206" s="79">
        <v>0</v>
      </c>
      <c r="J206" s="79">
        <v>0</v>
      </c>
      <c r="K206" s="79">
        <v>0</v>
      </c>
      <c r="L206" s="79">
        <v>0</v>
      </c>
      <c r="M206" s="79">
        <f>E206</f>
        <v>14</v>
      </c>
      <c r="N206" s="79">
        <v>0</v>
      </c>
      <c r="O206" s="79">
        <v>0</v>
      </c>
      <c r="P206" s="79">
        <v>0</v>
      </c>
      <c r="Q206" s="79">
        <v>0</v>
      </c>
      <c r="R206" s="79">
        <v>0</v>
      </c>
      <c r="S206" s="79">
        <v>0</v>
      </c>
      <c r="T206" s="79">
        <v>0</v>
      </c>
      <c r="U206" s="79">
        <v>0</v>
      </c>
      <c r="V206" s="79">
        <v>0</v>
      </c>
      <c r="W206" s="79">
        <f>E206</f>
        <v>14</v>
      </c>
      <c r="X206" s="79">
        <v>0</v>
      </c>
      <c r="Y206" s="79">
        <v>0</v>
      </c>
      <c r="Z206" s="79">
        <f>E206</f>
        <v>14</v>
      </c>
      <c r="AA206" s="79">
        <v>0</v>
      </c>
      <c r="AB206" s="79">
        <v>0</v>
      </c>
      <c r="AC206" s="79">
        <v>0</v>
      </c>
      <c r="AD206" s="79">
        <v>0</v>
      </c>
      <c r="AE206" s="79">
        <v>0</v>
      </c>
      <c r="AH206" s="140"/>
    </row>
    <row r="207" spans="3:34" ht="14.5" customHeight="1">
      <c r="AH207" s="140"/>
    </row>
    <row r="208" spans="3:34">
      <c r="AH208" s="140"/>
    </row>
    <row r="209" spans="3:34">
      <c r="AH209" s="140"/>
    </row>
    <row r="210" spans="3:34">
      <c r="AH210" s="140"/>
    </row>
    <row r="211" spans="3:34">
      <c r="C211" s="127" t="s">
        <v>451</v>
      </c>
      <c r="D211" s="128"/>
      <c r="AH211" s="140"/>
    </row>
    <row r="212" spans="3:34">
      <c r="C212" s="129" t="s">
        <v>452</v>
      </c>
      <c r="D212" s="130" t="s">
        <v>453</v>
      </c>
      <c r="AH212" s="140"/>
    </row>
    <row r="213" spans="3:34">
      <c r="C213" s="131" t="s">
        <v>20</v>
      </c>
      <c r="D213" s="132">
        <v>1041376950</v>
      </c>
      <c r="AH213" s="140"/>
    </row>
    <row r="214" spans="3:34">
      <c r="C214" s="133" t="s">
        <v>454</v>
      </c>
      <c r="D214" s="132">
        <v>53868503</v>
      </c>
      <c r="AH214" s="140"/>
    </row>
    <row r="215" spans="3:34" ht="26.5" customHeight="1">
      <c r="C215" s="133" t="s">
        <v>19</v>
      </c>
      <c r="D215" s="134">
        <v>3392228806</v>
      </c>
      <c r="AH215" s="140"/>
    </row>
    <row r="216" spans="3:34" ht="39.65" customHeight="1">
      <c r="C216" s="133" t="s">
        <v>455</v>
      </c>
      <c r="D216" s="134">
        <v>162101602</v>
      </c>
      <c r="AH216" s="140"/>
    </row>
    <row r="217" spans="3:34">
      <c r="C217" s="135" t="s">
        <v>456</v>
      </c>
      <c r="AH217" s="140"/>
    </row>
    <row r="218" spans="3:34" ht="14.5" customHeight="1"/>
    <row r="220" spans="3:34">
      <c r="C220" s="127" t="s">
        <v>457</v>
      </c>
      <c r="D220" s="128"/>
    </row>
    <row r="221" spans="3:34">
      <c r="C221" s="129" t="s">
        <v>452</v>
      </c>
      <c r="D221" s="130" t="s">
        <v>457</v>
      </c>
    </row>
    <row r="222" spans="3:34">
      <c r="C222" s="131" t="s">
        <v>20</v>
      </c>
      <c r="D222" s="132">
        <v>35</v>
      </c>
    </row>
    <row r="223" spans="3:34">
      <c r="C223" s="133" t="s">
        <v>454</v>
      </c>
      <c r="D223" s="132">
        <v>32</v>
      </c>
    </row>
    <row r="224" spans="3:34">
      <c r="C224" s="133" t="s">
        <v>19</v>
      </c>
      <c r="D224" s="134">
        <v>37</v>
      </c>
    </row>
    <row r="225" spans="3:34" ht="14.5" customHeight="1">
      <c r="C225" s="133" t="s">
        <v>455</v>
      </c>
      <c r="D225" s="134">
        <v>33</v>
      </c>
    </row>
    <row r="226" spans="3:34" ht="14.5" customHeight="1"/>
    <row r="227" spans="3:34" ht="26.5" customHeight="1"/>
    <row r="228" spans="3:34" ht="14.5" customHeight="1">
      <c r="C228" s="127" t="s">
        <v>458</v>
      </c>
      <c r="D228" s="128"/>
    </row>
    <row r="229" spans="3:34" ht="14.5" customHeight="1">
      <c r="C229" s="129" t="s">
        <v>452</v>
      </c>
      <c r="D229" s="130" t="s">
        <v>459</v>
      </c>
    </row>
    <row r="230" spans="3:34" ht="14.5" customHeight="1">
      <c r="C230" s="131" t="s">
        <v>20</v>
      </c>
      <c r="D230" s="136">
        <f>(D213*D222)/((D213*D222)+(D214*D223))</f>
        <v>0.9548414346182118</v>
      </c>
    </row>
    <row r="231" spans="3:34">
      <c r="C231" s="133" t="s">
        <v>454</v>
      </c>
      <c r="D231" s="136">
        <f>(D214*D223)/((D213*D222)+(D214*D223))</f>
        <v>4.5158565381788147E-2</v>
      </c>
    </row>
    <row r="232" spans="3:34">
      <c r="C232" s="133" t="s">
        <v>19</v>
      </c>
      <c r="D232" s="136">
        <f>(D215*D224)/((D215*D224)+(D216*D225))</f>
        <v>0.95912212653292017</v>
      </c>
    </row>
    <row r="233" spans="3:34">
      <c r="C233" s="133" t="s">
        <v>455</v>
      </c>
      <c r="D233" s="136">
        <f>(D216*D225)/((D215*D224)+(D216*D225))</f>
        <v>4.087787346707978E-2</v>
      </c>
    </row>
    <row r="235" spans="3:34" ht="24" customHeight="1"/>
    <row r="237" spans="3:34" ht="22.9" customHeight="1">
      <c r="AH237" s="140"/>
    </row>
    <row r="243" spans="3:9" ht="106.15" customHeight="1"/>
    <row r="244" spans="3:9">
      <c r="C244" s="763" t="s">
        <v>475</v>
      </c>
      <c r="D244" s="763"/>
      <c r="E244" s="763"/>
      <c r="F244" s="763"/>
      <c r="G244" s="763"/>
      <c r="H244" s="763"/>
    </row>
    <row r="245" spans="3:9">
      <c r="C245" s="12" t="s">
        <v>28</v>
      </c>
      <c r="D245" s="12">
        <v>170</v>
      </c>
      <c r="E245" s="12">
        <v>180</v>
      </c>
      <c r="F245" s="12">
        <v>148</v>
      </c>
      <c r="G245" s="12">
        <v>144</v>
      </c>
      <c r="H245" s="12">
        <v>146</v>
      </c>
      <c r="I245" t="s">
        <v>504</v>
      </c>
    </row>
    <row r="246" spans="3:9">
      <c r="C246" s="139" t="s">
        <v>27</v>
      </c>
      <c r="D246" s="139">
        <v>305</v>
      </c>
      <c r="E246" s="139">
        <v>308</v>
      </c>
      <c r="F246" s="139">
        <v>312</v>
      </c>
      <c r="G246" s="139">
        <v>325</v>
      </c>
      <c r="H246" s="139">
        <v>332</v>
      </c>
      <c r="I246" t="s">
        <v>503</v>
      </c>
    </row>
    <row r="247" spans="3:9">
      <c r="C247" s="378" t="s">
        <v>476</v>
      </c>
      <c r="D247" s="378"/>
      <c r="E247" s="378"/>
      <c r="F247" s="378"/>
      <c r="G247" s="378"/>
      <c r="H247" s="378"/>
    </row>
    <row r="249" spans="3:9">
      <c r="C249" s="12" t="s">
        <v>28</v>
      </c>
      <c r="E249" t="s">
        <v>501</v>
      </c>
      <c r="F249" t="s">
        <v>502</v>
      </c>
    </row>
    <row r="250" spans="3:9">
      <c r="C250" s="140" t="s">
        <v>478</v>
      </c>
      <c r="D250" t="s">
        <v>345</v>
      </c>
      <c r="E250">
        <v>14</v>
      </c>
      <c r="F250" s="5">
        <f t="shared" ref="F250:F259" si="148">E250/$E$260</f>
        <v>0.33333333333333331</v>
      </c>
    </row>
    <row r="251" spans="3:9">
      <c r="C251" s="140" t="s">
        <v>479</v>
      </c>
      <c r="D251" t="s">
        <v>500</v>
      </c>
      <c r="E251">
        <v>1</v>
      </c>
      <c r="F251" s="5">
        <f t="shared" si="148"/>
        <v>2.3809523809523808E-2</v>
      </c>
    </row>
    <row r="252" spans="3:9">
      <c r="C252" s="140" t="s">
        <v>480</v>
      </c>
      <c r="D252" t="s">
        <v>354</v>
      </c>
      <c r="E252">
        <v>5</v>
      </c>
      <c r="F252" s="5">
        <f t="shared" si="148"/>
        <v>0.11904761904761904</v>
      </c>
    </row>
    <row r="253" spans="3:9">
      <c r="C253" s="140" t="s">
        <v>481</v>
      </c>
      <c r="D253" t="s">
        <v>357</v>
      </c>
      <c r="E253">
        <v>4</v>
      </c>
      <c r="F253" s="5">
        <f t="shared" si="148"/>
        <v>9.5238095238095233E-2</v>
      </c>
    </row>
    <row r="254" spans="3:9">
      <c r="C254" s="140" t="s">
        <v>482</v>
      </c>
      <c r="D254" t="s">
        <v>358</v>
      </c>
      <c r="E254">
        <v>2</v>
      </c>
      <c r="F254" s="5">
        <f t="shared" si="148"/>
        <v>4.7619047619047616E-2</v>
      </c>
    </row>
    <row r="255" spans="3:9">
      <c r="C255" s="140" t="s">
        <v>483</v>
      </c>
      <c r="D255" t="s">
        <v>359</v>
      </c>
      <c r="E255">
        <v>5</v>
      </c>
      <c r="F255" s="5">
        <f t="shared" si="148"/>
        <v>0.11904761904761904</v>
      </c>
    </row>
    <row r="256" spans="3:9">
      <c r="C256" s="140" t="s">
        <v>484</v>
      </c>
      <c r="D256" t="s">
        <v>361</v>
      </c>
      <c r="E256">
        <v>2</v>
      </c>
      <c r="F256" s="5">
        <f t="shared" si="148"/>
        <v>4.7619047619047616E-2</v>
      </c>
    </row>
    <row r="257" spans="3:6">
      <c r="C257" s="140" t="s">
        <v>485</v>
      </c>
      <c r="D257" t="s">
        <v>362</v>
      </c>
      <c r="E257">
        <v>6</v>
      </c>
      <c r="F257" s="5">
        <f t="shared" si="148"/>
        <v>0.14285714285714285</v>
      </c>
    </row>
    <row r="258" spans="3:6">
      <c r="C258" s="140" t="s">
        <v>486</v>
      </c>
      <c r="D258" t="s">
        <v>366</v>
      </c>
      <c r="E258">
        <v>1</v>
      </c>
      <c r="F258" s="5">
        <f t="shared" si="148"/>
        <v>2.3809523809523808E-2</v>
      </c>
    </row>
    <row r="259" spans="3:6">
      <c r="C259" s="140" t="s">
        <v>487</v>
      </c>
      <c r="D259" t="s">
        <v>368</v>
      </c>
      <c r="E259">
        <v>2</v>
      </c>
      <c r="F259" s="5">
        <f t="shared" si="148"/>
        <v>4.7619047619047616E-2</v>
      </c>
    </row>
    <row r="260" spans="3:6">
      <c r="C260" s="140" t="s">
        <v>488</v>
      </c>
      <c r="E260">
        <f>SUM(E250:E259)</f>
        <v>42</v>
      </c>
    </row>
    <row r="261" spans="3:6">
      <c r="C261" s="140" t="s">
        <v>489</v>
      </c>
    </row>
    <row r="262" spans="3:6">
      <c r="C262" s="140" t="s">
        <v>490</v>
      </c>
    </row>
    <row r="263" spans="3:6">
      <c r="C263" s="140" t="s">
        <v>491</v>
      </c>
    </row>
    <row r="264" spans="3:6">
      <c r="C264" s="140" t="s">
        <v>492</v>
      </c>
    </row>
    <row r="265" spans="3:6">
      <c r="C265" s="140" t="s">
        <v>493</v>
      </c>
    </row>
    <row r="266" spans="3:6">
      <c r="C266" s="140" t="s">
        <v>494</v>
      </c>
    </row>
    <row r="267" spans="3:6">
      <c r="C267" s="140" t="s">
        <v>495</v>
      </c>
    </row>
    <row r="268" spans="3:6">
      <c r="C268" s="140" t="s">
        <v>496</v>
      </c>
    </row>
    <row r="269" spans="3:6">
      <c r="C269" s="140" t="s">
        <v>497</v>
      </c>
    </row>
    <row r="270" spans="3:6">
      <c r="C270" s="140" t="s">
        <v>498</v>
      </c>
    </row>
    <row r="271" spans="3:6">
      <c r="C271" s="140" t="s">
        <v>499</v>
      </c>
    </row>
    <row r="276" spans="3:8">
      <c r="C276" t="s">
        <v>695</v>
      </c>
    </row>
    <row r="277" spans="3:8" ht="65">
      <c r="C277" s="379" t="s">
        <v>114</v>
      </c>
      <c r="D277" s="380" t="s">
        <v>115</v>
      </c>
      <c r="E277" s="230" t="s">
        <v>116</v>
      </c>
      <c r="F277" s="230" t="s">
        <v>117</v>
      </c>
      <c r="G277" s="230" t="s">
        <v>118</v>
      </c>
      <c r="H277" s="230" t="s">
        <v>119</v>
      </c>
    </row>
    <row r="278" spans="3:8" ht="25">
      <c r="C278" s="381"/>
      <c r="D278" s="382"/>
      <c r="E278" s="231" t="s">
        <v>120</v>
      </c>
      <c r="F278" s="231">
        <v>28</v>
      </c>
      <c r="G278" s="231">
        <v>190</v>
      </c>
      <c r="H278" s="231" t="s">
        <v>121</v>
      </c>
    </row>
    <row r="279" spans="3:8" ht="15.5">
      <c r="C279" s="381"/>
      <c r="D279" s="382"/>
      <c r="E279" s="232" t="s">
        <v>122</v>
      </c>
      <c r="F279" s="232">
        <v>25</v>
      </c>
      <c r="G279" s="232">
        <v>262</v>
      </c>
      <c r="H279" s="232" t="s">
        <v>123</v>
      </c>
    </row>
    <row r="280" spans="3:8" ht="25">
      <c r="C280" s="381"/>
      <c r="D280" s="383"/>
      <c r="E280" s="231" t="s">
        <v>124</v>
      </c>
      <c r="F280" s="231">
        <v>10</v>
      </c>
      <c r="G280" s="231">
        <v>304</v>
      </c>
      <c r="H280" s="231">
        <v>2008</v>
      </c>
    </row>
    <row r="281" spans="3:8" ht="25">
      <c r="C281" s="381"/>
      <c r="D281" s="384" t="s">
        <v>125</v>
      </c>
      <c r="E281" s="232" t="s">
        <v>126</v>
      </c>
      <c r="F281" s="232">
        <v>5</v>
      </c>
      <c r="G281" s="232" t="s">
        <v>127</v>
      </c>
      <c r="H281" s="232" t="s">
        <v>128</v>
      </c>
    </row>
    <row r="282" spans="3:8" ht="15.5">
      <c r="C282" s="381"/>
      <c r="D282" s="385"/>
      <c r="E282" s="231" t="s">
        <v>129</v>
      </c>
      <c r="F282" s="231">
        <v>5</v>
      </c>
      <c r="G282" s="231">
        <v>28</v>
      </c>
      <c r="H282" s="231" t="s">
        <v>128</v>
      </c>
    </row>
    <row r="283" spans="3:8" ht="15.5">
      <c r="C283" s="381"/>
      <c r="D283" s="385"/>
      <c r="E283" s="232" t="s">
        <v>130</v>
      </c>
      <c r="F283" s="232">
        <v>5</v>
      </c>
      <c r="G283" s="232">
        <v>44</v>
      </c>
      <c r="H283" s="232" t="s">
        <v>128</v>
      </c>
    </row>
    <row r="284" spans="3:8" ht="15.5">
      <c r="C284" s="381"/>
      <c r="D284" s="385"/>
      <c r="E284" s="231" t="s">
        <v>131</v>
      </c>
      <c r="F284" s="231">
        <v>16</v>
      </c>
      <c r="G284" s="231">
        <v>69</v>
      </c>
      <c r="H284" s="231" t="s">
        <v>128</v>
      </c>
    </row>
    <row r="285" spans="3:8" ht="15.5">
      <c r="C285" s="386"/>
      <c r="D285" s="387"/>
      <c r="E285" s="232" t="s">
        <v>132</v>
      </c>
      <c r="F285" s="232">
        <v>5</v>
      </c>
      <c r="G285" s="232">
        <v>69</v>
      </c>
      <c r="H285" s="232" t="s">
        <v>128</v>
      </c>
    </row>
    <row r="286" spans="3:8" ht="15.5">
      <c r="C286" s="388" t="s">
        <v>133</v>
      </c>
      <c r="D286" s="233" t="s">
        <v>134</v>
      </c>
      <c r="E286" s="231" t="s">
        <v>122</v>
      </c>
      <c r="F286" s="231">
        <v>29</v>
      </c>
      <c r="G286" s="231">
        <v>185</v>
      </c>
      <c r="H286" s="231" t="s">
        <v>137</v>
      </c>
    </row>
    <row r="287" spans="3:8" ht="15.5">
      <c r="C287" s="389"/>
      <c r="D287" s="233" t="s">
        <v>135</v>
      </c>
      <c r="E287" s="232" t="s">
        <v>138</v>
      </c>
      <c r="F287" s="232">
        <v>8</v>
      </c>
      <c r="G287" s="232">
        <v>85</v>
      </c>
      <c r="H287" s="232">
        <v>2000</v>
      </c>
    </row>
    <row r="288" spans="3:8" ht="15.5">
      <c r="C288" s="390"/>
      <c r="D288" s="233" t="s">
        <v>136</v>
      </c>
      <c r="E288" s="231" t="s">
        <v>138</v>
      </c>
      <c r="F288" s="231">
        <v>8</v>
      </c>
      <c r="G288" s="231">
        <v>130</v>
      </c>
      <c r="H288" s="231">
        <v>1993</v>
      </c>
    </row>
    <row r="289" spans="3:8" ht="65">
      <c r="C289" s="388" t="s">
        <v>39</v>
      </c>
      <c r="D289" s="380" t="s">
        <v>139</v>
      </c>
      <c r="E289" s="232" t="s">
        <v>141</v>
      </c>
      <c r="F289" s="232">
        <v>8</v>
      </c>
      <c r="G289" s="232">
        <v>160</v>
      </c>
      <c r="H289" s="232" t="s">
        <v>142</v>
      </c>
    </row>
    <row r="290" spans="3:8" ht="25">
      <c r="C290" s="389"/>
      <c r="D290" s="382"/>
      <c r="E290" s="231" t="s">
        <v>143</v>
      </c>
      <c r="F290" s="231">
        <v>3</v>
      </c>
      <c r="G290" s="231">
        <v>160</v>
      </c>
      <c r="H290" s="231">
        <v>2001</v>
      </c>
    </row>
    <row r="291" spans="3:8" ht="25">
      <c r="C291" s="389"/>
      <c r="D291" s="383"/>
      <c r="E291" s="232" t="s">
        <v>144</v>
      </c>
      <c r="F291" s="232">
        <v>4</v>
      </c>
      <c r="G291" s="232">
        <v>160</v>
      </c>
      <c r="H291" s="232">
        <v>2000</v>
      </c>
    </row>
    <row r="292" spans="3:8" ht="15.5">
      <c r="C292" s="390"/>
      <c r="D292" s="233" t="s">
        <v>140</v>
      </c>
      <c r="E292" s="231" t="s">
        <v>138</v>
      </c>
      <c r="F292" s="231">
        <v>37</v>
      </c>
      <c r="G292" s="231">
        <v>128</v>
      </c>
      <c r="H292" s="231" t="s">
        <v>145</v>
      </c>
    </row>
    <row r="293" spans="3:8">
      <c r="C293" s="90" t="s">
        <v>167</v>
      </c>
      <c r="D293" s="90" t="s">
        <v>168</v>
      </c>
    </row>
    <row r="294" spans="3:8">
      <c r="C294" t="s">
        <v>325</v>
      </c>
    </row>
    <row r="295" spans="3:8">
      <c r="C295" t="s">
        <v>324</v>
      </c>
    </row>
    <row r="299" spans="3:8" ht="90">
      <c r="C299" s="377" t="s">
        <v>684</v>
      </c>
      <c r="D299" s="377"/>
      <c r="E299" s="377"/>
      <c r="F299" s="377"/>
    </row>
    <row r="300" spans="3:8" ht="15" thickBot="1">
      <c r="C300" s="391" t="s">
        <v>161</v>
      </c>
      <c r="D300" s="392"/>
      <c r="E300" s="392"/>
      <c r="F300" s="392"/>
      <c r="G300" s="392"/>
      <c r="H300" s="392"/>
    </row>
    <row r="301" spans="3:8" ht="23.5" thickBot="1">
      <c r="C301" s="229" t="s">
        <v>116</v>
      </c>
      <c r="D301" s="229" t="s">
        <v>162</v>
      </c>
      <c r="E301" s="229" t="s">
        <v>163</v>
      </c>
      <c r="F301" s="229" t="s">
        <v>164</v>
      </c>
      <c r="G301" s="229" t="s">
        <v>166</v>
      </c>
      <c r="H301" s="229" t="s">
        <v>165</v>
      </c>
    </row>
    <row r="302" spans="3:8" ht="50.5" thickBot="1">
      <c r="C302" s="225" t="s">
        <v>146</v>
      </c>
      <c r="D302" s="225" t="s">
        <v>147</v>
      </c>
      <c r="E302" s="225" t="s">
        <v>148</v>
      </c>
      <c r="F302" s="225" t="s">
        <v>149</v>
      </c>
      <c r="G302" s="226">
        <v>247</v>
      </c>
      <c r="H302" s="226">
        <f>2*6*52*G302</f>
        <v>154128</v>
      </c>
    </row>
    <row r="303" spans="3:8" ht="25.5" thickBot="1">
      <c r="C303" s="227" t="s">
        <v>150</v>
      </c>
      <c r="D303" s="227" t="s">
        <v>151</v>
      </c>
      <c r="E303" s="227" t="s">
        <v>148</v>
      </c>
      <c r="F303" s="227" t="s">
        <v>152</v>
      </c>
      <c r="G303" s="228">
        <v>317</v>
      </c>
      <c r="H303" s="228">
        <f>2*G303*2*52</f>
        <v>65936</v>
      </c>
    </row>
    <row r="304" spans="3:8" ht="125.5" thickBot="1">
      <c r="C304" s="225" t="s">
        <v>153</v>
      </c>
      <c r="D304" s="225" t="s">
        <v>154</v>
      </c>
      <c r="E304" s="225" t="s">
        <v>155</v>
      </c>
      <c r="F304" s="225" t="s">
        <v>156</v>
      </c>
      <c r="G304" s="226">
        <v>312</v>
      </c>
      <c r="H304" s="226">
        <f>2*G304*3*52</f>
        <v>97344</v>
      </c>
    </row>
    <row r="305" spans="3:8" ht="100.5" thickBot="1">
      <c r="C305" s="227" t="s">
        <v>157</v>
      </c>
      <c r="D305" s="227" t="s">
        <v>158</v>
      </c>
      <c r="E305" s="227" t="s">
        <v>159</v>
      </c>
      <c r="F305" s="227" t="s">
        <v>160</v>
      </c>
      <c r="G305" s="228">
        <v>64.2</v>
      </c>
      <c r="H305" s="228">
        <f>2*G305*35*52</f>
        <v>233688</v>
      </c>
    </row>
    <row r="306" spans="3:8">
      <c r="C306" t="s">
        <v>685</v>
      </c>
    </row>
    <row r="308" spans="3:8">
      <c r="C308" s="376" t="s">
        <v>690</v>
      </c>
      <c r="D308" s="376"/>
      <c r="E308" s="376" t="s">
        <v>691</v>
      </c>
      <c r="F308" s="376"/>
    </row>
    <row r="309" spans="3:8">
      <c r="C309" t="s">
        <v>22</v>
      </c>
      <c r="D309" t="s">
        <v>692</v>
      </c>
      <c r="E309" t="s">
        <v>23</v>
      </c>
      <c r="F309" t="s">
        <v>692</v>
      </c>
      <c r="G309" s="108" t="s">
        <v>693</v>
      </c>
    </row>
    <row r="310" spans="3:8">
      <c r="C310" t="s">
        <v>686</v>
      </c>
      <c r="D310" t="s">
        <v>364</v>
      </c>
      <c r="E310" t="s">
        <v>687</v>
      </c>
      <c r="F310" t="s">
        <v>345</v>
      </c>
      <c r="G310" s="33">
        <v>6</v>
      </c>
    </row>
    <row r="311" spans="3:8">
      <c r="C311" t="s">
        <v>686</v>
      </c>
      <c r="D311" t="s">
        <v>364</v>
      </c>
      <c r="E311" t="s">
        <v>688</v>
      </c>
      <c r="F311" t="s">
        <v>361</v>
      </c>
      <c r="G311">
        <v>2</v>
      </c>
    </row>
    <row r="312" spans="3:8">
      <c r="C312" t="s">
        <v>686</v>
      </c>
      <c r="D312" t="s">
        <v>364</v>
      </c>
      <c r="E312" t="s">
        <v>361</v>
      </c>
      <c r="F312" t="s">
        <v>361</v>
      </c>
      <c r="G312">
        <v>3</v>
      </c>
    </row>
    <row r="313" spans="3:8">
      <c r="C313" t="s">
        <v>689</v>
      </c>
      <c r="D313" t="s">
        <v>351</v>
      </c>
      <c r="E313" t="s">
        <v>687</v>
      </c>
      <c r="F313" t="s">
        <v>345</v>
      </c>
      <c r="G313">
        <v>3</v>
      </c>
    </row>
    <row r="315" spans="3:8">
      <c r="C315" s="3" t="s">
        <v>364</v>
      </c>
      <c r="D315" s="3" t="s">
        <v>345</v>
      </c>
      <c r="E315" s="3" t="s">
        <v>361</v>
      </c>
      <c r="F315" s="3" t="s">
        <v>351</v>
      </c>
      <c r="G315" s="3" t="s">
        <v>694</v>
      </c>
    </row>
    <row r="316" spans="3:8">
      <c r="C316" s="3">
        <f>SUM(G310:G312)/2</f>
        <v>5.5</v>
      </c>
      <c r="D316" s="3">
        <f>0.5*(G310+G313)</f>
        <v>4.5</v>
      </c>
      <c r="E316" s="3">
        <f>0.5*(G311+G312)</f>
        <v>2.5</v>
      </c>
      <c r="F316" s="3">
        <f>G313/2</f>
        <v>1.5</v>
      </c>
      <c r="G316" s="3">
        <f>SUM(C316:F316)</f>
        <v>14</v>
      </c>
    </row>
    <row r="317" spans="3:8">
      <c r="C317" s="224">
        <f>C316/$G$316</f>
        <v>0.39285714285714285</v>
      </c>
      <c r="D317" s="224">
        <f>D316/$G$316</f>
        <v>0.32142857142857145</v>
      </c>
      <c r="E317" s="224">
        <f>E316/$G$316</f>
        <v>0.17857142857142858</v>
      </c>
      <c r="F317" s="224">
        <f>F316/$G$316</f>
        <v>0.10714285714285714</v>
      </c>
      <c r="G317" s="224">
        <f>G316/$G$316</f>
        <v>1</v>
      </c>
    </row>
  </sheetData>
  <mergeCells count="1">
    <mergeCell ref="C244:H244"/>
  </mergeCells>
  <phoneticPr fontId="36" type="noConversion"/>
  <hyperlinks>
    <hyperlink ref="C250" r:id="rId1" display="https://expressway.ie/RouteX1" xr:uid="{12FD7378-5DD9-49BF-9595-647F6AB6C3AC}"/>
    <hyperlink ref="C251" r:id="rId2" display="https://expressway.ie/Route2" xr:uid="{69953ACB-AB5D-4AB7-A8BB-55C1C07F9421}"/>
    <hyperlink ref="C252" r:id="rId3" display="https://expressway.ie/RouteX2" xr:uid="{6D92C70C-4DE4-4C0D-B652-B669974C2FE2}"/>
    <hyperlink ref="C253" r:id="rId4" display="https://expressway.ie/Route4" xr:uid="{70A446C3-587A-40A9-AD08-6BF8F0DB2489}"/>
    <hyperlink ref="C254" r:id="rId5" display="https://expressway.ie/RouteX4" xr:uid="{989A6CC7-C259-4290-8B89-070DD6615161}"/>
    <hyperlink ref="C255" r:id="rId6" display="https://expressway.ie/RouteX8" xr:uid="{81CD38C2-EC07-4C32-9631-34680988DA3D}"/>
    <hyperlink ref="C256" r:id="rId7" display="https://expressway.ie/RouteX12" xr:uid="{A7B5B314-43C1-48AE-8D61-4924224DF45A}"/>
    <hyperlink ref="C257" r:id="rId8" display="https://expressway.ie/Route13" xr:uid="{1138545F-6F8E-4BAD-ABEB-0664CBFBC84B}"/>
    <hyperlink ref="C258" r:id="rId9" display="https://expressway.ie/Route14" xr:uid="{CE9C8616-A621-40A6-8E1B-1351A5983FA6}"/>
    <hyperlink ref="C259" r:id="rId10" display="https://expressway.ie/Route20" xr:uid="{6FD82ABA-E079-49E3-8DB4-C4A49CA7BF91}"/>
    <hyperlink ref="C260" r:id="rId11" display="https://expressway.ie/RouteX20" xr:uid="{F7AAED82-07BB-43A4-B5A1-F2731F84724B}"/>
    <hyperlink ref="C261" r:id="rId12" display="https://expressway.ie/Route22" xr:uid="{F8B20953-D9B3-4305-8BA3-E84560BAAAFC}"/>
    <hyperlink ref="C262" r:id="rId13" display="https://expressway.ie/Route23" xr:uid="{7A5A6303-172D-4FB2-9308-4A569BB4ED98}"/>
    <hyperlink ref="C263" r:id="rId14" display="https://expressway.ie/Route30" xr:uid="{3F898CC9-999E-45E7-984C-80976FEC883E}"/>
    <hyperlink ref="C264" r:id="rId15" display="https://expressway.ie/Route32" xr:uid="{8D1C9885-F846-4C07-964E-458ABDF0A1DA}"/>
    <hyperlink ref="C265" r:id="rId16" display="https://expressway.ie/Route40" xr:uid="{731FFF91-D951-4C13-B0B6-4C538F429E45}"/>
    <hyperlink ref="C266" r:id="rId17" display="https://expressway.ie/Route51" xr:uid="{0282CEF0-B4C5-4B3B-8C07-AB8360F2B798}"/>
    <hyperlink ref="C267" r:id="rId18" display="https://expressway.ie/RouteX51" xr:uid="{AEC06AE5-01CD-41E3-859E-018C00539A22}"/>
    <hyperlink ref="C268" r:id="rId19" display="https://expressway.ie/Route52" xr:uid="{42E7FE3B-E31B-43D0-960E-08E896648F4B}"/>
    <hyperlink ref="C269" r:id="rId20" display="https://expressway.ie/Route55" xr:uid="{3C4B86AA-A0BB-4B89-B5E2-01E99E90F012}"/>
    <hyperlink ref="C270" r:id="rId21" display="https://expressway.ie/Route64" xr:uid="{B2DC063D-F23A-414C-89C2-C442E14F340C}"/>
    <hyperlink ref="C271" r:id="rId22" display="https://expressway.ie/Route100X" xr:uid="{5F8E68E9-B459-40CB-AA04-15978C326663}"/>
  </hyperlinks>
  <pageMargins left="0.7" right="0.7" top="0.75" bottom="0.75" header="0.3" footer="0.3"/>
  <pageSetup orientation="portrait" r:id="rId23"/>
  <ignoredErrors>
    <ignoredError sqref="B58 B60 B70 B74 B76 B80 E19" formula="1"/>
  </ignoredErrors>
  <legacyDrawing r:id="rId2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8DB4-C92B-4A83-9F3E-F3E3F8B7FAF1}">
  <sheetPr codeName="Sheet12"/>
  <dimension ref="B3:AE114"/>
  <sheetViews>
    <sheetView zoomScaleNormal="100" workbookViewId="0">
      <selection activeCell="B49" sqref="B49:E68"/>
    </sheetView>
  </sheetViews>
  <sheetFormatPr defaultRowHeight="14.5"/>
  <cols>
    <col min="2" max="2" width="22.453125" bestFit="1" customWidth="1"/>
    <col min="3" max="4" width="13.7265625" customWidth="1"/>
    <col min="5" max="5" width="16.54296875" bestFit="1" customWidth="1"/>
    <col min="6" max="13" width="9" customWidth="1"/>
    <col min="14" max="14" width="10.81640625" customWidth="1"/>
    <col min="15" max="31" width="9" customWidth="1"/>
  </cols>
  <sheetData>
    <row r="3" spans="2:31" ht="18.5">
      <c r="B3" s="765" t="s">
        <v>789</v>
      </c>
      <c r="C3" s="765"/>
      <c r="D3" s="765"/>
      <c r="E3" s="765"/>
    </row>
    <row r="5" spans="2:31">
      <c r="E5" s="352" t="s">
        <v>901</v>
      </c>
    </row>
    <row r="6" spans="2:31" ht="15" thickBot="1">
      <c r="B6" s="35" t="str">
        <f>B48</f>
        <v>TechName</v>
      </c>
      <c r="C6" s="35" t="str">
        <f t="shared" ref="C6:AE6" si="0">C48</f>
        <v>CommGrp</v>
      </c>
      <c r="D6" s="35" t="str">
        <f t="shared" si="0"/>
        <v>*unit</v>
      </c>
      <c r="E6" s="35" t="str">
        <f t="shared" si="0"/>
        <v>IE</v>
      </c>
      <c r="F6" s="35" t="str">
        <f t="shared" si="0"/>
        <v>IE-CW</v>
      </c>
      <c r="G6" s="35" t="str">
        <f t="shared" si="0"/>
        <v>IE-D</v>
      </c>
      <c r="H6" s="35" t="str">
        <f t="shared" si="0"/>
        <v>IE-KE</v>
      </c>
      <c r="I6" s="35" t="str">
        <f t="shared" si="0"/>
        <v>IE-KK</v>
      </c>
      <c r="J6" s="35" t="str">
        <f t="shared" si="0"/>
        <v>IE-LS</v>
      </c>
      <c r="K6" s="35" t="str">
        <f t="shared" si="0"/>
        <v>IE-LD</v>
      </c>
      <c r="L6" s="35" t="str">
        <f t="shared" si="0"/>
        <v>IE-LH</v>
      </c>
      <c r="M6" s="35" t="str">
        <f t="shared" si="0"/>
        <v>IE-MH</v>
      </c>
      <c r="N6" s="35" t="str">
        <f t="shared" si="0"/>
        <v>IE-OY</v>
      </c>
      <c r="O6" s="35" t="str">
        <f t="shared" si="0"/>
        <v>IE-WH</v>
      </c>
      <c r="P6" s="35" t="str">
        <f t="shared" si="0"/>
        <v>IE-WX</v>
      </c>
      <c r="Q6" s="35" t="str">
        <f t="shared" si="0"/>
        <v>IE-WW</v>
      </c>
      <c r="R6" s="35" t="str">
        <f t="shared" si="0"/>
        <v>IE-CE</v>
      </c>
      <c r="S6" s="35" t="str">
        <f t="shared" si="0"/>
        <v>IE-CO</v>
      </c>
      <c r="T6" s="35" t="str">
        <f t="shared" si="0"/>
        <v>IE-KY</v>
      </c>
      <c r="U6" s="35" t="str">
        <f t="shared" si="0"/>
        <v>IE-LK</v>
      </c>
      <c r="V6" s="35" t="str">
        <f t="shared" si="0"/>
        <v>IE-TA</v>
      </c>
      <c r="W6" s="35" t="str">
        <f t="shared" si="0"/>
        <v>IE-WD</v>
      </c>
      <c r="X6" s="35" t="str">
        <f t="shared" si="0"/>
        <v>IE-G</v>
      </c>
      <c r="Y6" s="35" t="str">
        <f t="shared" si="0"/>
        <v>IE-LM</v>
      </c>
      <c r="Z6" s="35" t="str">
        <f t="shared" si="0"/>
        <v>IE-MO</v>
      </c>
      <c r="AA6" s="35" t="str">
        <f t="shared" si="0"/>
        <v>IE-RN</v>
      </c>
      <c r="AB6" s="35" t="str">
        <f t="shared" si="0"/>
        <v>IE-SO</v>
      </c>
      <c r="AC6" s="35" t="str">
        <f t="shared" si="0"/>
        <v>IE-CN</v>
      </c>
      <c r="AD6" s="35" t="str">
        <f t="shared" si="0"/>
        <v>IE-DL</v>
      </c>
      <c r="AE6" s="35" t="str">
        <f t="shared" si="0"/>
        <v>IE-MN</v>
      </c>
    </row>
    <row r="7" spans="2:31">
      <c r="B7" s="143" t="s">
        <v>699</v>
      </c>
      <c r="C7" s="143"/>
      <c r="D7" s="143"/>
      <c r="E7" s="143"/>
      <c r="F7" s="143"/>
      <c r="G7" s="143"/>
      <c r="H7" s="143"/>
      <c r="I7" s="143"/>
      <c r="J7" s="143"/>
      <c r="K7" s="143"/>
      <c r="L7" s="143"/>
      <c r="M7" s="143"/>
      <c r="N7" s="143"/>
      <c r="O7" s="143"/>
      <c r="P7" s="143"/>
      <c r="Q7" s="143"/>
      <c r="R7" s="143"/>
      <c r="S7" s="143"/>
      <c r="T7" s="143"/>
      <c r="U7" s="143"/>
      <c r="V7" s="143"/>
      <c r="W7" s="143"/>
      <c r="X7" s="143"/>
      <c r="Y7" s="143"/>
      <c r="Z7" s="143"/>
      <c r="AA7" s="143"/>
      <c r="AB7" s="143"/>
      <c r="AC7" s="143"/>
      <c r="AD7" s="143"/>
      <c r="AE7" s="143"/>
    </row>
    <row r="8" spans="2:31">
      <c r="B8" s="78" t="str">
        <f>B50</f>
        <v>T-WLK_WLK</v>
      </c>
      <c r="C8" s="78" t="str">
        <f t="shared" ref="C8:D8" si="1">C50</f>
        <v>DEMO</v>
      </c>
      <c r="D8" s="78" t="str">
        <f t="shared" si="1"/>
        <v>pass/vehicle</v>
      </c>
      <c r="E8" s="159">
        <f>ROUNDUP(E50,2)</f>
        <v>1</v>
      </c>
      <c r="F8" s="159">
        <f t="shared" ref="F8:AE8" si="2">ROUNDUP(F50,2)</f>
        <v>1</v>
      </c>
      <c r="G8" s="159">
        <f t="shared" si="2"/>
        <v>1</v>
      </c>
      <c r="H8" s="159">
        <f t="shared" si="2"/>
        <v>1</v>
      </c>
      <c r="I8" s="159">
        <f t="shared" si="2"/>
        <v>1</v>
      </c>
      <c r="J8" s="159">
        <f t="shared" si="2"/>
        <v>1</v>
      </c>
      <c r="K8" s="159">
        <f t="shared" si="2"/>
        <v>1</v>
      </c>
      <c r="L8" s="159">
        <f t="shared" si="2"/>
        <v>1</v>
      </c>
      <c r="M8" s="159">
        <f t="shared" si="2"/>
        <v>1</v>
      </c>
      <c r="N8" s="159">
        <f t="shared" si="2"/>
        <v>1</v>
      </c>
      <c r="O8" s="159">
        <f t="shared" si="2"/>
        <v>1</v>
      </c>
      <c r="P8" s="159">
        <f t="shared" si="2"/>
        <v>1</v>
      </c>
      <c r="Q8" s="159">
        <f t="shared" si="2"/>
        <v>1</v>
      </c>
      <c r="R8" s="159">
        <f t="shared" si="2"/>
        <v>1</v>
      </c>
      <c r="S8" s="159">
        <f t="shared" si="2"/>
        <v>1</v>
      </c>
      <c r="T8" s="159">
        <f t="shared" si="2"/>
        <v>1</v>
      </c>
      <c r="U8" s="159">
        <f t="shared" si="2"/>
        <v>1</v>
      </c>
      <c r="V8" s="159">
        <f t="shared" si="2"/>
        <v>1</v>
      </c>
      <c r="W8" s="159">
        <f t="shared" si="2"/>
        <v>1</v>
      </c>
      <c r="X8" s="159">
        <f t="shared" si="2"/>
        <v>1</v>
      </c>
      <c r="Y8" s="159">
        <f t="shared" si="2"/>
        <v>1</v>
      </c>
      <c r="Z8" s="159">
        <f t="shared" si="2"/>
        <v>1</v>
      </c>
      <c r="AA8" s="159">
        <f t="shared" si="2"/>
        <v>1</v>
      </c>
      <c r="AB8" s="159">
        <f t="shared" si="2"/>
        <v>1</v>
      </c>
      <c r="AC8" s="159">
        <f t="shared" si="2"/>
        <v>1</v>
      </c>
      <c r="AD8" s="159">
        <f t="shared" si="2"/>
        <v>1</v>
      </c>
      <c r="AE8" s="159">
        <f t="shared" si="2"/>
        <v>1</v>
      </c>
    </row>
    <row r="9" spans="2:31">
      <c r="B9" s="78" t="str">
        <f t="shared" ref="B9:D9" si="3">B51</f>
        <v>T-CYC_CYC</v>
      </c>
      <c r="C9" s="78" t="str">
        <f t="shared" si="3"/>
        <v>DEMO</v>
      </c>
      <c r="D9" s="78" t="str">
        <f t="shared" si="3"/>
        <v>pass/vehicle</v>
      </c>
      <c r="E9" s="159">
        <f>ROUNDUP(E51,2)</f>
        <v>1</v>
      </c>
      <c r="F9" s="159">
        <f t="shared" ref="F9:AE9" si="4">ROUNDUP(F51,2)</f>
        <v>1</v>
      </c>
      <c r="G9" s="159">
        <f t="shared" si="4"/>
        <v>1</v>
      </c>
      <c r="H9" s="159">
        <f t="shared" si="4"/>
        <v>1</v>
      </c>
      <c r="I9" s="159">
        <f t="shared" si="4"/>
        <v>1</v>
      </c>
      <c r="J9" s="159">
        <f t="shared" si="4"/>
        <v>1</v>
      </c>
      <c r="K9" s="159">
        <f t="shared" si="4"/>
        <v>1</v>
      </c>
      <c r="L9" s="159">
        <f t="shared" si="4"/>
        <v>1</v>
      </c>
      <c r="M9" s="159">
        <f t="shared" si="4"/>
        <v>1</v>
      </c>
      <c r="N9" s="159">
        <f t="shared" si="4"/>
        <v>1</v>
      </c>
      <c r="O9" s="159">
        <f t="shared" si="4"/>
        <v>1</v>
      </c>
      <c r="P9" s="159">
        <f t="shared" si="4"/>
        <v>1</v>
      </c>
      <c r="Q9" s="159">
        <f t="shared" si="4"/>
        <v>1</v>
      </c>
      <c r="R9" s="159">
        <f t="shared" si="4"/>
        <v>1</v>
      </c>
      <c r="S9" s="159">
        <f t="shared" si="4"/>
        <v>1</v>
      </c>
      <c r="T9" s="159">
        <f t="shared" si="4"/>
        <v>1</v>
      </c>
      <c r="U9" s="159">
        <f t="shared" si="4"/>
        <v>1</v>
      </c>
      <c r="V9" s="159">
        <f t="shared" si="4"/>
        <v>1</v>
      </c>
      <c r="W9" s="159">
        <f t="shared" si="4"/>
        <v>1</v>
      </c>
      <c r="X9" s="159">
        <f t="shared" si="4"/>
        <v>1</v>
      </c>
      <c r="Y9" s="159">
        <f t="shared" si="4"/>
        <v>1</v>
      </c>
      <c r="Z9" s="159">
        <f t="shared" si="4"/>
        <v>1</v>
      </c>
      <c r="AA9" s="159">
        <f t="shared" si="4"/>
        <v>1</v>
      </c>
      <c r="AB9" s="159">
        <f t="shared" si="4"/>
        <v>1</v>
      </c>
      <c r="AC9" s="159">
        <f t="shared" si="4"/>
        <v>1</v>
      </c>
      <c r="AD9" s="159">
        <f t="shared" si="4"/>
        <v>1</v>
      </c>
      <c r="AE9" s="159">
        <f t="shared" si="4"/>
        <v>1</v>
      </c>
    </row>
    <row r="10" spans="2:31">
      <c r="B10" s="78" t="str">
        <f t="shared" ref="B10:D10" si="5">B52</f>
        <v>T-MOT-ICE_GSL00</v>
      </c>
      <c r="C10" s="78" t="str">
        <f t="shared" si="5"/>
        <v>DEMO</v>
      </c>
      <c r="D10" s="78" t="str">
        <f t="shared" si="5"/>
        <v>pass/vehicle</v>
      </c>
      <c r="E10" s="159">
        <f>ROUNDUP(IF(Stock!AJ119&gt;1,Stock!AJ119,1),2)</f>
        <v>1.1100000000000001</v>
      </c>
      <c r="F10" s="159">
        <f>ROUNDUP(IF(Stock!AK119&gt;1,Stock!AK119,1),2)</f>
        <v>1</v>
      </c>
      <c r="G10" s="159">
        <f>ROUNDUP(IF(Stock!AL119&gt;1,Stock!AL119,1),2)</f>
        <v>1.06</v>
      </c>
      <c r="H10" s="159">
        <f>ROUNDUP(IF(Stock!AM119&gt;1,Stock!AM119,1),2)</f>
        <v>1.23</v>
      </c>
      <c r="I10" s="159">
        <f>ROUNDUP(IF(Stock!AN119&gt;1,Stock!AN119,1),2)</f>
        <v>1</v>
      </c>
      <c r="J10" s="159">
        <f>ROUNDUP(IF(Stock!AO119&gt;1,Stock!AO119,1),2)</f>
        <v>1</v>
      </c>
      <c r="K10" s="159">
        <f>ROUNDUP(IF(Stock!AP119&gt;1,Stock!AP119,1),2)</f>
        <v>1.94</v>
      </c>
      <c r="L10" s="159">
        <f>ROUNDUP(IF(Stock!AQ119&gt;1,Stock!AQ119,1),2)</f>
        <v>1</v>
      </c>
      <c r="M10" s="159">
        <f>ROUNDUP(IF(Stock!AR119&gt;1,Stock!AR119,1),2)</f>
        <v>1.2</v>
      </c>
      <c r="N10" s="159">
        <f>ROUNDUP(IF(Stock!AS119&gt;1,Stock!AS119,1),2)</f>
        <v>1.24</v>
      </c>
      <c r="O10" s="159">
        <f>ROUNDUP(IF(Stock!AT119&gt;1,Stock!AT119,1),2)</f>
        <v>1.35</v>
      </c>
      <c r="P10" s="159">
        <f>ROUNDUP(IF(Stock!AU119&gt;1,Stock!AU119,1),2)</f>
        <v>1.1000000000000001</v>
      </c>
      <c r="Q10" s="159">
        <f>ROUNDUP(IF(Stock!AV119&gt;1,Stock!AV119,1),2)</f>
        <v>1.05</v>
      </c>
      <c r="R10" s="159">
        <f>ROUNDUP(IF(Stock!AW119&gt;1,Stock!AW119,1),2)</f>
        <v>1.32</v>
      </c>
      <c r="S10" s="159">
        <f>ROUNDUP(IF(Stock!AX119&gt;1,Stock!AX119,1),2)</f>
        <v>1.1300000000000001</v>
      </c>
      <c r="T10" s="159">
        <f>ROUNDUP(IF(Stock!AY119&gt;1,Stock!AY119,1),2)</f>
        <v>1.1599999999999999</v>
      </c>
      <c r="U10" s="159">
        <f>ROUNDUP(IF(Stock!AZ119&gt;1,Stock!AZ119,1),2)</f>
        <v>1.1000000000000001</v>
      </c>
      <c r="V10" s="159">
        <f>ROUNDUP(IF(Stock!BA119&gt;1,Stock!BA119,1),2)</f>
        <v>1.1599999999999999</v>
      </c>
      <c r="W10" s="159">
        <f>ROUNDUP(IF(Stock!BB119&gt;1,Stock!BB119,1),2)</f>
        <v>1</v>
      </c>
      <c r="X10" s="159">
        <f>ROUNDUP(IF(Stock!BC119&gt;1,Stock!BC119,1),2)</f>
        <v>1.1200000000000001</v>
      </c>
      <c r="Y10" s="159">
        <f>ROUNDUP(IF(Stock!BD119&gt;1,Stock!BD119,1),2)</f>
        <v>2.5299999999999998</v>
      </c>
      <c r="Z10" s="159">
        <f>ROUNDUP(IF(Stock!BE119&gt;1,Stock!BE119,1),2)</f>
        <v>1.34</v>
      </c>
      <c r="AA10" s="159">
        <f>ROUNDUP(IF(Stock!BF119&gt;1,Stock!BF119,1),2)</f>
        <v>1.37</v>
      </c>
      <c r="AB10" s="159">
        <f>ROUNDUP(IF(Stock!BG119&gt;1,Stock!BG119,1),2)</f>
        <v>1.04</v>
      </c>
      <c r="AC10" s="159">
        <f>ROUNDUP(IF(Stock!BH119&gt;1,Stock!BH119,1),2)</f>
        <v>1</v>
      </c>
      <c r="AD10" s="159">
        <f>ROUNDUP(IF(Stock!BI119&gt;1,Stock!BI119,1),2)</f>
        <v>1.08</v>
      </c>
      <c r="AE10" s="159">
        <f>ROUNDUP(IF(Stock!BJ119&gt;1,Stock!BJ119,1),2)</f>
        <v>1.32</v>
      </c>
    </row>
    <row r="11" spans="2:31">
      <c r="B11" s="78" t="str">
        <f t="shared" ref="B11:D11" si="6">B53</f>
        <v>T-CAR-ICE_GSL00</v>
      </c>
      <c r="C11" s="78" t="str">
        <f t="shared" si="6"/>
        <v>DEMO</v>
      </c>
      <c r="D11" s="78" t="str">
        <f t="shared" si="6"/>
        <v>pass/vehicle</v>
      </c>
      <c r="E11" s="159">
        <f>ROUNDUP(Stock!AJ120,2)</f>
        <v>1.49</v>
      </c>
      <c r="F11" s="159">
        <f>ROUNDUP(Stock!AK120,2)</f>
        <v>1.5</v>
      </c>
      <c r="G11" s="159">
        <f>ROUNDUP(Stock!AL120,2)</f>
        <v>1.53</v>
      </c>
      <c r="H11" s="159">
        <f>ROUNDUP(Stock!AM120,2)</f>
        <v>1.51</v>
      </c>
      <c r="I11" s="159">
        <f>ROUNDUP(Stock!AN120,2)</f>
        <v>1.46</v>
      </c>
      <c r="J11" s="159">
        <f>ROUNDUP(Stock!AO120,2)</f>
        <v>1.49</v>
      </c>
      <c r="K11" s="159">
        <f>ROUNDUP(Stock!AP120,2)</f>
        <v>1.43</v>
      </c>
      <c r="L11" s="159">
        <f>ROUNDUP(Stock!AQ120,2)</f>
        <v>1.51</v>
      </c>
      <c r="M11" s="159">
        <f>ROUNDUP(Stock!AR120,2)</f>
        <v>1.51</v>
      </c>
      <c r="N11" s="159">
        <f>ROUNDUP(Stock!AS120,2)</f>
        <v>1.5</v>
      </c>
      <c r="O11" s="159">
        <f>ROUNDUP(Stock!AT120,2)</f>
        <v>1.49</v>
      </c>
      <c r="P11" s="159">
        <f>ROUNDUP(Stock!AU120,2)</f>
        <v>1.5</v>
      </c>
      <c r="Q11" s="159">
        <f>ROUNDUP(Stock!AV120,2)</f>
        <v>1.5</v>
      </c>
      <c r="R11" s="159">
        <f>ROUNDUP(Stock!AW120,2)</f>
        <v>1.5</v>
      </c>
      <c r="S11" s="159">
        <f>ROUNDUP(Stock!AX120,2)</f>
        <v>1.49</v>
      </c>
      <c r="T11" s="159">
        <f>ROUNDUP(Stock!AY120,2)</f>
        <v>1.48</v>
      </c>
      <c r="U11" s="159">
        <f>ROUNDUP(Stock!AZ120,2)</f>
        <v>1.51</v>
      </c>
      <c r="V11" s="159">
        <f>ROUNDUP(Stock!BA120,2)</f>
        <v>1.5</v>
      </c>
      <c r="W11" s="159">
        <f>ROUNDUP(Stock!BB120,2)</f>
        <v>1.49</v>
      </c>
      <c r="X11" s="159">
        <f>ROUNDUP(Stock!BC120,2)</f>
        <v>1.35</v>
      </c>
      <c r="Y11" s="159">
        <f>ROUNDUP(Stock!BD120,2)</f>
        <v>1.47</v>
      </c>
      <c r="Z11" s="159">
        <f>ROUNDUP(Stock!BE120,2)</f>
        <v>1.49</v>
      </c>
      <c r="AA11" s="159">
        <f>ROUNDUP(Stock!BF120,2)</f>
        <v>1.49</v>
      </c>
      <c r="AB11" s="159">
        <f>ROUNDUP(Stock!BG120,2)</f>
        <v>1.5</v>
      </c>
      <c r="AC11" s="159">
        <f>ROUNDUP(Stock!BH120,2)</f>
        <v>1.5</v>
      </c>
      <c r="AD11" s="159">
        <f>ROUNDUP(Stock!BI120,2)</f>
        <v>1.5</v>
      </c>
      <c r="AE11" s="159">
        <f>ROUNDUP(Stock!BJ120,2)</f>
        <v>1.44</v>
      </c>
    </row>
    <row r="12" spans="2:31">
      <c r="B12" s="78" t="str">
        <f t="shared" ref="B12:D12" si="7">B54</f>
        <v>T-CAR-ICE_DST00</v>
      </c>
      <c r="C12" s="78" t="str">
        <f t="shared" si="7"/>
        <v>DEMO</v>
      </c>
      <c r="D12" s="78" t="str">
        <f t="shared" si="7"/>
        <v>pass/vehicle</v>
      </c>
      <c r="E12" s="159">
        <f>ROUNDUP(E11,2)</f>
        <v>1.49</v>
      </c>
      <c r="F12" s="159">
        <f t="shared" ref="F12:AE19" si="8">ROUNDUP(F11,2)</f>
        <v>1.5</v>
      </c>
      <c r="G12" s="159">
        <f t="shared" si="8"/>
        <v>1.53</v>
      </c>
      <c r="H12" s="159">
        <f t="shared" si="8"/>
        <v>1.51</v>
      </c>
      <c r="I12" s="159">
        <f t="shared" si="8"/>
        <v>1.46</v>
      </c>
      <c r="J12" s="159">
        <f t="shared" si="8"/>
        <v>1.49</v>
      </c>
      <c r="K12" s="159">
        <f t="shared" si="8"/>
        <v>1.43</v>
      </c>
      <c r="L12" s="159">
        <f t="shared" si="8"/>
        <v>1.51</v>
      </c>
      <c r="M12" s="159">
        <f t="shared" si="8"/>
        <v>1.51</v>
      </c>
      <c r="N12" s="159">
        <f t="shared" si="8"/>
        <v>1.5</v>
      </c>
      <c r="O12" s="159">
        <f t="shared" si="8"/>
        <v>1.49</v>
      </c>
      <c r="P12" s="159">
        <f t="shared" si="8"/>
        <v>1.5</v>
      </c>
      <c r="Q12" s="159">
        <f t="shared" si="8"/>
        <v>1.5</v>
      </c>
      <c r="R12" s="159">
        <f t="shared" si="8"/>
        <v>1.5</v>
      </c>
      <c r="S12" s="159">
        <f t="shared" si="8"/>
        <v>1.49</v>
      </c>
      <c r="T12" s="159">
        <f t="shared" si="8"/>
        <v>1.48</v>
      </c>
      <c r="U12" s="159">
        <f t="shared" si="8"/>
        <v>1.51</v>
      </c>
      <c r="V12" s="159">
        <f t="shared" si="8"/>
        <v>1.5</v>
      </c>
      <c r="W12" s="159">
        <f t="shared" si="8"/>
        <v>1.49</v>
      </c>
      <c r="X12" s="159">
        <f t="shared" si="8"/>
        <v>1.35</v>
      </c>
      <c r="Y12" s="159">
        <f t="shared" si="8"/>
        <v>1.47</v>
      </c>
      <c r="Z12" s="159">
        <f t="shared" si="8"/>
        <v>1.49</v>
      </c>
      <c r="AA12" s="159">
        <f t="shared" si="8"/>
        <v>1.49</v>
      </c>
      <c r="AB12" s="159">
        <f t="shared" si="8"/>
        <v>1.5</v>
      </c>
      <c r="AC12" s="159">
        <f t="shared" si="8"/>
        <v>1.5</v>
      </c>
      <c r="AD12" s="159">
        <f t="shared" si="8"/>
        <v>1.5</v>
      </c>
      <c r="AE12" s="159">
        <f t="shared" si="8"/>
        <v>1.44</v>
      </c>
    </row>
    <row r="13" spans="2:31">
      <c r="B13" s="78" t="str">
        <f t="shared" ref="B13:D13" si="9">B55</f>
        <v>T-CAR-ICE_DF00</v>
      </c>
      <c r="C13" s="78" t="str">
        <f t="shared" si="9"/>
        <v>DEMO</v>
      </c>
      <c r="D13" s="78" t="str">
        <f t="shared" si="9"/>
        <v>pass/vehicle</v>
      </c>
      <c r="E13" s="159">
        <f t="shared" ref="E13:E19" si="10">ROUNDUP(E12,2)</f>
        <v>1.49</v>
      </c>
      <c r="F13" s="159">
        <f t="shared" si="8"/>
        <v>1.5</v>
      </c>
      <c r="G13" s="159">
        <f t="shared" si="8"/>
        <v>1.53</v>
      </c>
      <c r="H13" s="159">
        <f t="shared" si="8"/>
        <v>1.51</v>
      </c>
      <c r="I13" s="159">
        <f t="shared" si="8"/>
        <v>1.46</v>
      </c>
      <c r="J13" s="159">
        <f t="shared" si="8"/>
        <v>1.49</v>
      </c>
      <c r="K13" s="159">
        <f t="shared" si="8"/>
        <v>1.43</v>
      </c>
      <c r="L13" s="159">
        <f t="shared" si="8"/>
        <v>1.51</v>
      </c>
      <c r="M13" s="159">
        <f t="shared" si="8"/>
        <v>1.51</v>
      </c>
      <c r="N13" s="159">
        <f t="shared" si="8"/>
        <v>1.5</v>
      </c>
      <c r="O13" s="159">
        <f t="shared" si="8"/>
        <v>1.49</v>
      </c>
      <c r="P13" s="159">
        <f t="shared" si="8"/>
        <v>1.5</v>
      </c>
      <c r="Q13" s="159">
        <f t="shared" si="8"/>
        <v>1.5</v>
      </c>
      <c r="R13" s="159">
        <f t="shared" si="8"/>
        <v>1.5</v>
      </c>
      <c r="S13" s="159">
        <f t="shared" si="8"/>
        <v>1.49</v>
      </c>
      <c r="T13" s="159">
        <f t="shared" si="8"/>
        <v>1.48</v>
      </c>
      <c r="U13" s="159">
        <f t="shared" si="8"/>
        <v>1.51</v>
      </c>
      <c r="V13" s="159">
        <f t="shared" si="8"/>
        <v>1.5</v>
      </c>
      <c r="W13" s="159">
        <f t="shared" si="8"/>
        <v>1.49</v>
      </c>
      <c r="X13" s="159">
        <f t="shared" si="8"/>
        <v>1.35</v>
      </c>
      <c r="Y13" s="159">
        <f t="shared" si="8"/>
        <v>1.47</v>
      </c>
      <c r="Z13" s="159">
        <f t="shared" si="8"/>
        <v>1.49</v>
      </c>
      <c r="AA13" s="159">
        <f t="shared" si="8"/>
        <v>1.49</v>
      </c>
      <c r="AB13" s="159">
        <f t="shared" si="8"/>
        <v>1.5</v>
      </c>
      <c r="AC13" s="159">
        <f t="shared" si="8"/>
        <v>1.5</v>
      </c>
      <c r="AD13" s="159">
        <f t="shared" si="8"/>
        <v>1.5</v>
      </c>
      <c r="AE13" s="159">
        <f t="shared" si="8"/>
        <v>1.44</v>
      </c>
    </row>
    <row r="14" spans="2:31">
      <c r="B14" s="78" t="str">
        <f t="shared" ref="B14:D14" si="11">B56</f>
        <v>T-CAR-ICE_E8500</v>
      </c>
      <c r="C14" s="78" t="str">
        <f t="shared" si="11"/>
        <v>DEMO</v>
      </c>
      <c r="D14" s="78" t="str">
        <f t="shared" si="11"/>
        <v>pass/vehicle</v>
      </c>
      <c r="E14" s="159">
        <f t="shared" si="10"/>
        <v>1.49</v>
      </c>
      <c r="F14" s="159">
        <f t="shared" si="8"/>
        <v>1.5</v>
      </c>
      <c r="G14" s="159">
        <f t="shared" si="8"/>
        <v>1.53</v>
      </c>
      <c r="H14" s="159">
        <f t="shared" si="8"/>
        <v>1.51</v>
      </c>
      <c r="I14" s="159">
        <f t="shared" si="8"/>
        <v>1.46</v>
      </c>
      <c r="J14" s="159">
        <f t="shared" si="8"/>
        <v>1.49</v>
      </c>
      <c r="K14" s="159">
        <f t="shared" si="8"/>
        <v>1.43</v>
      </c>
      <c r="L14" s="159">
        <f t="shared" si="8"/>
        <v>1.51</v>
      </c>
      <c r="M14" s="159">
        <f t="shared" si="8"/>
        <v>1.51</v>
      </c>
      <c r="N14" s="159">
        <f t="shared" si="8"/>
        <v>1.5</v>
      </c>
      <c r="O14" s="159">
        <f t="shared" si="8"/>
        <v>1.49</v>
      </c>
      <c r="P14" s="159">
        <f t="shared" si="8"/>
        <v>1.5</v>
      </c>
      <c r="Q14" s="159">
        <f t="shared" si="8"/>
        <v>1.5</v>
      </c>
      <c r="R14" s="159">
        <f t="shared" si="8"/>
        <v>1.5</v>
      </c>
      <c r="S14" s="159">
        <f t="shared" si="8"/>
        <v>1.49</v>
      </c>
      <c r="T14" s="159">
        <f t="shared" si="8"/>
        <v>1.48</v>
      </c>
      <c r="U14" s="159">
        <f t="shared" si="8"/>
        <v>1.51</v>
      </c>
      <c r="V14" s="159">
        <f t="shared" si="8"/>
        <v>1.5</v>
      </c>
      <c r="W14" s="159">
        <f t="shared" si="8"/>
        <v>1.49</v>
      </c>
      <c r="X14" s="159">
        <f t="shared" si="8"/>
        <v>1.35</v>
      </c>
      <c r="Y14" s="159">
        <f t="shared" si="8"/>
        <v>1.47</v>
      </c>
      <c r="Z14" s="159">
        <f t="shared" si="8"/>
        <v>1.49</v>
      </c>
      <c r="AA14" s="159">
        <f t="shared" si="8"/>
        <v>1.49</v>
      </c>
      <c r="AB14" s="159">
        <f t="shared" si="8"/>
        <v>1.5</v>
      </c>
      <c r="AC14" s="159">
        <f t="shared" si="8"/>
        <v>1.5</v>
      </c>
      <c r="AD14" s="159">
        <f t="shared" si="8"/>
        <v>1.5</v>
      </c>
      <c r="AE14" s="159">
        <f t="shared" si="8"/>
        <v>1.44</v>
      </c>
    </row>
    <row r="15" spans="2:31">
      <c r="B15" s="78" t="str">
        <f t="shared" ref="B15:D15" si="12">B57</f>
        <v>T-CAR-HEV_GSL00</v>
      </c>
      <c r="C15" s="78" t="str">
        <f t="shared" si="12"/>
        <v>DEMO</v>
      </c>
      <c r="D15" s="78" t="str">
        <f t="shared" si="12"/>
        <v>pass/vehicle</v>
      </c>
      <c r="E15" s="159">
        <f t="shared" si="10"/>
        <v>1.49</v>
      </c>
      <c r="F15" s="159">
        <f t="shared" si="8"/>
        <v>1.5</v>
      </c>
      <c r="G15" s="159">
        <f t="shared" si="8"/>
        <v>1.53</v>
      </c>
      <c r="H15" s="159">
        <f t="shared" si="8"/>
        <v>1.51</v>
      </c>
      <c r="I15" s="159">
        <f t="shared" si="8"/>
        <v>1.46</v>
      </c>
      <c r="J15" s="159">
        <f t="shared" si="8"/>
        <v>1.49</v>
      </c>
      <c r="K15" s="159">
        <f t="shared" si="8"/>
        <v>1.43</v>
      </c>
      <c r="L15" s="159">
        <f t="shared" si="8"/>
        <v>1.51</v>
      </c>
      <c r="M15" s="159">
        <f t="shared" si="8"/>
        <v>1.51</v>
      </c>
      <c r="N15" s="159">
        <f t="shared" si="8"/>
        <v>1.5</v>
      </c>
      <c r="O15" s="159">
        <f t="shared" si="8"/>
        <v>1.49</v>
      </c>
      <c r="P15" s="159">
        <f t="shared" si="8"/>
        <v>1.5</v>
      </c>
      <c r="Q15" s="159">
        <f t="shared" si="8"/>
        <v>1.5</v>
      </c>
      <c r="R15" s="159">
        <f t="shared" si="8"/>
        <v>1.5</v>
      </c>
      <c r="S15" s="159">
        <f t="shared" si="8"/>
        <v>1.49</v>
      </c>
      <c r="T15" s="159">
        <f t="shared" si="8"/>
        <v>1.48</v>
      </c>
      <c r="U15" s="159">
        <f t="shared" si="8"/>
        <v>1.51</v>
      </c>
      <c r="V15" s="159">
        <f t="shared" si="8"/>
        <v>1.5</v>
      </c>
      <c r="W15" s="159">
        <f t="shared" si="8"/>
        <v>1.49</v>
      </c>
      <c r="X15" s="159">
        <f t="shared" si="8"/>
        <v>1.35</v>
      </c>
      <c r="Y15" s="159">
        <f t="shared" si="8"/>
        <v>1.47</v>
      </c>
      <c r="Z15" s="159">
        <f t="shared" si="8"/>
        <v>1.49</v>
      </c>
      <c r="AA15" s="159">
        <f t="shared" si="8"/>
        <v>1.49</v>
      </c>
      <c r="AB15" s="159">
        <f t="shared" si="8"/>
        <v>1.5</v>
      </c>
      <c r="AC15" s="159">
        <f t="shared" si="8"/>
        <v>1.5</v>
      </c>
      <c r="AD15" s="159">
        <f t="shared" si="8"/>
        <v>1.5</v>
      </c>
      <c r="AE15" s="159">
        <f t="shared" si="8"/>
        <v>1.44</v>
      </c>
    </row>
    <row r="16" spans="2:31">
      <c r="B16" s="78" t="str">
        <f t="shared" ref="B16:D16" si="13">B58</f>
        <v>T-CAR-HEV_DST00</v>
      </c>
      <c r="C16" s="78" t="str">
        <f t="shared" si="13"/>
        <v>DEMO</v>
      </c>
      <c r="D16" s="78" t="str">
        <f t="shared" si="13"/>
        <v>pass/vehicle</v>
      </c>
      <c r="E16" s="159">
        <f t="shared" si="10"/>
        <v>1.49</v>
      </c>
      <c r="F16" s="159">
        <f t="shared" si="8"/>
        <v>1.5</v>
      </c>
      <c r="G16" s="159">
        <f t="shared" si="8"/>
        <v>1.53</v>
      </c>
      <c r="H16" s="159">
        <f t="shared" si="8"/>
        <v>1.51</v>
      </c>
      <c r="I16" s="159">
        <f t="shared" si="8"/>
        <v>1.46</v>
      </c>
      <c r="J16" s="159">
        <f t="shared" si="8"/>
        <v>1.49</v>
      </c>
      <c r="K16" s="159">
        <f t="shared" si="8"/>
        <v>1.43</v>
      </c>
      <c r="L16" s="159">
        <f t="shared" si="8"/>
        <v>1.51</v>
      </c>
      <c r="M16" s="159">
        <f t="shared" si="8"/>
        <v>1.51</v>
      </c>
      <c r="N16" s="159">
        <f t="shared" si="8"/>
        <v>1.5</v>
      </c>
      <c r="O16" s="159">
        <f t="shared" si="8"/>
        <v>1.49</v>
      </c>
      <c r="P16" s="159">
        <f t="shared" si="8"/>
        <v>1.5</v>
      </c>
      <c r="Q16" s="159">
        <f t="shared" si="8"/>
        <v>1.5</v>
      </c>
      <c r="R16" s="159">
        <f t="shared" si="8"/>
        <v>1.5</v>
      </c>
      <c r="S16" s="159">
        <f t="shared" si="8"/>
        <v>1.49</v>
      </c>
      <c r="T16" s="159">
        <f t="shared" si="8"/>
        <v>1.48</v>
      </c>
      <c r="U16" s="159">
        <f t="shared" si="8"/>
        <v>1.51</v>
      </c>
      <c r="V16" s="159">
        <f t="shared" si="8"/>
        <v>1.5</v>
      </c>
      <c r="W16" s="159">
        <f t="shared" si="8"/>
        <v>1.49</v>
      </c>
      <c r="X16" s="159">
        <f t="shared" si="8"/>
        <v>1.35</v>
      </c>
      <c r="Y16" s="159">
        <f t="shared" si="8"/>
        <v>1.47</v>
      </c>
      <c r="Z16" s="159">
        <f t="shared" si="8"/>
        <v>1.49</v>
      </c>
      <c r="AA16" s="159">
        <f t="shared" si="8"/>
        <v>1.49</v>
      </c>
      <c r="AB16" s="159">
        <f t="shared" si="8"/>
        <v>1.5</v>
      </c>
      <c r="AC16" s="159">
        <f t="shared" si="8"/>
        <v>1.5</v>
      </c>
      <c r="AD16" s="159">
        <f t="shared" si="8"/>
        <v>1.5</v>
      </c>
      <c r="AE16" s="159">
        <f t="shared" si="8"/>
        <v>1.44</v>
      </c>
    </row>
    <row r="17" spans="2:31">
      <c r="B17" s="78" t="str">
        <f t="shared" ref="B17:D17" si="14">B59</f>
        <v>T-CAR-PHEV_GSL00</v>
      </c>
      <c r="C17" s="78" t="str">
        <f t="shared" si="14"/>
        <v>DEMO</v>
      </c>
      <c r="D17" s="78" t="str">
        <f t="shared" si="14"/>
        <v>pass/vehicle</v>
      </c>
      <c r="E17" s="159">
        <f t="shared" si="10"/>
        <v>1.49</v>
      </c>
      <c r="F17" s="159">
        <f t="shared" si="8"/>
        <v>1.5</v>
      </c>
      <c r="G17" s="159">
        <f t="shared" si="8"/>
        <v>1.53</v>
      </c>
      <c r="H17" s="159">
        <f t="shared" si="8"/>
        <v>1.51</v>
      </c>
      <c r="I17" s="159">
        <f t="shared" si="8"/>
        <v>1.46</v>
      </c>
      <c r="J17" s="159">
        <f t="shared" si="8"/>
        <v>1.49</v>
      </c>
      <c r="K17" s="159">
        <f t="shared" si="8"/>
        <v>1.43</v>
      </c>
      <c r="L17" s="159">
        <f t="shared" si="8"/>
        <v>1.51</v>
      </c>
      <c r="M17" s="159">
        <f t="shared" si="8"/>
        <v>1.51</v>
      </c>
      <c r="N17" s="159">
        <f t="shared" si="8"/>
        <v>1.5</v>
      </c>
      <c r="O17" s="159">
        <f t="shared" si="8"/>
        <v>1.49</v>
      </c>
      <c r="P17" s="159">
        <f t="shared" si="8"/>
        <v>1.5</v>
      </c>
      <c r="Q17" s="159">
        <f t="shared" si="8"/>
        <v>1.5</v>
      </c>
      <c r="R17" s="159">
        <f t="shared" si="8"/>
        <v>1.5</v>
      </c>
      <c r="S17" s="159">
        <f t="shared" si="8"/>
        <v>1.49</v>
      </c>
      <c r="T17" s="159">
        <f t="shared" si="8"/>
        <v>1.48</v>
      </c>
      <c r="U17" s="159">
        <f t="shared" si="8"/>
        <v>1.51</v>
      </c>
      <c r="V17" s="159">
        <f t="shared" si="8"/>
        <v>1.5</v>
      </c>
      <c r="W17" s="159">
        <f t="shared" si="8"/>
        <v>1.49</v>
      </c>
      <c r="X17" s="159">
        <f t="shared" si="8"/>
        <v>1.35</v>
      </c>
      <c r="Y17" s="159">
        <f t="shared" si="8"/>
        <v>1.47</v>
      </c>
      <c r="Z17" s="159">
        <f t="shared" si="8"/>
        <v>1.49</v>
      </c>
      <c r="AA17" s="159">
        <f t="shared" si="8"/>
        <v>1.49</v>
      </c>
      <c r="AB17" s="159">
        <f t="shared" si="8"/>
        <v>1.5</v>
      </c>
      <c r="AC17" s="159">
        <f t="shared" si="8"/>
        <v>1.5</v>
      </c>
      <c r="AD17" s="159">
        <f t="shared" si="8"/>
        <v>1.5</v>
      </c>
      <c r="AE17" s="159">
        <f t="shared" si="8"/>
        <v>1.44</v>
      </c>
    </row>
    <row r="18" spans="2:31">
      <c r="B18" s="78" t="str">
        <f t="shared" ref="B18:D18" si="15">B60</f>
        <v>T-CAR-PHEV_DST00</v>
      </c>
      <c r="C18" s="78" t="str">
        <f t="shared" si="15"/>
        <v>DEMO</v>
      </c>
      <c r="D18" s="78" t="str">
        <f t="shared" si="15"/>
        <v>pass/vehicle</v>
      </c>
      <c r="E18" s="159">
        <f t="shared" si="10"/>
        <v>1.49</v>
      </c>
      <c r="F18" s="159">
        <f t="shared" si="8"/>
        <v>1.5</v>
      </c>
      <c r="G18" s="159">
        <f t="shared" si="8"/>
        <v>1.53</v>
      </c>
      <c r="H18" s="159">
        <f t="shared" si="8"/>
        <v>1.51</v>
      </c>
      <c r="I18" s="159">
        <f t="shared" si="8"/>
        <v>1.46</v>
      </c>
      <c r="J18" s="159">
        <f t="shared" si="8"/>
        <v>1.49</v>
      </c>
      <c r="K18" s="159">
        <f t="shared" si="8"/>
        <v>1.43</v>
      </c>
      <c r="L18" s="159">
        <f t="shared" si="8"/>
        <v>1.51</v>
      </c>
      <c r="M18" s="159">
        <f t="shared" si="8"/>
        <v>1.51</v>
      </c>
      <c r="N18" s="159">
        <f t="shared" si="8"/>
        <v>1.5</v>
      </c>
      <c r="O18" s="159">
        <f t="shared" si="8"/>
        <v>1.49</v>
      </c>
      <c r="P18" s="159">
        <f t="shared" si="8"/>
        <v>1.5</v>
      </c>
      <c r="Q18" s="159">
        <f t="shared" si="8"/>
        <v>1.5</v>
      </c>
      <c r="R18" s="159">
        <f t="shared" si="8"/>
        <v>1.5</v>
      </c>
      <c r="S18" s="159">
        <f t="shared" si="8"/>
        <v>1.49</v>
      </c>
      <c r="T18" s="159">
        <f t="shared" si="8"/>
        <v>1.48</v>
      </c>
      <c r="U18" s="159">
        <f t="shared" si="8"/>
        <v>1.51</v>
      </c>
      <c r="V18" s="159">
        <f t="shared" si="8"/>
        <v>1.5</v>
      </c>
      <c r="W18" s="159">
        <f t="shared" si="8"/>
        <v>1.49</v>
      </c>
      <c r="X18" s="159">
        <f t="shared" si="8"/>
        <v>1.35</v>
      </c>
      <c r="Y18" s="159">
        <f t="shared" si="8"/>
        <v>1.47</v>
      </c>
      <c r="Z18" s="159">
        <f t="shared" si="8"/>
        <v>1.49</v>
      </c>
      <c r="AA18" s="159">
        <f t="shared" si="8"/>
        <v>1.49</v>
      </c>
      <c r="AB18" s="159">
        <f t="shared" si="8"/>
        <v>1.5</v>
      </c>
      <c r="AC18" s="159">
        <f t="shared" si="8"/>
        <v>1.5</v>
      </c>
      <c r="AD18" s="159">
        <f t="shared" si="8"/>
        <v>1.5</v>
      </c>
      <c r="AE18" s="159">
        <f t="shared" si="8"/>
        <v>1.44</v>
      </c>
    </row>
    <row r="19" spans="2:31">
      <c r="B19" s="78" t="str">
        <f t="shared" ref="B19:D19" si="16">B61</f>
        <v>T-CAR-BEV_ELC00</v>
      </c>
      <c r="C19" s="78" t="str">
        <f t="shared" si="16"/>
        <v>DEMO</v>
      </c>
      <c r="D19" s="78" t="str">
        <f t="shared" si="16"/>
        <v>pass/vehicle</v>
      </c>
      <c r="E19" s="159">
        <f t="shared" si="10"/>
        <v>1.49</v>
      </c>
      <c r="F19" s="159">
        <f t="shared" si="8"/>
        <v>1.5</v>
      </c>
      <c r="G19" s="159">
        <f t="shared" si="8"/>
        <v>1.53</v>
      </c>
      <c r="H19" s="159">
        <f t="shared" si="8"/>
        <v>1.51</v>
      </c>
      <c r="I19" s="159">
        <f t="shared" si="8"/>
        <v>1.46</v>
      </c>
      <c r="J19" s="159">
        <f t="shared" si="8"/>
        <v>1.49</v>
      </c>
      <c r="K19" s="159">
        <f t="shared" si="8"/>
        <v>1.43</v>
      </c>
      <c r="L19" s="159">
        <f t="shared" si="8"/>
        <v>1.51</v>
      </c>
      <c r="M19" s="159">
        <f t="shared" si="8"/>
        <v>1.51</v>
      </c>
      <c r="N19" s="159">
        <f t="shared" si="8"/>
        <v>1.5</v>
      </c>
      <c r="O19" s="159">
        <f t="shared" si="8"/>
        <v>1.49</v>
      </c>
      <c r="P19" s="159">
        <f t="shared" si="8"/>
        <v>1.5</v>
      </c>
      <c r="Q19" s="159">
        <f t="shared" si="8"/>
        <v>1.5</v>
      </c>
      <c r="R19" s="159">
        <f t="shared" si="8"/>
        <v>1.5</v>
      </c>
      <c r="S19" s="159">
        <f t="shared" si="8"/>
        <v>1.49</v>
      </c>
      <c r="T19" s="159">
        <f t="shared" si="8"/>
        <v>1.48</v>
      </c>
      <c r="U19" s="159">
        <f t="shared" si="8"/>
        <v>1.51</v>
      </c>
      <c r="V19" s="159">
        <f t="shared" si="8"/>
        <v>1.5</v>
      </c>
      <c r="W19" s="159">
        <f t="shared" si="8"/>
        <v>1.49</v>
      </c>
      <c r="X19" s="159">
        <f t="shared" si="8"/>
        <v>1.35</v>
      </c>
      <c r="Y19" s="159">
        <f t="shared" si="8"/>
        <v>1.47</v>
      </c>
      <c r="Z19" s="159">
        <f t="shared" si="8"/>
        <v>1.49</v>
      </c>
      <c r="AA19" s="159">
        <f t="shared" si="8"/>
        <v>1.49</v>
      </c>
      <c r="AB19" s="159">
        <f t="shared" si="8"/>
        <v>1.5</v>
      </c>
      <c r="AC19" s="159">
        <f t="shared" si="8"/>
        <v>1.5</v>
      </c>
      <c r="AD19" s="159">
        <f t="shared" si="8"/>
        <v>1.5</v>
      </c>
      <c r="AE19" s="159">
        <f t="shared" si="8"/>
        <v>1.44</v>
      </c>
    </row>
    <row r="20" spans="2:31">
      <c r="B20" s="78" t="str">
        <f t="shared" ref="B20:D20" si="17">B62</f>
        <v>T-TAX-ICE_GSL00</v>
      </c>
      <c r="C20" s="78" t="str">
        <f t="shared" si="17"/>
        <v>DEMO</v>
      </c>
      <c r="D20" s="78" t="str">
        <f t="shared" si="17"/>
        <v>pass/vehicle</v>
      </c>
      <c r="E20" s="159">
        <f>ROUNDUP(Stock!AJ121,2)</f>
        <v>1.49</v>
      </c>
      <c r="F20" s="159">
        <f>ROUNDUP(Stock!AK121,2)</f>
        <v>1.29</v>
      </c>
      <c r="G20" s="159">
        <f>ROUNDUP(Stock!AL121,2)</f>
        <v>1.5</v>
      </c>
      <c r="H20" s="159">
        <f>ROUNDUP(Stock!AM121,2)</f>
        <v>1.5</v>
      </c>
      <c r="I20" s="159">
        <f>ROUNDUP(Stock!AN121,2)</f>
        <v>1.5</v>
      </c>
      <c r="J20" s="159">
        <f>ROUNDUP(Stock!AO121,2)</f>
        <v>1.44</v>
      </c>
      <c r="K20" s="159">
        <f>ROUNDUP(Stock!AP121,2)</f>
        <v>1.52</v>
      </c>
      <c r="L20" s="159">
        <f>ROUNDUP(Stock!AQ121,2)</f>
        <v>1.53</v>
      </c>
      <c r="M20" s="159">
        <f>ROUNDUP(Stock!AR121,2)</f>
        <v>1.48</v>
      </c>
      <c r="N20" s="159">
        <f>ROUNDUP(Stock!AS121,2)</f>
        <v>1.43</v>
      </c>
      <c r="O20" s="159">
        <f>ROUNDUP(Stock!AT121,2)</f>
        <v>1.53</v>
      </c>
      <c r="P20" s="159">
        <f>ROUNDUP(Stock!AU121,2)</f>
        <v>1.58</v>
      </c>
      <c r="Q20" s="159">
        <f>ROUNDUP(Stock!AV121,2)</f>
        <v>1.52</v>
      </c>
      <c r="R20" s="159">
        <f>ROUNDUP(Stock!AW121,2)</f>
        <v>1.5</v>
      </c>
      <c r="S20" s="159">
        <f>ROUNDUP(Stock!AX121,2)</f>
        <v>1.5</v>
      </c>
      <c r="T20" s="159">
        <f>ROUNDUP(Stock!AY121,2)</f>
        <v>1.49</v>
      </c>
      <c r="U20" s="159">
        <f>ROUNDUP(Stock!AZ121,2)</f>
        <v>1.55</v>
      </c>
      <c r="V20" s="159">
        <f>ROUNDUP(Stock!BA121,2)</f>
        <v>1.46</v>
      </c>
      <c r="W20" s="159">
        <f>ROUNDUP(Stock!BB121,2)</f>
        <v>1.4</v>
      </c>
      <c r="X20" s="159">
        <f>ROUNDUP(Stock!BC121,2)</f>
        <v>1.47</v>
      </c>
      <c r="Y20" s="159">
        <f>ROUNDUP(Stock!BD121,2)</f>
        <v>1.61</v>
      </c>
      <c r="Z20" s="159">
        <f>ROUNDUP(Stock!BE121,2)</f>
        <v>1.48</v>
      </c>
      <c r="AA20" s="159">
        <f>ROUNDUP(Stock!BF121,2)</f>
        <v>1.46</v>
      </c>
      <c r="AB20" s="159">
        <f>ROUNDUP(Stock!BG121,2)</f>
        <v>1.35</v>
      </c>
      <c r="AC20" s="159">
        <f>ROUNDUP(Stock!BH121,2)</f>
        <v>1.45</v>
      </c>
      <c r="AD20" s="159">
        <f>ROUNDUP(Stock!BI121,2)</f>
        <v>1.52</v>
      </c>
      <c r="AE20" s="159">
        <f>ROUNDUP(Stock!BJ121,2)</f>
        <v>1.39</v>
      </c>
    </row>
    <row r="21" spans="2:31">
      <c r="B21" s="78" t="str">
        <f t="shared" ref="B21:D21" si="18">B63</f>
        <v>T-TAX-ICE_DST00</v>
      </c>
      <c r="C21" s="78" t="str">
        <f t="shared" si="18"/>
        <v>DEMO</v>
      </c>
      <c r="D21" s="78" t="str">
        <f t="shared" si="18"/>
        <v>pass/vehicle</v>
      </c>
      <c r="E21" s="159">
        <f>ROUND(E20,2)</f>
        <v>1.49</v>
      </c>
      <c r="F21" s="159">
        <f t="shared" ref="F21:AE22" si="19">ROUND(F20,2)</f>
        <v>1.29</v>
      </c>
      <c r="G21" s="159">
        <f t="shared" si="19"/>
        <v>1.5</v>
      </c>
      <c r="H21" s="159">
        <f t="shared" si="19"/>
        <v>1.5</v>
      </c>
      <c r="I21" s="159">
        <f t="shared" si="19"/>
        <v>1.5</v>
      </c>
      <c r="J21" s="159">
        <f t="shared" si="19"/>
        <v>1.44</v>
      </c>
      <c r="K21" s="159">
        <f t="shared" si="19"/>
        <v>1.52</v>
      </c>
      <c r="L21" s="159">
        <f t="shared" si="19"/>
        <v>1.53</v>
      </c>
      <c r="M21" s="159">
        <f t="shared" si="19"/>
        <v>1.48</v>
      </c>
      <c r="N21" s="159">
        <f t="shared" si="19"/>
        <v>1.43</v>
      </c>
      <c r="O21" s="159">
        <f t="shared" si="19"/>
        <v>1.53</v>
      </c>
      <c r="P21" s="159">
        <f t="shared" si="19"/>
        <v>1.58</v>
      </c>
      <c r="Q21" s="159">
        <f t="shared" si="19"/>
        <v>1.52</v>
      </c>
      <c r="R21" s="159">
        <f t="shared" si="19"/>
        <v>1.5</v>
      </c>
      <c r="S21" s="159">
        <f t="shared" si="19"/>
        <v>1.5</v>
      </c>
      <c r="T21" s="159">
        <f t="shared" si="19"/>
        <v>1.49</v>
      </c>
      <c r="U21" s="159">
        <f t="shared" si="19"/>
        <v>1.55</v>
      </c>
      <c r="V21" s="159">
        <f t="shared" si="19"/>
        <v>1.46</v>
      </c>
      <c r="W21" s="159">
        <f t="shared" si="19"/>
        <v>1.4</v>
      </c>
      <c r="X21" s="159">
        <f t="shared" si="19"/>
        <v>1.47</v>
      </c>
      <c r="Y21" s="159">
        <f t="shared" si="19"/>
        <v>1.61</v>
      </c>
      <c r="Z21" s="159">
        <f t="shared" si="19"/>
        <v>1.48</v>
      </c>
      <c r="AA21" s="159">
        <f t="shared" si="19"/>
        <v>1.46</v>
      </c>
      <c r="AB21" s="159">
        <f t="shared" si="19"/>
        <v>1.35</v>
      </c>
      <c r="AC21" s="159">
        <f t="shared" si="19"/>
        <v>1.45</v>
      </c>
      <c r="AD21" s="159">
        <f t="shared" si="19"/>
        <v>1.52</v>
      </c>
      <c r="AE21" s="159">
        <f t="shared" si="19"/>
        <v>1.39</v>
      </c>
    </row>
    <row r="22" spans="2:31">
      <c r="B22" s="78" t="str">
        <f t="shared" ref="B22:D22" si="20">B64</f>
        <v>T-TAX-HEV_GSL00</v>
      </c>
      <c r="C22" s="78" t="str">
        <f t="shared" si="20"/>
        <v>DEMO</v>
      </c>
      <c r="D22" s="78" t="str">
        <f t="shared" si="20"/>
        <v>pass/vehicle</v>
      </c>
      <c r="E22" s="159">
        <f>ROUND(E21,2)</f>
        <v>1.49</v>
      </c>
      <c r="F22" s="159">
        <f t="shared" si="19"/>
        <v>1.29</v>
      </c>
      <c r="G22" s="159">
        <f t="shared" si="19"/>
        <v>1.5</v>
      </c>
      <c r="H22" s="159">
        <f t="shared" si="19"/>
        <v>1.5</v>
      </c>
      <c r="I22" s="159">
        <f t="shared" si="19"/>
        <v>1.5</v>
      </c>
      <c r="J22" s="159">
        <f t="shared" si="19"/>
        <v>1.44</v>
      </c>
      <c r="K22" s="159">
        <f t="shared" si="19"/>
        <v>1.52</v>
      </c>
      <c r="L22" s="159">
        <f t="shared" si="19"/>
        <v>1.53</v>
      </c>
      <c r="M22" s="159">
        <f t="shared" si="19"/>
        <v>1.48</v>
      </c>
      <c r="N22" s="159">
        <f t="shared" si="19"/>
        <v>1.43</v>
      </c>
      <c r="O22" s="159">
        <f t="shared" si="19"/>
        <v>1.53</v>
      </c>
      <c r="P22" s="159">
        <f t="shared" si="19"/>
        <v>1.58</v>
      </c>
      <c r="Q22" s="159">
        <f t="shared" si="19"/>
        <v>1.52</v>
      </c>
      <c r="R22" s="159">
        <f t="shared" si="19"/>
        <v>1.5</v>
      </c>
      <c r="S22" s="159">
        <f t="shared" si="19"/>
        <v>1.5</v>
      </c>
      <c r="T22" s="159">
        <f t="shared" si="19"/>
        <v>1.49</v>
      </c>
      <c r="U22" s="159">
        <f t="shared" si="19"/>
        <v>1.55</v>
      </c>
      <c r="V22" s="159">
        <f t="shared" si="19"/>
        <v>1.46</v>
      </c>
      <c r="W22" s="159">
        <f t="shared" si="19"/>
        <v>1.4</v>
      </c>
      <c r="X22" s="159">
        <f t="shared" si="19"/>
        <v>1.47</v>
      </c>
      <c r="Y22" s="159">
        <f t="shared" si="19"/>
        <v>1.61</v>
      </c>
      <c r="Z22" s="159">
        <f t="shared" si="19"/>
        <v>1.48</v>
      </c>
      <c r="AA22" s="159">
        <f t="shared" si="19"/>
        <v>1.46</v>
      </c>
      <c r="AB22" s="159">
        <f t="shared" si="19"/>
        <v>1.35</v>
      </c>
      <c r="AC22" s="159">
        <f t="shared" si="19"/>
        <v>1.45</v>
      </c>
      <c r="AD22" s="159">
        <f t="shared" si="19"/>
        <v>1.52</v>
      </c>
      <c r="AE22" s="159">
        <f t="shared" si="19"/>
        <v>1.39</v>
      </c>
    </row>
    <row r="23" spans="2:31">
      <c r="B23" s="78" t="str">
        <f t="shared" ref="B23:D23" si="21">B65</f>
        <v>T-BUS-ICE_DST00</v>
      </c>
      <c r="C23" s="78" t="str">
        <f t="shared" si="21"/>
        <v>DEMO</v>
      </c>
      <c r="D23" s="78" t="str">
        <f t="shared" si="21"/>
        <v>pass/vehicle</v>
      </c>
      <c r="E23" s="159">
        <f>ROUNDUP(Stock!AJ122,2)</f>
        <v>25.430000000000003</v>
      </c>
      <c r="F23" s="159">
        <f>ROUNDUP(Stock!AK122,2)</f>
        <v>25.16</v>
      </c>
      <c r="G23" s="159">
        <f>ROUNDUP(Stock!AL122,2)</f>
        <v>27.310000000000002</v>
      </c>
      <c r="H23" s="159">
        <f>ROUNDUP(Stock!AM122,2)</f>
        <v>27.89</v>
      </c>
      <c r="I23" s="159">
        <f>ROUNDUP(Stock!AN122,2)</f>
        <v>27.94</v>
      </c>
      <c r="J23" s="159">
        <f>ROUNDUP(Stock!AO122,2)</f>
        <v>24.860000000000003</v>
      </c>
      <c r="K23" s="159">
        <f>ROUNDUP(Stock!AP122,2)</f>
        <v>26.39</v>
      </c>
      <c r="L23" s="159">
        <f>ROUNDUP(Stock!AQ122,2)</f>
        <v>25.950000000000003</v>
      </c>
      <c r="M23" s="159">
        <f>ROUNDUP(Stock!AR122,2)</f>
        <v>27.130000000000003</v>
      </c>
      <c r="N23" s="159">
        <f>ROUNDUP(Stock!AS122,2)</f>
        <v>28.430000000000003</v>
      </c>
      <c r="O23" s="159">
        <f>ROUNDUP(Stock!AT122,2)</f>
        <v>26.330000000000002</v>
      </c>
      <c r="P23" s="159">
        <f>ROUNDUP(Stock!AU122,2)</f>
        <v>27.8</v>
      </c>
      <c r="Q23" s="159">
        <f>ROUNDUP(Stock!AV122,2)</f>
        <v>27.720000000000002</v>
      </c>
      <c r="R23" s="159">
        <f>ROUNDUP(Stock!AW122,2)</f>
        <v>25.930000000000003</v>
      </c>
      <c r="S23" s="159">
        <f>ROUNDUP(Stock!AX122,2)</f>
        <v>27.21</v>
      </c>
      <c r="T23" s="159">
        <f>ROUNDUP(Stock!AY122,2)</f>
        <v>26.740000000000002</v>
      </c>
      <c r="U23" s="159">
        <f>ROUNDUP(Stock!AZ122,2)</f>
        <v>27.520000000000003</v>
      </c>
      <c r="V23" s="159">
        <f>ROUNDUP(Stock!BA122,2)</f>
        <v>27.94</v>
      </c>
      <c r="W23" s="159">
        <f>ROUNDUP(Stock!BB122,2)</f>
        <v>29.42</v>
      </c>
      <c r="X23" s="159">
        <f>ROUNDUP(Stock!BC122,2)</f>
        <v>27.360000000000003</v>
      </c>
      <c r="Y23" s="159">
        <f>ROUNDUP(Stock!BD122,2)</f>
        <v>24.82</v>
      </c>
      <c r="Z23" s="159">
        <f>ROUNDUP(Stock!BE122,2)</f>
        <v>27.71</v>
      </c>
      <c r="AA23" s="159">
        <f>ROUNDUP(Stock!BF122,2)</f>
        <v>27.34</v>
      </c>
      <c r="AB23" s="159">
        <f>ROUNDUP(Stock!BG122,2)</f>
        <v>26.240000000000002</v>
      </c>
      <c r="AC23" s="159">
        <f>E23</f>
        <v>25.430000000000003</v>
      </c>
      <c r="AD23" s="159">
        <f>E23</f>
        <v>25.430000000000003</v>
      </c>
      <c r="AE23" s="159">
        <f>ROUNDUP(Stock!BJ122,2)</f>
        <v>27.25</v>
      </c>
    </row>
    <row r="24" spans="2:31">
      <c r="B24" s="78" t="str">
        <f t="shared" ref="B24:D24" si="22">B66</f>
        <v>T-LPT-BEV_ELC00</v>
      </c>
      <c r="C24" s="78" t="str">
        <f t="shared" si="22"/>
        <v>DEMO</v>
      </c>
      <c r="D24" s="78" t="str">
        <f t="shared" si="22"/>
        <v>pass/vehicle</v>
      </c>
      <c r="E24" s="159">
        <f>ROUNDUP(Stock!AJ123,2)</f>
        <v>78.03</v>
      </c>
      <c r="F24" s="159">
        <f>ROUNDUP(Stock!AK123,2)</f>
        <v>78.03</v>
      </c>
      <c r="G24" s="159">
        <f>ROUNDUP(Stock!AL123,2)</f>
        <v>78.03</v>
      </c>
      <c r="H24" s="159">
        <f>ROUNDUP(Stock!AM123,2)</f>
        <v>78.03</v>
      </c>
      <c r="I24" s="159">
        <f>ROUNDUP(Stock!AN123,2)</f>
        <v>78.03</v>
      </c>
      <c r="J24" s="159">
        <f>ROUNDUP(Stock!AO123,2)</f>
        <v>78.03</v>
      </c>
      <c r="K24" s="159">
        <f>ROUNDUP(Stock!AP123,2)</f>
        <v>78.03</v>
      </c>
      <c r="L24" s="159">
        <f>ROUNDUP(Stock!AQ123,2)</f>
        <v>78.03</v>
      </c>
      <c r="M24" s="159">
        <f>ROUNDUP(Stock!AR123,2)</f>
        <v>78.03</v>
      </c>
      <c r="N24" s="159">
        <f>ROUNDUP(Stock!AS123,2)</f>
        <v>78.03</v>
      </c>
      <c r="O24" s="159">
        <f>ROUNDUP(Stock!AT123,2)</f>
        <v>78.03</v>
      </c>
      <c r="P24" s="159">
        <f>ROUNDUP(Stock!AU123,2)</f>
        <v>78.03</v>
      </c>
      <c r="Q24" s="159">
        <f>ROUNDUP(Stock!AV123,2)</f>
        <v>78.03</v>
      </c>
      <c r="R24" s="159">
        <f>ROUNDUP(Stock!AW123,2)</f>
        <v>78.03</v>
      </c>
      <c r="S24" s="159">
        <f>ROUNDUP(Stock!AX123,2)</f>
        <v>78.03</v>
      </c>
      <c r="T24" s="159">
        <f>ROUNDUP(Stock!AY123,2)</f>
        <v>78.03</v>
      </c>
      <c r="U24" s="159">
        <f>ROUNDUP(Stock!AZ123,2)</f>
        <v>78.03</v>
      </c>
      <c r="V24" s="159">
        <f>ROUNDUP(Stock!BA123,2)</f>
        <v>78.03</v>
      </c>
      <c r="W24" s="159">
        <f>ROUNDUP(Stock!BB123,2)</f>
        <v>78.03</v>
      </c>
      <c r="X24" s="159">
        <f>ROUNDUP(Stock!BC123,2)</f>
        <v>78.03</v>
      </c>
      <c r="Y24" s="159">
        <f>ROUNDUP(Stock!BD123,2)</f>
        <v>78.03</v>
      </c>
      <c r="Z24" s="159">
        <f>ROUNDUP(Stock!BE123,2)</f>
        <v>78.03</v>
      </c>
      <c r="AA24" s="159">
        <f>ROUNDUP(Stock!BF123,2)</f>
        <v>78.03</v>
      </c>
      <c r="AB24" s="159">
        <f>ROUNDUP(Stock!BG123,2)</f>
        <v>78.03</v>
      </c>
      <c r="AC24" s="159">
        <f>ROUNDUP(Stock!BH123,2)</f>
        <v>78.03</v>
      </c>
      <c r="AD24" s="159">
        <f>ROUNDUP(Stock!BI123,2)</f>
        <v>78.03</v>
      </c>
      <c r="AE24" s="159">
        <f>ROUNDUP(Stock!BJ123,2)</f>
        <v>78.03</v>
      </c>
    </row>
    <row r="25" spans="2:31">
      <c r="B25" s="78" t="str">
        <f t="shared" ref="B25:D25" si="23">B67</f>
        <v>T-HPT-BEV_ELC00</v>
      </c>
      <c r="C25" s="78" t="str">
        <f t="shared" si="23"/>
        <v>DEMO</v>
      </c>
      <c r="D25" s="78" t="str">
        <f t="shared" si="23"/>
        <v>pass/vehicle</v>
      </c>
      <c r="E25" s="159">
        <f>ROUNDUP(Stock!AJ124,2)</f>
        <v>120.82000000000001</v>
      </c>
      <c r="F25" s="159">
        <f>ROUNDUP(Stock!AK124,2)</f>
        <v>214.41</v>
      </c>
      <c r="G25" s="159">
        <f>ROUNDUP(Stock!AL124,2)</f>
        <v>57.37</v>
      </c>
      <c r="H25" s="159">
        <f>ROUNDUP(Stock!AM124,2)</f>
        <v>214.41</v>
      </c>
      <c r="I25" s="159">
        <f>ROUNDUP(Stock!AN124,2)</f>
        <v>214.41</v>
      </c>
      <c r="J25" s="159">
        <f>ROUNDUP(Stock!AO124,2)</f>
        <v>214.41</v>
      </c>
      <c r="K25" s="159">
        <f>ROUNDUP(Stock!AP124,2)</f>
        <v>214.41</v>
      </c>
      <c r="L25" s="159">
        <f>ROUNDUP(Stock!AQ124,2)</f>
        <v>214.41</v>
      </c>
      <c r="M25" s="159">
        <f>ROUNDUP(Stock!AR124,2)</f>
        <v>214.41</v>
      </c>
      <c r="N25" s="159">
        <f>ROUNDUP(Stock!AS124,2)</f>
        <v>214.41</v>
      </c>
      <c r="O25" s="159">
        <f>ROUNDUP(Stock!AT124,2)</f>
        <v>214.41</v>
      </c>
      <c r="P25" s="159">
        <f>ROUNDUP(Stock!AU124,2)</f>
        <v>214.41</v>
      </c>
      <c r="Q25" s="159">
        <f>ROUNDUP(Stock!AV124,2)</f>
        <v>214.41</v>
      </c>
      <c r="R25" s="159">
        <f>ROUNDUP(Stock!AW124,2)</f>
        <v>214.41</v>
      </c>
      <c r="S25" s="159">
        <f>ROUNDUP(Stock!AX124,2)</f>
        <v>214.41</v>
      </c>
      <c r="T25" s="159">
        <f>ROUNDUP(Stock!AY124,2)</f>
        <v>214.41</v>
      </c>
      <c r="U25" s="159">
        <f>ROUNDUP(Stock!AZ124,2)</f>
        <v>214.41</v>
      </c>
      <c r="V25" s="159">
        <f>ROUNDUP(Stock!BA124,2)</f>
        <v>214.41</v>
      </c>
      <c r="W25" s="159">
        <f>ROUNDUP(Stock!BB124,2)</f>
        <v>214.41</v>
      </c>
      <c r="X25" s="159">
        <f>ROUNDUP(Stock!BC124,2)</f>
        <v>214.41</v>
      </c>
      <c r="Y25" s="159">
        <f>ROUNDUP(Stock!BD124,2)</f>
        <v>214.41</v>
      </c>
      <c r="Z25" s="159">
        <f>ROUNDUP(Stock!BE124,2)</f>
        <v>214.41</v>
      </c>
      <c r="AA25" s="159">
        <f>ROUNDUP(Stock!BF124,2)</f>
        <v>214.41</v>
      </c>
      <c r="AB25" s="159">
        <f>ROUNDUP(Stock!BG124,2)</f>
        <v>214.41</v>
      </c>
      <c r="AC25" s="159">
        <f>ROUNDUP(Stock!BH124,2)</f>
        <v>214.41</v>
      </c>
      <c r="AD25" s="159">
        <f>ROUNDUP(Stock!BI124,2)</f>
        <v>214.41</v>
      </c>
      <c r="AE25" s="159">
        <f>ROUNDUP(Stock!BJ124,2)</f>
        <v>214.41</v>
      </c>
    </row>
    <row r="26" spans="2:31">
      <c r="B26" s="78" t="str">
        <f t="shared" ref="B26:D26" si="24">B68</f>
        <v>T-HPT-ICE_DST00</v>
      </c>
      <c r="C26" s="78" t="str">
        <f t="shared" si="24"/>
        <v>DEMO</v>
      </c>
      <c r="D26" s="78" t="str">
        <f t="shared" si="24"/>
        <v>pass/vehicle</v>
      </c>
      <c r="E26" s="159">
        <f>ROUNDUP(E25,2)</f>
        <v>120.82</v>
      </c>
      <c r="F26" s="159">
        <f t="shared" ref="F26:AE26" si="25">ROUNDUP(F25,2)</f>
        <v>214.41</v>
      </c>
      <c r="G26" s="159">
        <f t="shared" si="25"/>
        <v>57.37</v>
      </c>
      <c r="H26" s="159">
        <f t="shared" si="25"/>
        <v>214.41</v>
      </c>
      <c r="I26" s="159">
        <f t="shared" si="25"/>
        <v>214.41</v>
      </c>
      <c r="J26" s="159">
        <f t="shared" si="25"/>
        <v>214.41</v>
      </c>
      <c r="K26" s="159">
        <f t="shared" si="25"/>
        <v>214.41</v>
      </c>
      <c r="L26" s="159">
        <f t="shared" si="25"/>
        <v>214.41</v>
      </c>
      <c r="M26" s="159">
        <f t="shared" si="25"/>
        <v>214.41</v>
      </c>
      <c r="N26" s="159">
        <f t="shared" si="25"/>
        <v>214.41</v>
      </c>
      <c r="O26" s="159">
        <f t="shared" si="25"/>
        <v>214.41</v>
      </c>
      <c r="P26" s="159">
        <f t="shared" si="25"/>
        <v>214.41</v>
      </c>
      <c r="Q26" s="159">
        <f t="shared" si="25"/>
        <v>214.41</v>
      </c>
      <c r="R26" s="159">
        <f t="shared" si="25"/>
        <v>214.41</v>
      </c>
      <c r="S26" s="159">
        <f t="shared" si="25"/>
        <v>214.41</v>
      </c>
      <c r="T26" s="159">
        <f t="shared" si="25"/>
        <v>214.41</v>
      </c>
      <c r="U26" s="159">
        <f t="shared" si="25"/>
        <v>214.41</v>
      </c>
      <c r="V26" s="159">
        <f t="shared" si="25"/>
        <v>214.41</v>
      </c>
      <c r="W26" s="159">
        <f t="shared" si="25"/>
        <v>214.41</v>
      </c>
      <c r="X26" s="159">
        <f t="shared" si="25"/>
        <v>214.41</v>
      </c>
      <c r="Y26" s="159">
        <f t="shared" si="25"/>
        <v>214.41</v>
      </c>
      <c r="Z26" s="159">
        <f t="shared" si="25"/>
        <v>214.41</v>
      </c>
      <c r="AA26" s="159">
        <f t="shared" si="25"/>
        <v>214.41</v>
      </c>
      <c r="AB26" s="159">
        <f t="shared" si="25"/>
        <v>214.41</v>
      </c>
      <c r="AC26" s="159">
        <f t="shared" si="25"/>
        <v>214.41</v>
      </c>
      <c r="AD26" s="159">
        <f t="shared" si="25"/>
        <v>214.41</v>
      </c>
      <c r="AE26" s="159">
        <f t="shared" si="25"/>
        <v>214.41</v>
      </c>
    </row>
    <row r="27" spans="2:31">
      <c r="B27" s="316" t="s">
        <v>700</v>
      </c>
      <c r="C27" s="316"/>
      <c r="D27" s="316"/>
      <c r="E27" s="316"/>
      <c r="F27" s="316"/>
      <c r="G27" s="316"/>
      <c r="H27" s="316"/>
      <c r="I27" s="316"/>
      <c r="J27" s="316"/>
      <c r="K27" s="316"/>
      <c r="L27" s="316"/>
      <c r="M27" s="316"/>
      <c r="N27" s="316"/>
      <c r="O27" s="316"/>
      <c r="P27" s="316"/>
      <c r="Q27" s="316"/>
      <c r="R27" s="316"/>
      <c r="S27" s="316"/>
      <c r="T27" s="316"/>
      <c r="U27" s="316"/>
      <c r="V27" s="316"/>
      <c r="W27" s="316"/>
      <c r="X27" s="316"/>
      <c r="Y27" s="316"/>
      <c r="Z27" s="316"/>
      <c r="AA27" s="316"/>
      <c r="AB27" s="316"/>
      <c r="AC27" s="316"/>
      <c r="AD27" s="316"/>
      <c r="AE27" s="316"/>
    </row>
    <row r="28" spans="2:31">
      <c r="B28" s="78" t="str">
        <f t="shared" ref="B28:B31" si="26">B70</f>
        <v>T-LGT-ICE_GSL00</v>
      </c>
      <c r="C28" s="78" t="str">
        <f t="shared" ref="C28:D28" si="27">C70</f>
        <v>DEMO</v>
      </c>
      <c r="D28" s="78" t="str">
        <f t="shared" si="27"/>
        <v>tonne/vehicle</v>
      </c>
      <c r="E28" s="345">
        <f>ROUNDUP(Demands!C403,3)</f>
        <v>4.5999999999999999E-2</v>
      </c>
      <c r="F28" s="345">
        <f>ROUNDUP(Demands!D403,3)</f>
        <v>4.3999999999999997E-2</v>
      </c>
      <c r="G28" s="345">
        <f>ROUNDUP(Demands!E403,3)</f>
        <v>4.5999999999999999E-2</v>
      </c>
      <c r="H28" s="345">
        <f>ROUNDUP(Demands!F403,3)</f>
        <v>4.1000000000000002E-2</v>
      </c>
      <c r="I28" s="345">
        <f>ROUNDUP(Demands!G403,3)</f>
        <v>5.7000000000000002E-2</v>
      </c>
      <c r="J28" s="345">
        <f>ROUNDUP(Demands!H403,3)</f>
        <v>5.1999999999999998E-2</v>
      </c>
      <c r="K28" s="345">
        <f>ROUNDUP(Demands!I403,3)</f>
        <v>4.2000000000000003E-2</v>
      </c>
      <c r="L28" s="345">
        <f>ROUNDUP(Demands!J403,3)</f>
        <v>4.9000000000000002E-2</v>
      </c>
      <c r="M28" s="345">
        <f>ROUNDUP(Demands!K403,3)</f>
        <v>0.04</v>
      </c>
      <c r="N28" s="345">
        <f>ROUNDUP(Demands!L403,3)</f>
        <v>4.3999999999999997E-2</v>
      </c>
      <c r="O28" s="345">
        <f>ROUNDUP(Demands!M403,3)</f>
        <v>3.9E-2</v>
      </c>
      <c r="P28" s="345">
        <f>ROUNDUP(Demands!N403,3)</f>
        <v>4.9000000000000002E-2</v>
      </c>
      <c r="Q28" s="345">
        <f>ROUNDUP(Demands!O403,3)</f>
        <v>4.4999999999999998E-2</v>
      </c>
      <c r="R28" s="345">
        <f>ROUNDUP(Demands!P403,3)</f>
        <v>4.8000000000000001E-2</v>
      </c>
      <c r="S28" s="345">
        <f>ROUNDUP(Demands!Q403,3)</f>
        <v>5.9000000000000004E-2</v>
      </c>
      <c r="T28" s="345">
        <f>ROUNDUP(Demands!R403,3)</f>
        <v>5.8000000000000003E-2</v>
      </c>
      <c r="U28" s="345">
        <f>ROUNDUP(Demands!S403,3)</f>
        <v>5.1999999999999998E-2</v>
      </c>
      <c r="V28" s="345">
        <f>ROUNDUP(Demands!T403,3)</f>
        <v>4.3999999999999997E-2</v>
      </c>
      <c r="W28" s="345">
        <f>ROUNDUP(Demands!U403,3)</f>
        <v>6.7000000000000004E-2</v>
      </c>
      <c r="X28" s="345">
        <f>ROUNDUP(Demands!V403,3)</f>
        <v>4.2000000000000003E-2</v>
      </c>
      <c r="Y28" s="345">
        <f>ROUNDUP(Demands!W403,3)</f>
        <v>3.4000000000000002E-2</v>
      </c>
      <c r="Z28" s="345">
        <f>ROUNDUP(Demands!X403,3)</f>
        <v>3.3000000000000002E-2</v>
      </c>
      <c r="AA28" s="345">
        <f>ROUNDUP(Demands!Y403,3)</f>
        <v>3.4000000000000002E-2</v>
      </c>
      <c r="AB28" s="345">
        <f>ROUNDUP(Demands!Z403,3)</f>
        <v>0.04</v>
      </c>
      <c r="AC28" s="345">
        <f>ROUNDUP(Demands!AA403,3)</f>
        <v>3.5000000000000003E-2</v>
      </c>
      <c r="AD28" s="345">
        <f>ROUNDUP(Demands!AB403,3)</f>
        <v>4.2000000000000003E-2</v>
      </c>
      <c r="AE28" s="345">
        <f>ROUNDUP(Demands!AC403,3)</f>
        <v>3.0000000000000002E-2</v>
      </c>
    </row>
    <row r="29" spans="2:31">
      <c r="B29" s="78" t="str">
        <f t="shared" si="26"/>
        <v>T-LGT-ICE_DST00</v>
      </c>
      <c r="C29" s="78" t="str">
        <f t="shared" ref="C29:D31" si="28">C71</f>
        <v>DEMO</v>
      </c>
      <c r="D29" s="78" t="str">
        <f t="shared" si="28"/>
        <v>tonne/vehicle</v>
      </c>
      <c r="E29" s="345">
        <f>ROUNDUP(Demands!C403,3)</f>
        <v>4.5999999999999999E-2</v>
      </c>
      <c r="F29" s="345">
        <f>ROUNDUP(Demands!D403,3)</f>
        <v>4.3999999999999997E-2</v>
      </c>
      <c r="G29" s="345">
        <f>ROUNDUP(Demands!E403,3)</f>
        <v>4.5999999999999999E-2</v>
      </c>
      <c r="H29" s="345">
        <f>ROUNDUP(Demands!F403,3)</f>
        <v>4.1000000000000002E-2</v>
      </c>
      <c r="I29" s="345">
        <f>ROUNDUP(Demands!G403,3)</f>
        <v>5.7000000000000002E-2</v>
      </c>
      <c r="J29" s="345">
        <f>ROUNDUP(Demands!H403,3)</f>
        <v>5.1999999999999998E-2</v>
      </c>
      <c r="K29" s="345">
        <f>ROUNDUP(Demands!I403,3)</f>
        <v>4.2000000000000003E-2</v>
      </c>
      <c r="L29" s="345">
        <f>ROUNDUP(Demands!J403,3)</f>
        <v>4.9000000000000002E-2</v>
      </c>
      <c r="M29" s="345">
        <f>ROUNDUP(Demands!K403,3)</f>
        <v>0.04</v>
      </c>
      <c r="N29" s="345">
        <f>ROUNDUP(Demands!L403,3)</f>
        <v>4.3999999999999997E-2</v>
      </c>
      <c r="O29" s="345">
        <f>ROUNDUP(Demands!M403,3)</f>
        <v>3.9E-2</v>
      </c>
      <c r="P29" s="345">
        <f>ROUNDUP(Demands!N403,3)</f>
        <v>4.9000000000000002E-2</v>
      </c>
      <c r="Q29" s="345">
        <f>ROUNDUP(Demands!O403,3)</f>
        <v>4.4999999999999998E-2</v>
      </c>
      <c r="R29" s="345">
        <f>ROUNDUP(Demands!P403,3)</f>
        <v>4.8000000000000001E-2</v>
      </c>
      <c r="S29" s="345">
        <f>ROUNDUP(Demands!Q403,3)</f>
        <v>5.9000000000000004E-2</v>
      </c>
      <c r="T29" s="345">
        <f>ROUNDUP(Demands!R403,3)</f>
        <v>5.8000000000000003E-2</v>
      </c>
      <c r="U29" s="345">
        <f>ROUNDUP(Demands!S403,3)</f>
        <v>5.1999999999999998E-2</v>
      </c>
      <c r="V29" s="345">
        <f>ROUNDUP(Demands!T403,3)</f>
        <v>4.3999999999999997E-2</v>
      </c>
      <c r="W29" s="345">
        <f>ROUNDUP(Demands!U403,3)</f>
        <v>6.7000000000000004E-2</v>
      </c>
      <c r="X29" s="345">
        <f>ROUNDUP(Demands!V403,3)</f>
        <v>4.2000000000000003E-2</v>
      </c>
      <c r="Y29" s="345">
        <f>ROUNDUP(Demands!W403,3)</f>
        <v>3.4000000000000002E-2</v>
      </c>
      <c r="Z29" s="345">
        <f>ROUNDUP(Demands!X403,3)</f>
        <v>3.3000000000000002E-2</v>
      </c>
      <c r="AA29" s="345">
        <f>ROUNDUP(Demands!Y403,3)</f>
        <v>3.4000000000000002E-2</v>
      </c>
      <c r="AB29" s="345">
        <f>ROUNDUP(Demands!Z403,3)</f>
        <v>0.04</v>
      </c>
      <c r="AC29" s="345">
        <f>ROUNDUP(Demands!AA403,3)</f>
        <v>3.5000000000000003E-2</v>
      </c>
      <c r="AD29" s="345">
        <f>ROUNDUP(Demands!AB403,3)</f>
        <v>4.2000000000000003E-2</v>
      </c>
      <c r="AE29" s="345">
        <f>ROUNDUP(Demands!AC403,3)</f>
        <v>3.0000000000000002E-2</v>
      </c>
    </row>
    <row r="30" spans="2:31">
      <c r="B30" s="78" t="str">
        <f t="shared" si="26"/>
        <v>T-MGT-ICE_DST00</v>
      </c>
      <c r="C30" s="78" t="str">
        <f t="shared" si="28"/>
        <v>DEMO</v>
      </c>
      <c r="D30" s="78" t="str">
        <f t="shared" si="28"/>
        <v>tonne/vehicle</v>
      </c>
      <c r="E30" s="345">
        <f>ROUNDUP(Demands!C404,3)*Demands!G694</f>
        <v>3.2508999999999997</v>
      </c>
      <c r="F30" s="345">
        <f>ROUNDUP(Demands!D404,3)</f>
        <v>5.6040000000000001</v>
      </c>
      <c r="G30" s="345">
        <f>ROUNDUP(Demands!E404,3)</f>
        <v>3.8340000000000001</v>
      </c>
      <c r="H30" s="345">
        <f>ROUNDUP(Demands!F404,3)</f>
        <v>4.9050000000000002</v>
      </c>
      <c r="I30" s="345">
        <f>ROUNDUP(Demands!G404,3)</f>
        <v>7.1610000000000005</v>
      </c>
      <c r="J30" s="345">
        <f>ROUNDUP(Demands!H404,3)</f>
        <v>5.617</v>
      </c>
      <c r="K30" s="345">
        <f>ROUNDUP(Demands!I404,3)</f>
        <v>4.6110000000000007</v>
      </c>
      <c r="L30" s="345">
        <f>ROUNDUP(Demands!J404,3)</f>
        <v>3.6379999999999999</v>
      </c>
      <c r="M30" s="345">
        <f>ROUNDUP(Demands!K404,3)</f>
        <v>4.4390000000000001</v>
      </c>
      <c r="N30" s="345">
        <f>ROUNDUP(Demands!L404,3)</f>
        <v>7.0609999999999999</v>
      </c>
      <c r="O30" s="345">
        <f>ROUNDUP(Demands!M404,3)</f>
        <v>6.28</v>
      </c>
      <c r="P30" s="345">
        <f>ROUNDUP(Demands!N404,3)</f>
        <v>5.266</v>
      </c>
      <c r="Q30" s="345">
        <f>ROUNDUP(Demands!O404,3)</f>
        <v>8.42</v>
      </c>
      <c r="R30" s="345">
        <f>ROUNDUP(Demands!P404,3)</f>
        <v>7.8930000000000007</v>
      </c>
      <c r="S30" s="345">
        <f>ROUNDUP(Demands!Q404,3)</f>
        <v>6.9930000000000003</v>
      </c>
      <c r="T30" s="345">
        <f>ROUNDUP(Demands!R404,3)</f>
        <v>9.1020000000000003</v>
      </c>
      <c r="U30" s="345">
        <f>ROUNDUP(Demands!S404,3)</f>
        <v>3.2989999999999999</v>
      </c>
      <c r="V30" s="345">
        <f>ROUNDUP(Demands!T404,3)</f>
        <v>5.5330000000000004</v>
      </c>
      <c r="W30" s="345">
        <f>ROUNDUP(Demands!U404,3)</f>
        <v>10.019</v>
      </c>
      <c r="X30" s="345">
        <f>ROUNDUP(Demands!V404,3)</f>
        <v>5.6379999999999999</v>
      </c>
      <c r="Y30" s="345">
        <f>ROUNDUP(Demands!W404,3)</f>
        <v>6.1240000000000006</v>
      </c>
      <c r="Z30" s="345">
        <f>ROUNDUP(Demands!X404,3)</f>
        <v>6.1520000000000001</v>
      </c>
      <c r="AA30" s="345">
        <f>ROUNDUP(Demands!Y404,3)</f>
        <v>4.3290000000000006</v>
      </c>
      <c r="AB30" s="345">
        <f>ROUNDUP(Demands!Z404,3)</f>
        <v>5.2150000000000007</v>
      </c>
      <c r="AC30" s="345">
        <f>ROUNDUP(Demands!AA404,3)</f>
        <v>4.8250000000000002</v>
      </c>
      <c r="AD30" s="345">
        <f>ROUNDUP(Demands!AB404,3)</f>
        <v>7.9390000000000001</v>
      </c>
      <c r="AE30" s="345">
        <f>ROUNDUP(Demands!AC404,3)</f>
        <v>2.7959999999999998</v>
      </c>
    </row>
    <row r="31" spans="2:31">
      <c r="B31" s="78" t="str">
        <f t="shared" si="26"/>
        <v>T-HGT-ICE_DST00</v>
      </c>
      <c r="C31" s="78" t="str">
        <f t="shared" si="28"/>
        <v>DEMO</v>
      </c>
      <c r="D31" s="78" t="str">
        <f t="shared" si="28"/>
        <v>tonne/vehicle</v>
      </c>
      <c r="E31" s="345">
        <f>ROUNDUP(Demands!C405,3)*Demands!G695</f>
        <v>8.5142399999999991</v>
      </c>
      <c r="F31" s="345">
        <f>ROUNDUP(Demands!D405,3)</f>
        <v>11.208</v>
      </c>
      <c r="G31" s="345">
        <f>ROUNDUP(Demands!E405,3)</f>
        <v>17.580000000000002</v>
      </c>
      <c r="H31" s="345">
        <f>ROUNDUP(Demands!F405,3)</f>
        <v>10.244999999999999</v>
      </c>
      <c r="I31" s="345">
        <f>ROUNDUP(Demands!G405,3)</f>
        <v>9.3079999999999998</v>
      </c>
      <c r="J31" s="345">
        <f>ROUNDUP(Demands!H405,3)</f>
        <v>11.437999999999999</v>
      </c>
      <c r="K31" s="345">
        <f>ROUNDUP(Demands!I405,3)</f>
        <v>9.004999999999999</v>
      </c>
      <c r="L31" s="345">
        <f>ROUNDUP(Demands!J405,3)</f>
        <v>11.565</v>
      </c>
      <c r="M31" s="345">
        <f>ROUNDUP(Demands!K405,3)</f>
        <v>7.7470000000000008</v>
      </c>
      <c r="N31" s="345">
        <f>ROUNDUP(Demands!L405,3)</f>
        <v>15.247999999999999</v>
      </c>
      <c r="O31" s="345">
        <f>ROUNDUP(Demands!M405,3)</f>
        <v>19.080000000000002</v>
      </c>
      <c r="P31" s="345">
        <f>ROUNDUP(Demands!N405,3)</f>
        <v>7.8390000000000004</v>
      </c>
      <c r="Q31" s="345">
        <f>ROUNDUP(Demands!O405,3)</f>
        <v>19.528000000000002</v>
      </c>
      <c r="R31" s="345">
        <f>ROUNDUP(Demands!P405,3)</f>
        <v>19.081</v>
      </c>
      <c r="S31" s="345">
        <f>ROUNDUP(Demands!Q405,3)</f>
        <v>15.641</v>
      </c>
      <c r="T31" s="345">
        <f>ROUNDUP(Demands!R405,3)</f>
        <v>21.71</v>
      </c>
      <c r="U31" s="345">
        <f>ROUNDUP(Demands!S405,3)</f>
        <v>12.097</v>
      </c>
      <c r="V31" s="345">
        <f>ROUNDUP(Demands!T405,3)</f>
        <v>10.177999999999999</v>
      </c>
      <c r="W31" s="345">
        <f>ROUNDUP(Demands!U405,3)</f>
        <v>25.629000000000001</v>
      </c>
      <c r="X31" s="345">
        <f>ROUNDUP(Demands!V405,3)</f>
        <v>17.027000000000001</v>
      </c>
      <c r="Y31" s="345">
        <f>ROUNDUP(Demands!W405,3)</f>
        <v>14.27</v>
      </c>
      <c r="Z31" s="345">
        <f>ROUNDUP(Demands!X405,3)</f>
        <v>18.081</v>
      </c>
      <c r="AA31" s="345">
        <f>ROUNDUP(Demands!Y405,3)</f>
        <v>12.083</v>
      </c>
      <c r="AB31" s="345">
        <f>ROUNDUP(Demands!Z405,3)</f>
        <v>18.988</v>
      </c>
      <c r="AC31" s="345">
        <f>ROUNDUP(Demands!AA405,3)</f>
        <v>8.456999999999999</v>
      </c>
      <c r="AD31" s="345">
        <f>ROUNDUP(Demands!AB405,3)</f>
        <v>15.157</v>
      </c>
      <c r="AE31" s="345">
        <f>ROUNDUP(Demands!AC405,3)</f>
        <v>3.3369999999999997</v>
      </c>
    </row>
    <row r="32" spans="2:31">
      <c r="B32" s="168" t="str">
        <f t="shared" ref="B32:D32" si="29">B74</f>
        <v>T-GTR-ICE_DST00</v>
      </c>
      <c r="C32" s="168" t="str">
        <f t="shared" si="29"/>
        <v>DEMO</v>
      </c>
      <c r="D32" s="168" t="str">
        <f t="shared" si="29"/>
        <v>tonne/vehicle</v>
      </c>
      <c r="E32" s="317">
        <f>ROUNDUP(E74,2)</f>
        <v>164.84</v>
      </c>
      <c r="F32" s="317">
        <f t="shared" ref="F32:AE32" si="30">ROUNDUP(F74,2)</f>
        <v>164.84</v>
      </c>
      <c r="G32" s="317">
        <f t="shared" si="30"/>
        <v>164.84</v>
      </c>
      <c r="H32" s="317">
        <f t="shared" si="30"/>
        <v>164.84</v>
      </c>
      <c r="I32" s="317">
        <f t="shared" si="30"/>
        <v>164.84</v>
      </c>
      <c r="J32" s="317">
        <f t="shared" si="30"/>
        <v>164.84</v>
      </c>
      <c r="K32" s="317">
        <f t="shared" si="30"/>
        <v>164.84</v>
      </c>
      <c r="L32" s="317">
        <f t="shared" si="30"/>
        <v>164.84</v>
      </c>
      <c r="M32" s="317">
        <f t="shared" si="30"/>
        <v>164.84</v>
      </c>
      <c r="N32" s="317">
        <f t="shared" si="30"/>
        <v>164.84</v>
      </c>
      <c r="O32" s="317">
        <f t="shared" si="30"/>
        <v>164.84</v>
      </c>
      <c r="P32" s="317">
        <f t="shared" si="30"/>
        <v>164.84</v>
      </c>
      <c r="Q32" s="317">
        <f t="shared" si="30"/>
        <v>164.84</v>
      </c>
      <c r="R32" s="317">
        <f t="shared" si="30"/>
        <v>164.84</v>
      </c>
      <c r="S32" s="317">
        <f t="shared" si="30"/>
        <v>164.84</v>
      </c>
      <c r="T32" s="317">
        <f t="shared" si="30"/>
        <v>164.84</v>
      </c>
      <c r="U32" s="317">
        <f t="shared" si="30"/>
        <v>164.84</v>
      </c>
      <c r="V32" s="317">
        <f t="shared" si="30"/>
        <v>164.84</v>
      </c>
      <c r="W32" s="317">
        <f t="shared" si="30"/>
        <v>164.84</v>
      </c>
      <c r="X32" s="317">
        <f t="shared" si="30"/>
        <v>164.84</v>
      </c>
      <c r="Y32" s="317">
        <f t="shared" si="30"/>
        <v>164.84</v>
      </c>
      <c r="Z32" s="317">
        <f t="shared" si="30"/>
        <v>164.84</v>
      </c>
      <c r="AA32" s="317">
        <f t="shared" si="30"/>
        <v>164.84</v>
      </c>
      <c r="AB32" s="317">
        <f t="shared" si="30"/>
        <v>164.84</v>
      </c>
      <c r="AC32" s="317">
        <f t="shared" si="30"/>
        <v>164.84</v>
      </c>
      <c r="AD32" s="317">
        <f t="shared" si="30"/>
        <v>164.84</v>
      </c>
      <c r="AE32" s="317">
        <f t="shared" si="30"/>
        <v>164.84</v>
      </c>
    </row>
    <row r="34" spans="2:31">
      <c r="E34" s="356"/>
    </row>
    <row r="48" spans="2:31" ht="15" thickBot="1">
      <c r="B48" s="35" t="s">
        <v>69</v>
      </c>
      <c r="C48" s="35" t="s">
        <v>510</v>
      </c>
      <c r="D48" s="35" t="s">
        <v>696</v>
      </c>
      <c r="E48" s="144" t="str">
        <f>Stock!G4</f>
        <v>IE</v>
      </c>
      <c r="F48" s="144" t="str">
        <f>Stock!H4</f>
        <v>IE-CW</v>
      </c>
      <c r="G48" s="144" t="str">
        <f>Stock!I4</f>
        <v>IE-D</v>
      </c>
      <c r="H48" s="144" t="str">
        <f>Stock!J4</f>
        <v>IE-KE</v>
      </c>
      <c r="I48" s="144" t="str">
        <f>Stock!K4</f>
        <v>IE-KK</v>
      </c>
      <c r="J48" s="144" t="str">
        <f>Stock!L4</f>
        <v>IE-LS</v>
      </c>
      <c r="K48" s="144" t="str">
        <f>Stock!M4</f>
        <v>IE-LD</v>
      </c>
      <c r="L48" s="144" t="str">
        <f>Stock!N4</f>
        <v>IE-LH</v>
      </c>
      <c r="M48" s="144" t="str">
        <f>Stock!O4</f>
        <v>IE-MH</v>
      </c>
      <c r="N48" s="144" t="str">
        <f>Stock!P4</f>
        <v>IE-OY</v>
      </c>
      <c r="O48" s="144" t="str">
        <f>Stock!Q4</f>
        <v>IE-WH</v>
      </c>
      <c r="P48" s="144" t="str">
        <f>Stock!R4</f>
        <v>IE-WX</v>
      </c>
      <c r="Q48" s="144" t="str">
        <f>Stock!S4</f>
        <v>IE-WW</v>
      </c>
      <c r="R48" s="144" t="str">
        <f>Stock!T4</f>
        <v>IE-CE</v>
      </c>
      <c r="S48" s="144" t="str">
        <f>Stock!U4</f>
        <v>IE-CO</v>
      </c>
      <c r="T48" s="144" t="str">
        <f>Stock!V4</f>
        <v>IE-KY</v>
      </c>
      <c r="U48" s="144" t="str">
        <f>Stock!W4</f>
        <v>IE-LK</v>
      </c>
      <c r="V48" s="144" t="str">
        <f>Stock!X4</f>
        <v>IE-TA</v>
      </c>
      <c r="W48" s="144" t="str">
        <f>Stock!Y4</f>
        <v>IE-WD</v>
      </c>
      <c r="X48" s="144" t="str">
        <f>Stock!Z4</f>
        <v>IE-G</v>
      </c>
      <c r="Y48" s="144" t="str">
        <f>Stock!AA4</f>
        <v>IE-LM</v>
      </c>
      <c r="Z48" s="144" t="str">
        <f>Stock!AB4</f>
        <v>IE-MO</v>
      </c>
      <c r="AA48" s="144" t="str">
        <f>Stock!AC4</f>
        <v>IE-RN</v>
      </c>
      <c r="AB48" s="144" t="str">
        <f>Stock!AD4</f>
        <v>IE-SO</v>
      </c>
      <c r="AC48" s="144" t="str">
        <f>Stock!AE4</f>
        <v>IE-CN</v>
      </c>
      <c r="AD48" s="144" t="str">
        <f>Stock!AF4</f>
        <v>IE-DL</v>
      </c>
      <c r="AE48" s="144" t="str">
        <f>Stock!AG4</f>
        <v>IE-MN</v>
      </c>
    </row>
    <row r="49" spans="2:31">
      <c r="B49" s="143" t="s">
        <v>699</v>
      </c>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row>
    <row r="50" spans="2:31">
      <c r="B50" s="78" t="str">
        <f>Processes!D6</f>
        <v>T-WLK_WLK</v>
      </c>
      <c r="C50" s="78" t="s">
        <v>778</v>
      </c>
      <c r="D50" s="78" t="s">
        <v>697</v>
      </c>
      <c r="E50" s="159">
        <v>1</v>
      </c>
      <c r="F50" s="159">
        <v>1</v>
      </c>
      <c r="G50" s="159">
        <v>1</v>
      </c>
      <c r="H50" s="159">
        <v>1</v>
      </c>
      <c r="I50" s="159">
        <v>1</v>
      </c>
      <c r="J50" s="159">
        <v>1</v>
      </c>
      <c r="K50" s="159">
        <v>1</v>
      </c>
      <c r="L50" s="159">
        <v>1</v>
      </c>
      <c r="M50" s="159">
        <v>1</v>
      </c>
      <c r="N50" s="159">
        <v>1</v>
      </c>
      <c r="O50" s="159">
        <v>1</v>
      </c>
      <c r="P50" s="159">
        <v>1</v>
      </c>
      <c r="Q50" s="159">
        <v>1</v>
      </c>
      <c r="R50" s="159">
        <v>1</v>
      </c>
      <c r="S50" s="159">
        <v>1</v>
      </c>
      <c r="T50" s="159">
        <v>1</v>
      </c>
      <c r="U50" s="159">
        <v>1</v>
      </c>
      <c r="V50" s="159">
        <v>1</v>
      </c>
      <c r="W50" s="159">
        <v>1</v>
      </c>
      <c r="X50" s="159">
        <v>1</v>
      </c>
      <c r="Y50" s="159">
        <v>1</v>
      </c>
      <c r="Z50" s="159">
        <v>1</v>
      </c>
      <c r="AA50" s="159">
        <v>1</v>
      </c>
      <c r="AB50" s="159">
        <v>1</v>
      </c>
      <c r="AC50" s="159">
        <v>1</v>
      </c>
      <c r="AD50" s="159">
        <v>1</v>
      </c>
      <c r="AE50" s="159">
        <v>1</v>
      </c>
    </row>
    <row r="51" spans="2:31">
      <c r="B51" s="78" t="str">
        <f>Processes!D7</f>
        <v>T-CYC_CYC</v>
      </c>
      <c r="C51" s="78" t="s">
        <v>778</v>
      </c>
      <c r="D51" s="78" t="s">
        <v>697</v>
      </c>
      <c r="E51" s="159">
        <v>1</v>
      </c>
      <c r="F51" s="159">
        <v>1</v>
      </c>
      <c r="G51" s="159">
        <v>1</v>
      </c>
      <c r="H51" s="159">
        <v>1</v>
      </c>
      <c r="I51" s="159">
        <v>1</v>
      </c>
      <c r="J51" s="159">
        <v>1</v>
      </c>
      <c r="K51" s="159">
        <v>1</v>
      </c>
      <c r="L51" s="159">
        <v>1</v>
      </c>
      <c r="M51" s="159">
        <v>1</v>
      </c>
      <c r="N51" s="159">
        <v>1</v>
      </c>
      <c r="O51" s="159">
        <v>1</v>
      </c>
      <c r="P51" s="159">
        <v>1</v>
      </c>
      <c r="Q51" s="159">
        <v>1</v>
      </c>
      <c r="R51" s="159">
        <v>1</v>
      </c>
      <c r="S51" s="159">
        <v>1</v>
      </c>
      <c r="T51" s="159">
        <v>1</v>
      </c>
      <c r="U51" s="159">
        <v>1</v>
      </c>
      <c r="V51" s="159">
        <v>1</v>
      </c>
      <c r="W51" s="159">
        <v>1</v>
      </c>
      <c r="X51" s="159">
        <v>1</v>
      </c>
      <c r="Y51" s="159">
        <v>1</v>
      </c>
      <c r="Z51" s="159">
        <v>1</v>
      </c>
      <c r="AA51" s="159">
        <v>1</v>
      </c>
      <c r="AB51" s="159">
        <v>1</v>
      </c>
      <c r="AC51" s="159">
        <v>1</v>
      </c>
      <c r="AD51" s="159">
        <v>1</v>
      </c>
      <c r="AE51" s="159">
        <v>1</v>
      </c>
    </row>
    <row r="52" spans="2:31">
      <c r="B52" s="78" t="str">
        <f>Processes!D9</f>
        <v>T-MOT-ICE_GSL00</v>
      </c>
      <c r="C52" s="78" t="s">
        <v>778</v>
      </c>
      <c r="D52" s="78" t="s">
        <v>697</v>
      </c>
      <c r="E52" s="159">
        <v>1.1000000000000001</v>
      </c>
      <c r="F52" s="159">
        <f>E52</f>
        <v>1.1000000000000001</v>
      </c>
      <c r="G52" s="159">
        <f t="shared" ref="G52:AE52" si="31">F52</f>
        <v>1.1000000000000001</v>
      </c>
      <c r="H52" s="159">
        <f t="shared" si="31"/>
        <v>1.1000000000000001</v>
      </c>
      <c r="I52" s="159">
        <f t="shared" si="31"/>
        <v>1.1000000000000001</v>
      </c>
      <c r="J52" s="159">
        <f t="shared" si="31"/>
        <v>1.1000000000000001</v>
      </c>
      <c r="K52" s="159">
        <f t="shared" si="31"/>
        <v>1.1000000000000001</v>
      </c>
      <c r="L52" s="159">
        <f t="shared" si="31"/>
        <v>1.1000000000000001</v>
      </c>
      <c r="M52" s="159">
        <f t="shared" si="31"/>
        <v>1.1000000000000001</v>
      </c>
      <c r="N52" s="159">
        <f t="shared" si="31"/>
        <v>1.1000000000000001</v>
      </c>
      <c r="O52" s="159">
        <f t="shared" si="31"/>
        <v>1.1000000000000001</v>
      </c>
      <c r="P52" s="159">
        <f t="shared" si="31"/>
        <v>1.1000000000000001</v>
      </c>
      <c r="Q52" s="159">
        <f t="shared" si="31"/>
        <v>1.1000000000000001</v>
      </c>
      <c r="R52" s="159">
        <f t="shared" si="31"/>
        <v>1.1000000000000001</v>
      </c>
      <c r="S52" s="159">
        <f t="shared" si="31"/>
        <v>1.1000000000000001</v>
      </c>
      <c r="T52" s="159">
        <f t="shared" si="31"/>
        <v>1.1000000000000001</v>
      </c>
      <c r="U52" s="159">
        <f t="shared" si="31"/>
        <v>1.1000000000000001</v>
      </c>
      <c r="V52" s="159">
        <f t="shared" si="31"/>
        <v>1.1000000000000001</v>
      </c>
      <c r="W52" s="159">
        <f t="shared" si="31"/>
        <v>1.1000000000000001</v>
      </c>
      <c r="X52" s="159">
        <f t="shared" si="31"/>
        <v>1.1000000000000001</v>
      </c>
      <c r="Y52" s="159">
        <f t="shared" si="31"/>
        <v>1.1000000000000001</v>
      </c>
      <c r="Z52" s="159">
        <f t="shared" si="31"/>
        <v>1.1000000000000001</v>
      </c>
      <c r="AA52" s="159">
        <f t="shared" si="31"/>
        <v>1.1000000000000001</v>
      </c>
      <c r="AB52" s="159">
        <f t="shared" si="31"/>
        <v>1.1000000000000001</v>
      </c>
      <c r="AC52" s="159">
        <f t="shared" si="31"/>
        <v>1.1000000000000001</v>
      </c>
      <c r="AD52" s="159">
        <f t="shared" si="31"/>
        <v>1.1000000000000001</v>
      </c>
      <c r="AE52" s="159">
        <f t="shared" si="31"/>
        <v>1.1000000000000001</v>
      </c>
    </row>
    <row r="53" spans="2:31">
      <c r="B53" s="78" t="str">
        <f>Processes!D11</f>
        <v>T-CAR-ICE_GSL00</v>
      </c>
      <c r="C53" s="78" t="s">
        <v>778</v>
      </c>
      <c r="D53" s="78" t="s">
        <v>697</v>
      </c>
      <c r="E53" s="159">
        <f>N95</f>
        <v>1.49201152283105</v>
      </c>
      <c r="F53" s="159">
        <f>E53</f>
        <v>1.49201152283105</v>
      </c>
      <c r="G53" s="159">
        <f t="shared" ref="G53:AE64" si="32">F53</f>
        <v>1.49201152283105</v>
      </c>
      <c r="H53" s="159">
        <f t="shared" si="32"/>
        <v>1.49201152283105</v>
      </c>
      <c r="I53" s="159">
        <f t="shared" si="32"/>
        <v>1.49201152283105</v>
      </c>
      <c r="J53" s="159">
        <f t="shared" si="32"/>
        <v>1.49201152283105</v>
      </c>
      <c r="K53" s="159">
        <f t="shared" si="32"/>
        <v>1.49201152283105</v>
      </c>
      <c r="L53" s="159">
        <f t="shared" si="32"/>
        <v>1.49201152283105</v>
      </c>
      <c r="M53" s="159">
        <f t="shared" si="32"/>
        <v>1.49201152283105</v>
      </c>
      <c r="N53" s="159">
        <f t="shared" si="32"/>
        <v>1.49201152283105</v>
      </c>
      <c r="O53" s="159">
        <f t="shared" si="32"/>
        <v>1.49201152283105</v>
      </c>
      <c r="P53" s="159">
        <f t="shared" si="32"/>
        <v>1.49201152283105</v>
      </c>
      <c r="Q53" s="159">
        <f t="shared" si="32"/>
        <v>1.49201152283105</v>
      </c>
      <c r="R53" s="159">
        <f t="shared" si="32"/>
        <v>1.49201152283105</v>
      </c>
      <c r="S53" s="159">
        <f t="shared" si="32"/>
        <v>1.49201152283105</v>
      </c>
      <c r="T53" s="159">
        <f t="shared" si="32"/>
        <v>1.49201152283105</v>
      </c>
      <c r="U53" s="159">
        <f t="shared" si="32"/>
        <v>1.49201152283105</v>
      </c>
      <c r="V53" s="159">
        <f t="shared" si="32"/>
        <v>1.49201152283105</v>
      </c>
      <c r="W53" s="159">
        <f t="shared" si="32"/>
        <v>1.49201152283105</v>
      </c>
      <c r="X53" s="159">
        <f t="shared" si="32"/>
        <v>1.49201152283105</v>
      </c>
      <c r="Y53" s="159">
        <f t="shared" si="32"/>
        <v>1.49201152283105</v>
      </c>
      <c r="Z53" s="159">
        <f t="shared" si="32"/>
        <v>1.49201152283105</v>
      </c>
      <c r="AA53" s="159">
        <f t="shared" si="32"/>
        <v>1.49201152283105</v>
      </c>
      <c r="AB53" s="159">
        <f t="shared" si="32"/>
        <v>1.49201152283105</v>
      </c>
      <c r="AC53" s="159">
        <f t="shared" si="32"/>
        <v>1.49201152283105</v>
      </c>
      <c r="AD53" s="159">
        <f t="shared" si="32"/>
        <v>1.49201152283105</v>
      </c>
      <c r="AE53" s="159">
        <f t="shared" si="32"/>
        <v>1.49201152283105</v>
      </c>
    </row>
    <row r="54" spans="2:31">
      <c r="B54" s="78" t="str">
        <f>Processes!D12</f>
        <v>T-CAR-ICE_DST00</v>
      </c>
      <c r="C54" s="78" t="s">
        <v>778</v>
      </c>
      <c r="D54" s="78" t="s">
        <v>697</v>
      </c>
      <c r="E54" s="159">
        <f>N95</f>
        <v>1.49201152283105</v>
      </c>
      <c r="F54" s="159">
        <f t="shared" ref="F54:F65" si="33">E54</f>
        <v>1.49201152283105</v>
      </c>
      <c r="G54" s="159">
        <f t="shared" si="32"/>
        <v>1.49201152283105</v>
      </c>
      <c r="H54" s="159">
        <f t="shared" si="32"/>
        <v>1.49201152283105</v>
      </c>
      <c r="I54" s="159">
        <f t="shared" si="32"/>
        <v>1.49201152283105</v>
      </c>
      <c r="J54" s="159">
        <f t="shared" si="32"/>
        <v>1.49201152283105</v>
      </c>
      <c r="K54" s="159">
        <f t="shared" si="32"/>
        <v>1.49201152283105</v>
      </c>
      <c r="L54" s="159">
        <f t="shared" si="32"/>
        <v>1.49201152283105</v>
      </c>
      <c r="M54" s="159">
        <f t="shared" si="32"/>
        <v>1.49201152283105</v>
      </c>
      <c r="N54" s="159">
        <f t="shared" si="32"/>
        <v>1.49201152283105</v>
      </c>
      <c r="O54" s="159">
        <f t="shared" si="32"/>
        <v>1.49201152283105</v>
      </c>
      <c r="P54" s="159">
        <f t="shared" si="32"/>
        <v>1.49201152283105</v>
      </c>
      <c r="Q54" s="159">
        <f t="shared" si="32"/>
        <v>1.49201152283105</v>
      </c>
      <c r="R54" s="159">
        <f t="shared" si="32"/>
        <v>1.49201152283105</v>
      </c>
      <c r="S54" s="159">
        <f t="shared" si="32"/>
        <v>1.49201152283105</v>
      </c>
      <c r="T54" s="159">
        <f t="shared" si="32"/>
        <v>1.49201152283105</v>
      </c>
      <c r="U54" s="159">
        <f t="shared" si="32"/>
        <v>1.49201152283105</v>
      </c>
      <c r="V54" s="159">
        <f t="shared" si="32"/>
        <v>1.49201152283105</v>
      </c>
      <c r="W54" s="159">
        <f t="shared" si="32"/>
        <v>1.49201152283105</v>
      </c>
      <c r="X54" s="159">
        <f t="shared" si="32"/>
        <v>1.49201152283105</v>
      </c>
      <c r="Y54" s="159">
        <f t="shared" si="32"/>
        <v>1.49201152283105</v>
      </c>
      <c r="Z54" s="159">
        <f t="shared" si="32"/>
        <v>1.49201152283105</v>
      </c>
      <c r="AA54" s="159">
        <f t="shared" si="32"/>
        <v>1.49201152283105</v>
      </c>
      <c r="AB54" s="159">
        <f t="shared" si="32"/>
        <v>1.49201152283105</v>
      </c>
      <c r="AC54" s="159">
        <f t="shared" si="32"/>
        <v>1.49201152283105</v>
      </c>
      <c r="AD54" s="159">
        <f t="shared" si="32"/>
        <v>1.49201152283105</v>
      </c>
      <c r="AE54" s="159">
        <f t="shared" si="32"/>
        <v>1.49201152283105</v>
      </c>
    </row>
    <row r="55" spans="2:31">
      <c r="B55" s="78" t="str">
        <f>Processes!D13</f>
        <v>T-CAR-ICE_DF00</v>
      </c>
      <c r="C55" s="78" t="s">
        <v>778</v>
      </c>
      <c r="D55" s="78" t="s">
        <v>697</v>
      </c>
      <c r="E55" s="159">
        <f>N95</f>
        <v>1.49201152283105</v>
      </c>
      <c r="F55" s="159">
        <f t="shared" si="33"/>
        <v>1.49201152283105</v>
      </c>
      <c r="G55" s="159">
        <f t="shared" si="32"/>
        <v>1.49201152283105</v>
      </c>
      <c r="H55" s="159">
        <f t="shared" si="32"/>
        <v>1.49201152283105</v>
      </c>
      <c r="I55" s="159">
        <f t="shared" si="32"/>
        <v>1.49201152283105</v>
      </c>
      <c r="J55" s="159">
        <f t="shared" si="32"/>
        <v>1.49201152283105</v>
      </c>
      <c r="K55" s="159">
        <f t="shared" si="32"/>
        <v>1.49201152283105</v>
      </c>
      <c r="L55" s="159">
        <f t="shared" si="32"/>
        <v>1.49201152283105</v>
      </c>
      <c r="M55" s="159">
        <f t="shared" si="32"/>
        <v>1.49201152283105</v>
      </c>
      <c r="N55" s="159">
        <f t="shared" si="32"/>
        <v>1.49201152283105</v>
      </c>
      <c r="O55" s="159">
        <f t="shared" si="32"/>
        <v>1.49201152283105</v>
      </c>
      <c r="P55" s="159">
        <f t="shared" si="32"/>
        <v>1.49201152283105</v>
      </c>
      <c r="Q55" s="159">
        <f t="shared" si="32"/>
        <v>1.49201152283105</v>
      </c>
      <c r="R55" s="159">
        <f t="shared" si="32"/>
        <v>1.49201152283105</v>
      </c>
      <c r="S55" s="159">
        <f t="shared" si="32"/>
        <v>1.49201152283105</v>
      </c>
      <c r="T55" s="159">
        <f t="shared" si="32"/>
        <v>1.49201152283105</v>
      </c>
      <c r="U55" s="159">
        <f t="shared" si="32"/>
        <v>1.49201152283105</v>
      </c>
      <c r="V55" s="159">
        <f t="shared" si="32"/>
        <v>1.49201152283105</v>
      </c>
      <c r="W55" s="159">
        <f t="shared" si="32"/>
        <v>1.49201152283105</v>
      </c>
      <c r="X55" s="159">
        <f t="shared" si="32"/>
        <v>1.49201152283105</v>
      </c>
      <c r="Y55" s="159">
        <f t="shared" si="32"/>
        <v>1.49201152283105</v>
      </c>
      <c r="Z55" s="159">
        <f t="shared" si="32"/>
        <v>1.49201152283105</v>
      </c>
      <c r="AA55" s="159">
        <f t="shared" si="32"/>
        <v>1.49201152283105</v>
      </c>
      <c r="AB55" s="159">
        <f t="shared" si="32"/>
        <v>1.49201152283105</v>
      </c>
      <c r="AC55" s="159">
        <f t="shared" si="32"/>
        <v>1.49201152283105</v>
      </c>
      <c r="AD55" s="159">
        <f t="shared" si="32"/>
        <v>1.49201152283105</v>
      </c>
      <c r="AE55" s="159">
        <f t="shared" si="32"/>
        <v>1.49201152283105</v>
      </c>
    </row>
    <row r="56" spans="2:31">
      <c r="B56" s="78" t="str">
        <f>Processes!D14</f>
        <v>T-CAR-ICE_E8500</v>
      </c>
      <c r="C56" s="78" t="s">
        <v>778</v>
      </c>
      <c r="D56" s="78" t="s">
        <v>697</v>
      </c>
      <c r="E56" s="159">
        <f>N95</f>
        <v>1.49201152283105</v>
      </c>
      <c r="F56" s="159">
        <f t="shared" si="33"/>
        <v>1.49201152283105</v>
      </c>
      <c r="G56" s="159">
        <f t="shared" si="32"/>
        <v>1.49201152283105</v>
      </c>
      <c r="H56" s="159">
        <f t="shared" si="32"/>
        <v>1.49201152283105</v>
      </c>
      <c r="I56" s="159">
        <f t="shared" si="32"/>
        <v>1.49201152283105</v>
      </c>
      <c r="J56" s="159">
        <f t="shared" si="32"/>
        <v>1.49201152283105</v>
      </c>
      <c r="K56" s="159">
        <f t="shared" si="32"/>
        <v>1.49201152283105</v>
      </c>
      <c r="L56" s="159">
        <f t="shared" si="32"/>
        <v>1.49201152283105</v>
      </c>
      <c r="M56" s="159">
        <f t="shared" si="32"/>
        <v>1.49201152283105</v>
      </c>
      <c r="N56" s="159">
        <f t="shared" si="32"/>
        <v>1.49201152283105</v>
      </c>
      <c r="O56" s="159">
        <f t="shared" si="32"/>
        <v>1.49201152283105</v>
      </c>
      <c r="P56" s="159">
        <f t="shared" si="32"/>
        <v>1.49201152283105</v>
      </c>
      <c r="Q56" s="159">
        <f t="shared" si="32"/>
        <v>1.49201152283105</v>
      </c>
      <c r="R56" s="159">
        <f t="shared" si="32"/>
        <v>1.49201152283105</v>
      </c>
      <c r="S56" s="159">
        <f t="shared" si="32"/>
        <v>1.49201152283105</v>
      </c>
      <c r="T56" s="159">
        <f t="shared" si="32"/>
        <v>1.49201152283105</v>
      </c>
      <c r="U56" s="159">
        <f t="shared" si="32"/>
        <v>1.49201152283105</v>
      </c>
      <c r="V56" s="159">
        <f t="shared" si="32"/>
        <v>1.49201152283105</v>
      </c>
      <c r="W56" s="159">
        <f t="shared" si="32"/>
        <v>1.49201152283105</v>
      </c>
      <c r="X56" s="159">
        <f t="shared" si="32"/>
        <v>1.49201152283105</v>
      </c>
      <c r="Y56" s="159">
        <f t="shared" si="32"/>
        <v>1.49201152283105</v>
      </c>
      <c r="Z56" s="159">
        <f t="shared" si="32"/>
        <v>1.49201152283105</v>
      </c>
      <c r="AA56" s="159">
        <f t="shared" si="32"/>
        <v>1.49201152283105</v>
      </c>
      <c r="AB56" s="159">
        <f t="shared" si="32"/>
        <v>1.49201152283105</v>
      </c>
      <c r="AC56" s="159">
        <f t="shared" si="32"/>
        <v>1.49201152283105</v>
      </c>
      <c r="AD56" s="159">
        <f t="shared" si="32"/>
        <v>1.49201152283105</v>
      </c>
      <c r="AE56" s="159">
        <f t="shared" si="32"/>
        <v>1.49201152283105</v>
      </c>
    </row>
    <row r="57" spans="2:31">
      <c r="B57" s="78" t="str">
        <f>Processes!D15</f>
        <v>T-CAR-HEV_GSL00</v>
      </c>
      <c r="C57" s="78" t="s">
        <v>778</v>
      </c>
      <c r="D57" s="78" t="s">
        <v>697</v>
      </c>
      <c r="E57" s="159">
        <f>N95</f>
        <v>1.49201152283105</v>
      </c>
      <c r="F57" s="159">
        <f>E57</f>
        <v>1.49201152283105</v>
      </c>
      <c r="G57" s="159">
        <f t="shared" si="32"/>
        <v>1.49201152283105</v>
      </c>
      <c r="H57" s="159">
        <f t="shared" si="32"/>
        <v>1.49201152283105</v>
      </c>
      <c r="I57" s="159">
        <f t="shared" si="32"/>
        <v>1.49201152283105</v>
      </c>
      <c r="J57" s="159">
        <f t="shared" si="32"/>
        <v>1.49201152283105</v>
      </c>
      <c r="K57" s="159">
        <f t="shared" si="32"/>
        <v>1.49201152283105</v>
      </c>
      <c r="L57" s="159">
        <f t="shared" si="32"/>
        <v>1.49201152283105</v>
      </c>
      <c r="M57" s="159">
        <f t="shared" si="32"/>
        <v>1.49201152283105</v>
      </c>
      <c r="N57" s="159">
        <f t="shared" si="32"/>
        <v>1.49201152283105</v>
      </c>
      <c r="O57" s="159">
        <f t="shared" si="32"/>
        <v>1.49201152283105</v>
      </c>
      <c r="P57" s="159">
        <f t="shared" si="32"/>
        <v>1.49201152283105</v>
      </c>
      <c r="Q57" s="159">
        <f t="shared" si="32"/>
        <v>1.49201152283105</v>
      </c>
      <c r="R57" s="159">
        <f t="shared" si="32"/>
        <v>1.49201152283105</v>
      </c>
      <c r="S57" s="159">
        <f t="shared" si="32"/>
        <v>1.49201152283105</v>
      </c>
      <c r="T57" s="159">
        <f t="shared" si="32"/>
        <v>1.49201152283105</v>
      </c>
      <c r="U57" s="159">
        <f t="shared" si="32"/>
        <v>1.49201152283105</v>
      </c>
      <c r="V57" s="159">
        <f t="shared" si="32"/>
        <v>1.49201152283105</v>
      </c>
      <c r="W57" s="159">
        <f t="shared" si="32"/>
        <v>1.49201152283105</v>
      </c>
      <c r="X57" s="159">
        <f t="shared" si="32"/>
        <v>1.49201152283105</v>
      </c>
      <c r="Y57" s="159">
        <f t="shared" si="32"/>
        <v>1.49201152283105</v>
      </c>
      <c r="Z57" s="159">
        <f t="shared" si="32"/>
        <v>1.49201152283105</v>
      </c>
      <c r="AA57" s="159">
        <f t="shared" si="32"/>
        <v>1.49201152283105</v>
      </c>
      <c r="AB57" s="159">
        <f t="shared" si="32"/>
        <v>1.49201152283105</v>
      </c>
      <c r="AC57" s="159">
        <f t="shared" si="32"/>
        <v>1.49201152283105</v>
      </c>
      <c r="AD57" s="159">
        <f t="shared" si="32"/>
        <v>1.49201152283105</v>
      </c>
      <c r="AE57" s="159">
        <f t="shared" si="32"/>
        <v>1.49201152283105</v>
      </c>
    </row>
    <row r="58" spans="2:31">
      <c r="B58" s="78" t="str">
        <f>Processes!D16</f>
        <v>T-CAR-HEV_DST00</v>
      </c>
      <c r="C58" s="78" t="s">
        <v>778</v>
      </c>
      <c r="D58" s="78" t="s">
        <v>697</v>
      </c>
      <c r="E58" s="159">
        <f>N95</f>
        <v>1.49201152283105</v>
      </c>
      <c r="F58" s="159">
        <f>E58</f>
        <v>1.49201152283105</v>
      </c>
      <c r="G58" s="159">
        <f t="shared" ref="G58:AE58" si="34">F58</f>
        <v>1.49201152283105</v>
      </c>
      <c r="H58" s="159">
        <f t="shared" si="34"/>
        <v>1.49201152283105</v>
      </c>
      <c r="I58" s="159">
        <f t="shared" si="34"/>
        <v>1.49201152283105</v>
      </c>
      <c r="J58" s="159">
        <f t="shared" si="34"/>
        <v>1.49201152283105</v>
      </c>
      <c r="K58" s="159">
        <f t="shared" si="34"/>
        <v>1.49201152283105</v>
      </c>
      <c r="L58" s="159">
        <f t="shared" si="34"/>
        <v>1.49201152283105</v>
      </c>
      <c r="M58" s="159">
        <f t="shared" si="34"/>
        <v>1.49201152283105</v>
      </c>
      <c r="N58" s="159">
        <f t="shared" si="34"/>
        <v>1.49201152283105</v>
      </c>
      <c r="O58" s="159">
        <f t="shared" si="34"/>
        <v>1.49201152283105</v>
      </c>
      <c r="P58" s="159">
        <f t="shared" si="34"/>
        <v>1.49201152283105</v>
      </c>
      <c r="Q58" s="159">
        <f t="shared" si="34"/>
        <v>1.49201152283105</v>
      </c>
      <c r="R58" s="159">
        <f t="shared" si="34"/>
        <v>1.49201152283105</v>
      </c>
      <c r="S58" s="159">
        <f t="shared" si="34"/>
        <v>1.49201152283105</v>
      </c>
      <c r="T58" s="159">
        <f t="shared" si="34"/>
        <v>1.49201152283105</v>
      </c>
      <c r="U58" s="159">
        <f t="shared" si="34"/>
        <v>1.49201152283105</v>
      </c>
      <c r="V58" s="159">
        <f t="shared" si="34"/>
        <v>1.49201152283105</v>
      </c>
      <c r="W58" s="159">
        <f t="shared" si="34"/>
        <v>1.49201152283105</v>
      </c>
      <c r="X58" s="159">
        <f t="shared" si="34"/>
        <v>1.49201152283105</v>
      </c>
      <c r="Y58" s="159">
        <f t="shared" si="34"/>
        <v>1.49201152283105</v>
      </c>
      <c r="Z58" s="159">
        <f t="shared" si="34"/>
        <v>1.49201152283105</v>
      </c>
      <c r="AA58" s="159">
        <f t="shared" si="34"/>
        <v>1.49201152283105</v>
      </c>
      <c r="AB58" s="159">
        <f t="shared" si="34"/>
        <v>1.49201152283105</v>
      </c>
      <c r="AC58" s="159">
        <f t="shared" si="34"/>
        <v>1.49201152283105</v>
      </c>
      <c r="AD58" s="159">
        <f t="shared" si="34"/>
        <v>1.49201152283105</v>
      </c>
      <c r="AE58" s="159">
        <f t="shared" si="34"/>
        <v>1.49201152283105</v>
      </c>
    </row>
    <row r="59" spans="2:31">
      <c r="B59" s="78" t="str">
        <f>Processes!D17</f>
        <v>T-CAR-PHEV_GSL00</v>
      </c>
      <c r="C59" s="78" t="s">
        <v>778</v>
      </c>
      <c r="D59" s="78" t="s">
        <v>697</v>
      </c>
      <c r="E59" s="159">
        <f>N95</f>
        <v>1.49201152283105</v>
      </c>
      <c r="F59" s="159">
        <f t="shared" si="33"/>
        <v>1.49201152283105</v>
      </c>
      <c r="G59" s="159">
        <f t="shared" si="32"/>
        <v>1.49201152283105</v>
      </c>
      <c r="H59" s="159">
        <f t="shared" si="32"/>
        <v>1.49201152283105</v>
      </c>
      <c r="I59" s="159">
        <f t="shared" si="32"/>
        <v>1.49201152283105</v>
      </c>
      <c r="J59" s="159">
        <f t="shared" si="32"/>
        <v>1.49201152283105</v>
      </c>
      <c r="K59" s="159">
        <f t="shared" si="32"/>
        <v>1.49201152283105</v>
      </c>
      <c r="L59" s="159">
        <f t="shared" si="32"/>
        <v>1.49201152283105</v>
      </c>
      <c r="M59" s="159">
        <f t="shared" si="32"/>
        <v>1.49201152283105</v>
      </c>
      <c r="N59" s="159">
        <f t="shared" si="32"/>
        <v>1.49201152283105</v>
      </c>
      <c r="O59" s="159">
        <f t="shared" si="32"/>
        <v>1.49201152283105</v>
      </c>
      <c r="P59" s="159">
        <f t="shared" si="32"/>
        <v>1.49201152283105</v>
      </c>
      <c r="Q59" s="159">
        <f t="shared" si="32"/>
        <v>1.49201152283105</v>
      </c>
      <c r="R59" s="159">
        <f t="shared" si="32"/>
        <v>1.49201152283105</v>
      </c>
      <c r="S59" s="159">
        <f t="shared" si="32"/>
        <v>1.49201152283105</v>
      </c>
      <c r="T59" s="159">
        <f t="shared" si="32"/>
        <v>1.49201152283105</v>
      </c>
      <c r="U59" s="159">
        <f t="shared" si="32"/>
        <v>1.49201152283105</v>
      </c>
      <c r="V59" s="159">
        <f t="shared" si="32"/>
        <v>1.49201152283105</v>
      </c>
      <c r="W59" s="159">
        <f t="shared" si="32"/>
        <v>1.49201152283105</v>
      </c>
      <c r="X59" s="159">
        <f t="shared" si="32"/>
        <v>1.49201152283105</v>
      </c>
      <c r="Y59" s="159">
        <f t="shared" si="32"/>
        <v>1.49201152283105</v>
      </c>
      <c r="Z59" s="159">
        <f t="shared" si="32"/>
        <v>1.49201152283105</v>
      </c>
      <c r="AA59" s="159">
        <f t="shared" si="32"/>
        <v>1.49201152283105</v>
      </c>
      <c r="AB59" s="159">
        <f t="shared" si="32"/>
        <v>1.49201152283105</v>
      </c>
      <c r="AC59" s="159">
        <f t="shared" si="32"/>
        <v>1.49201152283105</v>
      </c>
      <c r="AD59" s="159">
        <f t="shared" si="32"/>
        <v>1.49201152283105</v>
      </c>
      <c r="AE59" s="159">
        <f t="shared" si="32"/>
        <v>1.49201152283105</v>
      </c>
    </row>
    <row r="60" spans="2:31">
      <c r="B60" s="78" t="str">
        <f>Processes!D18</f>
        <v>T-CAR-PHEV_DST00</v>
      </c>
      <c r="C60" s="78" t="s">
        <v>778</v>
      </c>
      <c r="D60" s="78" t="s">
        <v>697</v>
      </c>
      <c r="E60" s="159">
        <f>N95</f>
        <v>1.49201152283105</v>
      </c>
      <c r="F60" s="159">
        <f t="shared" si="33"/>
        <v>1.49201152283105</v>
      </c>
      <c r="G60" s="159">
        <f t="shared" si="32"/>
        <v>1.49201152283105</v>
      </c>
      <c r="H60" s="159">
        <f t="shared" si="32"/>
        <v>1.49201152283105</v>
      </c>
      <c r="I60" s="159">
        <f t="shared" si="32"/>
        <v>1.49201152283105</v>
      </c>
      <c r="J60" s="159">
        <f t="shared" si="32"/>
        <v>1.49201152283105</v>
      </c>
      <c r="K60" s="159">
        <f t="shared" si="32"/>
        <v>1.49201152283105</v>
      </c>
      <c r="L60" s="159">
        <f t="shared" si="32"/>
        <v>1.49201152283105</v>
      </c>
      <c r="M60" s="159">
        <f t="shared" si="32"/>
        <v>1.49201152283105</v>
      </c>
      <c r="N60" s="159">
        <f t="shared" si="32"/>
        <v>1.49201152283105</v>
      </c>
      <c r="O60" s="159">
        <f t="shared" si="32"/>
        <v>1.49201152283105</v>
      </c>
      <c r="P60" s="159">
        <f t="shared" si="32"/>
        <v>1.49201152283105</v>
      </c>
      <c r="Q60" s="159">
        <f t="shared" si="32"/>
        <v>1.49201152283105</v>
      </c>
      <c r="R60" s="159">
        <f t="shared" si="32"/>
        <v>1.49201152283105</v>
      </c>
      <c r="S60" s="159">
        <f t="shared" si="32"/>
        <v>1.49201152283105</v>
      </c>
      <c r="T60" s="159">
        <f t="shared" si="32"/>
        <v>1.49201152283105</v>
      </c>
      <c r="U60" s="159">
        <f t="shared" si="32"/>
        <v>1.49201152283105</v>
      </c>
      <c r="V60" s="159">
        <f t="shared" si="32"/>
        <v>1.49201152283105</v>
      </c>
      <c r="W60" s="159">
        <f t="shared" si="32"/>
        <v>1.49201152283105</v>
      </c>
      <c r="X60" s="159">
        <f t="shared" si="32"/>
        <v>1.49201152283105</v>
      </c>
      <c r="Y60" s="159">
        <f t="shared" si="32"/>
        <v>1.49201152283105</v>
      </c>
      <c r="Z60" s="159">
        <f t="shared" si="32"/>
        <v>1.49201152283105</v>
      </c>
      <c r="AA60" s="159">
        <f t="shared" si="32"/>
        <v>1.49201152283105</v>
      </c>
      <c r="AB60" s="159">
        <f t="shared" si="32"/>
        <v>1.49201152283105</v>
      </c>
      <c r="AC60" s="159">
        <f t="shared" si="32"/>
        <v>1.49201152283105</v>
      </c>
      <c r="AD60" s="159">
        <f t="shared" si="32"/>
        <v>1.49201152283105</v>
      </c>
      <c r="AE60" s="159">
        <f t="shared" si="32"/>
        <v>1.49201152283105</v>
      </c>
    </row>
    <row r="61" spans="2:31">
      <c r="B61" s="78" t="str">
        <f>Processes!D19</f>
        <v>T-CAR-BEV_ELC00</v>
      </c>
      <c r="C61" s="78" t="s">
        <v>778</v>
      </c>
      <c r="D61" s="78" t="s">
        <v>697</v>
      </c>
      <c r="E61" s="159">
        <f>N95</f>
        <v>1.49201152283105</v>
      </c>
      <c r="F61" s="159">
        <f t="shared" si="33"/>
        <v>1.49201152283105</v>
      </c>
      <c r="G61" s="159">
        <f t="shared" si="32"/>
        <v>1.49201152283105</v>
      </c>
      <c r="H61" s="159">
        <f t="shared" si="32"/>
        <v>1.49201152283105</v>
      </c>
      <c r="I61" s="159">
        <f t="shared" si="32"/>
        <v>1.49201152283105</v>
      </c>
      <c r="J61" s="159">
        <f t="shared" si="32"/>
        <v>1.49201152283105</v>
      </c>
      <c r="K61" s="159">
        <f t="shared" si="32"/>
        <v>1.49201152283105</v>
      </c>
      <c r="L61" s="159">
        <f t="shared" si="32"/>
        <v>1.49201152283105</v>
      </c>
      <c r="M61" s="159">
        <f t="shared" si="32"/>
        <v>1.49201152283105</v>
      </c>
      <c r="N61" s="159">
        <f t="shared" si="32"/>
        <v>1.49201152283105</v>
      </c>
      <c r="O61" s="159">
        <f t="shared" si="32"/>
        <v>1.49201152283105</v>
      </c>
      <c r="P61" s="159">
        <f t="shared" si="32"/>
        <v>1.49201152283105</v>
      </c>
      <c r="Q61" s="159">
        <f t="shared" si="32"/>
        <v>1.49201152283105</v>
      </c>
      <c r="R61" s="159">
        <f t="shared" si="32"/>
        <v>1.49201152283105</v>
      </c>
      <c r="S61" s="159">
        <f t="shared" si="32"/>
        <v>1.49201152283105</v>
      </c>
      <c r="T61" s="159">
        <f t="shared" si="32"/>
        <v>1.49201152283105</v>
      </c>
      <c r="U61" s="159">
        <f t="shared" si="32"/>
        <v>1.49201152283105</v>
      </c>
      <c r="V61" s="159">
        <f t="shared" si="32"/>
        <v>1.49201152283105</v>
      </c>
      <c r="W61" s="159">
        <f t="shared" si="32"/>
        <v>1.49201152283105</v>
      </c>
      <c r="X61" s="159">
        <f t="shared" si="32"/>
        <v>1.49201152283105</v>
      </c>
      <c r="Y61" s="159">
        <f t="shared" si="32"/>
        <v>1.49201152283105</v>
      </c>
      <c r="Z61" s="159">
        <f t="shared" si="32"/>
        <v>1.49201152283105</v>
      </c>
      <c r="AA61" s="159">
        <f t="shared" si="32"/>
        <v>1.49201152283105</v>
      </c>
      <c r="AB61" s="159">
        <f t="shared" si="32"/>
        <v>1.49201152283105</v>
      </c>
      <c r="AC61" s="159">
        <f t="shared" si="32"/>
        <v>1.49201152283105</v>
      </c>
      <c r="AD61" s="159">
        <f t="shared" si="32"/>
        <v>1.49201152283105</v>
      </c>
      <c r="AE61" s="159">
        <f t="shared" si="32"/>
        <v>1.49201152283105</v>
      </c>
    </row>
    <row r="62" spans="2:31">
      <c r="B62" s="78" t="str">
        <f>Processes!D21</f>
        <v>T-TAX-ICE_GSL00</v>
      </c>
      <c r="C62" s="78" t="s">
        <v>778</v>
      </c>
      <c r="D62" s="78" t="s">
        <v>697</v>
      </c>
      <c r="E62" s="159">
        <f>N95</f>
        <v>1.49201152283105</v>
      </c>
      <c r="F62" s="159">
        <f t="shared" si="33"/>
        <v>1.49201152283105</v>
      </c>
      <c r="G62" s="159">
        <f t="shared" si="32"/>
        <v>1.49201152283105</v>
      </c>
      <c r="H62" s="159">
        <f t="shared" si="32"/>
        <v>1.49201152283105</v>
      </c>
      <c r="I62" s="159">
        <f t="shared" si="32"/>
        <v>1.49201152283105</v>
      </c>
      <c r="J62" s="159">
        <f t="shared" si="32"/>
        <v>1.49201152283105</v>
      </c>
      <c r="K62" s="159">
        <f t="shared" si="32"/>
        <v>1.49201152283105</v>
      </c>
      <c r="L62" s="159">
        <f t="shared" si="32"/>
        <v>1.49201152283105</v>
      </c>
      <c r="M62" s="159">
        <f t="shared" si="32"/>
        <v>1.49201152283105</v>
      </c>
      <c r="N62" s="159">
        <f t="shared" si="32"/>
        <v>1.49201152283105</v>
      </c>
      <c r="O62" s="159">
        <f t="shared" si="32"/>
        <v>1.49201152283105</v>
      </c>
      <c r="P62" s="159">
        <f t="shared" si="32"/>
        <v>1.49201152283105</v>
      </c>
      <c r="Q62" s="159">
        <f t="shared" si="32"/>
        <v>1.49201152283105</v>
      </c>
      <c r="R62" s="159">
        <f t="shared" si="32"/>
        <v>1.49201152283105</v>
      </c>
      <c r="S62" s="159">
        <f t="shared" si="32"/>
        <v>1.49201152283105</v>
      </c>
      <c r="T62" s="159">
        <f t="shared" si="32"/>
        <v>1.49201152283105</v>
      </c>
      <c r="U62" s="159">
        <f t="shared" si="32"/>
        <v>1.49201152283105</v>
      </c>
      <c r="V62" s="159">
        <f t="shared" si="32"/>
        <v>1.49201152283105</v>
      </c>
      <c r="W62" s="159">
        <f t="shared" si="32"/>
        <v>1.49201152283105</v>
      </c>
      <c r="X62" s="159">
        <f t="shared" si="32"/>
        <v>1.49201152283105</v>
      </c>
      <c r="Y62" s="159">
        <f t="shared" si="32"/>
        <v>1.49201152283105</v>
      </c>
      <c r="Z62" s="159">
        <f t="shared" si="32"/>
        <v>1.49201152283105</v>
      </c>
      <c r="AA62" s="159">
        <f t="shared" si="32"/>
        <v>1.49201152283105</v>
      </c>
      <c r="AB62" s="159">
        <f t="shared" si="32"/>
        <v>1.49201152283105</v>
      </c>
      <c r="AC62" s="159">
        <f t="shared" si="32"/>
        <v>1.49201152283105</v>
      </c>
      <c r="AD62" s="159">
        <f t="shared" si="32"/>
        <v>1.49201152283105</v>
      </c>
      <c r="AE62" s="159">
        <f t="shared" si="32"/>
        <v>1.49201152283105</v>
      </c>
    </row>
    <row r="63" spans="2:31">
      <c r="B63" s="78" t="str">
        <f>Processes!D22</f>
        <v>T-TAX-ICE_DST00</v>
      </c>
      <c r="C63" s="78" t="s">
        <v>778</v>
      </c>
      <c r="D63" s="78" t="s">
        <v>697</v>
      </c>
      <c r="E63" s="159">
        <f>N95</f>
        <v>1.49201152283105</v>
      </c>
      <c r="F63" s="159">
        <f t="shared" si="33"/>
        <v>1.49201152283105</v>
      </c>
      <c r="G63" s="159">
        <f t="shared" si="32"/>
        <v>1.49201152283105</v>
      </c>
      <c r="H63" s="159">
        <f t="shared" si="32"/>
        <v>1.49201152283105</v>
      </c>
      <c r="I63" s="159">
        <f t="shared" si="32"/>
        <v>1.49201152283105</v>
      </c>
      <c r="J63" s="159">
        <f t="shared" si="32"/>
        <v>1.49201152283105</v>
      </c>
      <c r="K63" s="159">
        <f t="shared" si="32"/>
        <v>1.49201152283105</v>
      </c>
      <c r="L63" s="159">
        <f t="shared" si="32"/>
        <v>1.49201152283105</v>
      </c>
      <c r="M63" s="159">
        <f t="shared" si="32"/>
        <v>1.49201152283105</v>
      </c>
      <c r="N63" s="159">
        <f t="shared" si="32"/>
        <v>1.49201152283105</v>
      </c>
      <c r="O63" s="159">
        <f t="shared" si="32"/>
        <v>1.49201152283105</v>
      </c>
      <c r="P63" s="159">
        <f t="shared" si="32"/>
        <v>1.49201152283105</v>
      </c>
      <c r="Q63" s="159">
        <f t="shared" si="32"/>
        <v>1.49201152283105</v>
      </c>
      <c r="R63" s="159">
        <f t="shared" si="32"/>
        <v>1.49201152283105</v>
      </c>
      <c r="S63" s="159">
        <f t="shared" si="32"/>
        <v>1.49201152283105</v>
      </c>
      <c r="T63" s="159">
        <f t="shared" si="32"/>
        <v>1.49201152283105</v>
      </c>
      <c r="U63" s="159">
        <f t="shared" si="32"/>
        <v>1.49201152283105</v>
      </c>
      <c r="V63" s="159">
        <f t="shared" si="32"/>
        <v>1.49201152283105</v>
      </c>
      <c r="W63" s="159">
        <f t="shared" si="32"/>
        <v>1.49201152283105</v>
      </c>
      <c r="X63" s="159">
        <f t="shared" si="32"/>
        <v>1.49201152283105</v>
      </c>
      <c r="Y63" s="159">
        <f t="shared" si="32"/>
        <v>1.49201152283105</v>
      </c>
      <c r="Z63" s="159">
        <f t="shared" si="32"/>
        <v>1.49201152283105</v>
      </c>
      <c r="AA63" s="159">
        <f t="shared" si="32"/>
        <v>1.49201152283105</v>
      </c>
      <c r="AB63" s="159">
        <f t="shared" si="32"/>
        <v>1.49201152283105</v>
      </c>
      <c r="AC63" s="159">
        <f t="shared" si="32"/>
        <v>1.49201152283105</v>
      </c>
      <c r="AD63" s="159">
        <f t="shared" si="32"/>
        <v>1.49201152283105</v>
      </c>
      <c r="AE63" s="159">
        <f t="shared" si="32"/>
        <v>1.49201152283105</v>
      </c>
    </row>
    <row r="64" spans="2:31">
      <c r="B64" s="78" t="str">
        <f>Processes!D23</f>
        <v>T-TAX-HEV_GSL00</v>
      </c>
      <c r="C64" s="78" t="s">
        <v>778</v>
      </c>
      <c r="D64" s="78" t="s">
        <v>697</v>
      </c>
      <c r="E64" s="159">
        <f>N95</f>
        <v>1.49201152283105</v>
      </c>
      <c r="F64" s="159">
        <f t="shared" si="33"/>
        <v>1.49201152283105</v>
      </c>
      <c r="G64" s="159">
        <f t="shared" si="32"/>
        <v>1.49201152283105</v>
      </c>
      <c r="H64" s="159">
        <f t="shared" si="32"/>
        <v>1.49201152283105</v>
      </c>
      <c r="I64" s="159">
        <f t="shared" si="32"/>
        <v>1.49201152283105</v>
      </c>
      <c r="J64" s="159">
        <f t="shared" si="32"/>
        <v>1.49201152283105</v>
      </c>
      <c r="K64" s="159">
        <f t="shared" si="32"/>
        <v>1.49201152283105</v>
      </c>
      <c r="L64" s="159">
        <f t="shared" ref="L64:L68" si="35">K64</f>
        <v>1.49201152283105</v>
      </c>
      <c r="M64" s="159">
        <f t="shared" ref="M64:M68" si="36">L64</f>
        <v>1.49201152283105</v>
      </c>
      <c r="N64" s="159">
        <f t="shared" ref="N64:N68" si="37">M64</f>
        <v>1.49201152283105</v>
      </c>
      <c r="O64" s="159">
        <f t="shared" ref="O64:O68" si="38">N64</f>
        <v>1.49201152283105</v>
      </c>
      <c r="P64" s="159">
        <f t="shared" ref="P64:P68" si="39">O64</f>
        <v>1.49201152283105</v>
      </c>
      <c r="Q64" s="159">
        <f t="shared" ref="Q64:Q68" si="40">P64</f>
        <v>1.49201152283105</v>
      </c>
      <c r="R64" s="159">
        <f t="shared" ref="R64:R68" si="41">Q64</f>
        <v>1.49201152283105</v>
      </c>
      <c r="S64" s="159">
        <f t="shared" ref="S64:S68" si="42">R64</f>
        <v>1.49201152283105</v>
      </c>
      <c r="T64" s="159">
        <f t="shared" ref="T64:T68" si="43">S64</f>
        <v>1.49201152283105</v>
      </c>
      <c r="U64" s="159">
        <f t="shared" ref="U64:U68" si="44">T64</f>
        <v>1.49201152283105</v>
      </c>
      <c r="V64" s="159">
        <f t="shared" ref="V64:V68" si="45">U64</f>
        <v>1.49201152283105</v>
      </c>
      <c r="W64" s="159">
        <f t="shared" ref="W64:W68" si="46">V64</f>
        <v>1.49201152283105</v>
      </c>
      <c r="X64" s="159">
        <f t="shared" ref="X64:X68" si="47">W64</f>
        <v>1.49201152283105</v>
      </c>
      <c r="Y64" s="159">
        <f t="shared" ref="Y64:Y68" si="48">X64</f>
        <v>1.49201152283105</v>
      </c>
      <c r="Z64" s="159">
        <f t="shared" ref="Z64:Z68" si="49">Y64</f>
        <v>1.49201152283105</v>
      </c>
      <c r="AA64" s="159">
        <f t="shared" ref="AA64:AA68" si="50">Z64</f>
        <v>1.49201152283105</v>
      </c>
      <c r="AB64" s="159">
        <f t="shared" ref="AB64:AB68" si="51">AA64</f>
        <v>1.49201152283105</v>
      </c>
      <c r="AC64" s="159">
        <f t="shared" ref="AC64:AC68" si="52">AB64</f>
        <v>1.49201152283105</v>
      </c>
      <c r="AD64" s="159">
        <f t="shared" ref="AD64:AD68" si="53">AC64</f>
        <v>1.49201152283105</v>
      </c>
      <c r="AE64" s="159">
        <f t="shared" ref="AE64:AE68" si="54">AD64</f>
        <v>1.49201152283105</v>
      </c>
    </row>
    <row r="65" spans="2:31">
      <c r="B65" s="78" t="str">
        <f>Processes!D25</f>
        <v>T-BUS-ICE_DST00</v>
      </c>
      <c r="C65" s="78" t="s">
        <v>778</v>
      </c>
      <c r="D65" s="78" t="s">
        <v>697</v>
      </c>
      <c r="E65" s="160">
        <v>27.25</v>
      </c>
      <c r="F65" s="159">
        <f t="shared" si="33"/>
        <v>27.25</v>
      </c>
      <c r="G65" s="159">
        <f t="shared" ref="G65" si="55">F65</f>
        <v>27.25</v>
      </c>
      <c r="H65" s="159">
        <f t="shared" ref="H65" si="56">G65</f>
        <v>27.25</v>
      </c>
      <c r="I65" s="159">
        <f t="shared" ref="I65" si="57">H65</f>
        <v>27.25</v>
      </c>
      <c r="J65" s="159">
        <f t="shared" ref="J65:J68" si="58">I65</f>
        <v>27.25</v>
      </c>
      <c r="K65" s="159">
        <f t="shared" ref="K65:K68" si="59">J65</f>
        <v>27.25</v>
      </c>
      <c r="L65" s="159">
        <f t="shared" si="35"/>
        <v>27.25</v>
      </c>
      <c r="M65" s="159">
        <f t="shared" si="36"/>
        <v>27.25</v>
      </c>
      <c r="N65" s="159">
        <f t="shared" si="37"/>
        <v>27.25</v>
      </c>
      <c r="O65" s="159">
        <f t="shared" si="38"/>
        <v>27.25</v>
      </c>
      <c r="P65" s="159">
        <f t="shared" si="39"/>
        <v>27.25</v>
      </c>
      <c r="Q65" s="159">
        <f t="shared" si="40"/>
        <v>27.25</v>
      </c>
      <c r="R65" s="159">
        <f t="shared" si="41"/>
        <v>27.25</v>
      </c>
      <c r="S65" s="159">
        <f t="shared" si="42"/>
        <v>27.25</v>
      </c>
      <c r="T65" s="159">
        <f t="shared" si="43"/>
        <v>27.25</v>
      </c>
      <c r="U65" s="159">
        <f t="shared" si="44"/>
        <v>27.25</v>
      </c>
      <c r="V65" s="159">
        <f t="shared" si="45"/>
        <v>27.25</v>
      </c>
      <c r="W65" s="159">
        <f t="shared" si="46"/>
        <v>27.25</v>
      </c>
      <c r="X65" s="159">
        <f t="shared" si="47"/>
        <v>27.25</v>
      </c>
      <c r="Y65" s="159">
        <f t="shared" si="48"/>
        <v>27.25</v>
      </c>
      <c r="Z65" s="159">
        <f t="shared" si="49"/>
        <v>27.25</v>
      </c>
      <c r="AA65" s="159">
        <f t="shared" si="50"/>
        <v>27.25</v>
      </c>
      <c r="AB65" s="159">
        <f t="shared" si="51"/>
        <v>27.25</v>
      </c>
      <c r="AC65" s="159">
        <f t="shared" si="52"/>
        <v>27.25</v>
      </c>
      <c r="AD65" s="159">
        <f t="shared" si="53"/>
        <v>27.25</v>
      </c>
      <c r="AE65" s="159">
        <f t="shared" si="54"/>
        <v>27.25</v>
      </c>
    </row>
    <row r="66" spans="2:31">
      <c r="B66" s="78" t="str">
        <f>Processes!D27</f>
        <v>T-LPT-BEV_ELC00</v>
      </c>
      <c r="C66" s="78" t="s">
        <v>778</v>
      </c>
      <c r="D66" s="78" t="s">
        <v>697</v>
      </c>
      <c r="E66" s="315">
        <f>C113</f>
        <v>78.019401157895544</v>
      </c>
      <c r="F66" s="315">
        <v>0</v>
      </c>
      <c r="G66" s="315">
        <f>E66</f>
        <v>78.019401157895544</v>
      </c>
      <c r="H66" s="315">
        <f>F66</f>
        <v>0</v>
      </c>
      <c r="I66" s="315">
        <f>H66</f>
        <v>0</v>
      </c>
      <c r="J66" s="315">
        <f t="shared" si="58"/>
        <v>0</v>
      </c>
      <c r="K66" s="315">
        <f t="shared" si="59"/>
        <v>0</v>
      </c>
      <c r="L66" s="315">
        <f t="shared" si="35"/>
        <v>0</v>
      </c>
      <c r="M66" s="315">
        <f t="shared" si="36"/>
        <v>0</v>
      </c>
      <c r="N66" s="315">
        <f t="shared" si="37"/>
        <v>0</v>
      </c>
      <c r="O66" s="315">
        <f t="shared" si="38"/>
        <v>0</v>
      </c>
      <c r="P66" s="315">
        <f t="shared" si="39"/>
        <v>0</v>
      </c>
      <c r="Q66" s="315">
        <f t="shared" si="40"/>
        <v>0</v>
      </c>
      <c r="R66" s="315">
        <f t="shared" si="41"/>
        <v>0</v>
      </c>
      <c r="S66" s="315">
        <f t="shared" si="42"/>
        <v>0</v>
      </c>
      <c r="T66" s="315">
        <f t="shared" si="43"/>
        <v>0</v>
      </c>
      <c r="U66" s="315">
        <f t="shared" si="44"/>
        <v>0</v>
      </c>
      <c r="V66" s="315">
        <f t="shared" si="45"/>
        <v>0</v>
      </c>
      <c r="W66" s="315">
        <f t="shared" si="46"/>
        <v>0</v>
      </c>
      <c r="X66" s="315">
        <f t="shared" si="47"/>
        <v>0</v>
      </c>
      <c r="Y66" s="315">
        <f t="shared" si="48"/>
        <v>0</v>
      </c>
      <c r="Z66" s="315">
        <f t="shared" si="49"/>
        <v>0</v>
      </c>
      <c r="AA66" s="315">
        <f t="shared" si="50"/>
        <v>0</v>
      </c>
      <c r="AB66" s="315">
        <f t="shared" si="51"/>
        <v>0</v>
      </c>
      <c r="AC66" s="315">
        <f t="shared" si="52"/>
        <v>0</v>
      </c>
      <c r="AD66" s="315">
        <f t="shared" si="53"/>
        <v>0</v>
      </c>
      <c r="AE66" s="315">
        <f t="shared" si="54"/>
        <v>0</v>
      </c>
    </row>
    <row r="67" spans="2:31">
      <c r="B67" s="78" t="str">
        <f>Processes!D28</f>
        <v>T-HPT-BEV_ELC00</v>
      </c>
      <c r="C67" s="78" t="s">
        <v>778</v>
      </c>
      <c r="D67" s="78" t="s">
        <v>697</v>
      </c>
      <c r="E67" s="315">
        <f>E66</f>
        <v>78.019401157895544</v>
      </c>
      <c r="F67" s="315">
        <f>E67</f>
        <v>78.019401157895544</v>
      </c>
      <c r="G67" s="315">
        <f t="shared" ref="G67:I67" si="60">F67</f>
        <v>78.019401157895544</v>
      </c>
      <c r="H67" s="315">
        <f t="shared" si="60"/>
        <v>78.019401157895544</v>
      </c>
      <c r="I67" s="315">
        <f t="shared" si="60"/>
        <v>78.019401157895544</v>
      </c>
      <c r="J67" s="315">
        <f t="shared" si="58"/>
        <v>78.019401157895544</v>
      </c>
      <c r="K67" s="315">
        <f t="shared" si="59"/>
        <v>78.019401157895544</v>
      </c>
      <c r="L67" s="315">
        <f t="shared" si="35"/>
        <v>78.019401157895544</v>
      </c>
      <c r="M67" s="315">
        <f t="shared" si="36"/>
        <v>78.019401157895544</v>
      </c>
      <c r="N67" s="315">
        <f t="shared" si="37"/>
        <v>78.019401157895544</v>
      </c>
      <c r="O67" s="315">
        <f t="shared" si="38"/>
        <v>78.019401157895544</v>
      </c>
      <c r="P67" s="315">
        <f t="shared" si="39"/>
        <v>78.019401157895544</v>
      </c>
      <c r="Q67" s="315">
        <f t="shared" si="40"/>
        <v>78.019401157895544</v>
      </c>
      <c r="R67" s="315">
        <f t="shared" si="41"/>
        <v>78.019401157895544</v>
      </c>
      <c r="S67" s="315">
        <f t="shared" si="42"/>
        <v>78.019401157895544</v>
      </c>
      <c r="T67" s="315">
        <f t="shared" si="43"/>
        <v>78.019401157895544</v>
      </c>
      <c r="U67" s="315">
        <f t="shared" si="44"/>
        <v>78.019401157895544</v>
      </c>
      <c r="V67" s="315">
        <f t="shared" si="45"/>
        <v>78.019401157895544</v>
      </c>
      <c r="W67" s="315">
        <f t="shared" si="46"/>
        <v>78.019401157895544</v>
      </c>
      <c r="X67" s="315">
        <f t="shared" si="47"/>
        <v>78.019401157895544</v>
      </c>
      <c r="Y67" s="315">
        <f t="shared" si="48"/>
        <v>78.019401157895544</v>
      </c>
      <c r="Z67" s="315">
        <f t="shared" si="49"/>
        <v>78.019401157895544</v>
      </c>
      <c r="AA67" s="315">
        <f t="shared" si="50"/>
        <v>78.019401157895544</v>
      </c>
      <c r="AB67" s="315">
        <f t="shared" si="51"/>
        <v>78.019401157895544</v>
      </c>
      <c r="AC67" s="315">
        <f t="shared" si="52"/>
        <v>78.019401157895544</v>
      </c>
      <c r="AD67" s="315">
        <f t="shared" si="53"/>
        <v>78.019401157895544</v>
      </c>
      <c r="AE67" s="315">
        <f t="shared" si="54"/>
        <v>78.019401157895544</v>
      </c>
    </row>
    <row r="68" spans="2:31">
      <c r="B68" s="78" t="str">
        <f>Processes!D29</f>
        <v>T-HPT-ICE_DST00</v>
      </c>
      <c r="C68" s="78" t="s">
        <v>778</v>
      </c>
      <c r="D68" s="78" t="s">
        <v>697</v>
      </c>
      <c r="E68" s="315">
        <v>120</v>
      </c>
      <c r="F68" s="315">
        <f>E68</f>
        <v>120</v>
      </c>
      <c r="G68" s="315">
        <f t="shared" ref="G68:I68" si="61">F68</f>
        <v>120</v>
      </c>
      <c r="H68" s="315">
        <f t="shared" si="61"/>
        <v>120</v>
      </c>
      <c r="I68" s="315">
        <f t="shared" si="61"/>
        <v>120</v>
      </c>
      <c r="J68" s="315">
        <f t="shared" si="58"/>
        <v>120</v>
      </c>
      <c r="K68" s="315">
        <f t="shared" si="59"/>
        <v>120</v>
      </c>
      <c r="L68" s="315">
        <f t="shared" si="35"/>
        <v>120</v>
      </c>
      <c r="M68" s="315">
        <f t="shared" si="36"/>
        <v>120</v>
      </c>
      <c r="N68" s="315">
        <f t="shared" si="37"/>
        <v>120</v>
      </c>
      <c r="O68" s="315">
        <f t="shared" si="38"/>
        <v>120</v>
      </c>
      <c r="P68" s="315">
        <f t="shared" si="39"/>
        <v>120</v>
      </c>
      <c r="Q68" s="315">
        <f t="shared" si="40"/>
        <v>120</v>
      </c>
      <c r="R68" s="315">
        <f t="shared" si="41"/>
        <v>120</v>
      </c>
      <c r="S68" s="315">
        <f t="shared" si="42"/>
        <v>120</v>
      </c>
      <c r="T68" s="315">
        <f t="shared" si="43"/>
        <v>120</v>
      </c>
      <c r="U68" s="315">
        <f t="shared" si="44"/>
        <v>120</v>
      </c>
      <c r="V68" s="315">
        <f t="shared" si="45"/>
        <v>120</v>
      </c>
      <c r="W68" s="315">
        <f t="shared" si="46"/>
        <v>120</v>
      </c>
      <c r="X68" s="315">
        <f t="shared" si="47"/>
        <v>120</v>
      </c>
      <c r="Y68" s="315">
        <f t="shared" si="48"/>
        <v>120</v>
      </c>
      <c r="Z68" s="315">
        <f t="shared" si="49"/>
        <v>120</v>
      </c>
      <c r="AA68" s="315">
        <f t="shared" si="50"/>
        <v>120</v>
      </c>
      <c r="AB68" s="315">
        <f t="shared" si="51"/>
        <v>120</v>
      </c>
      <c r="AC68" s="315">
        <f t="shared" si="52"/>
        <v>120</v>
      </c>
      <c r="AD68" s="315">
        <f t="shared" si="53"/>
        <v>120</v>
      </c>
      <c r="AE68" s="315">
        <f t="shared" si="54"/>
        <v>120</v>
      </c>
    </row>
    <row r="69" spans="2:31">
      <c r="B69" s="316" t="s">
        <v>700</v>
      </c>
      <c r="C69" s="316"/>
      <c r="D69" s="316"/>
      <c r="E69" s="316"/>
      <c r="F69" s="316"/>
      <c r="G69" s="316"/>
      <c r="H69" s="316"/>
      <c r="I69" s="316"/>
      <c r="J69" s="316"/>
      <c r="K69" s="316"/>
      <c r="L69" s="316"/>
      <c r="M69" s="316"/>
      <c r="N69" s="316"/>
      <c r="O69" s="316"/>
      <c r="P69" s="316"/>
      <c r="Q69" s="316"/>
      <c r="R69" s="316"/>
      <c r="S69" s="316"/>
      <c r="T69" s="316"/>
      <c r="U69" s="316"/>
      <c r="V69" s="316"/>
      <c r="W69" s="316"/>
      <c r="X69" s="316"/>
      <c r="Y69" s="316"/>
      <c r="Z69" s="316"/>
      <c r="AA69" s="316"/>
      <c r="AB69" s="316"/>
      <c r="AC69" s="316"/>
      <c r="AD69" s="316"/>
      <c r="AE69" s="316"/>
    </row>
    <row r="70" spans="2:31">
      <c r="B70" s="78" t="str">
        <f>Processes!D32</f>
        <v>T-LGT-ICE_GSL00</v>
      </c>
      <c r="C70" s="78" t="s">
        <v>778</v>
      </c>
      <c r="D70" s="78" t="s">
        <v>698</v>
      </c>
      <c r="E70" s="345">
        <v>4.2999999999999997E-2</v>
      </c>
      <c r="F70" s="345">
        <f>E70</f>
        <v>4.2999999999999997E-2</v>
      </c>
      <c r="G70" s="345">
        <f t="shared" ref="G70:AE73" si="62">F70</f>
        <v>4.2999999999999997E-2</v>
      </c>
      <c r="H70" s="345">
        <f t="shared" si="62"/>
        <v>4.2999999999999997E-2</v>
      </c>
      <c r="I70" s="345">
        <f t="shared" si="62"/>
        <v>4.2999999999999997E-2</v>
      </c>
      <c r="J70" s="345">
        <f t="shared" si="62"/>
        <v>4.2999999999999997E-2</v>
      </c>
      <c r="K70" s="345">
        <f t="shared" si="62"/>
        <v>4.2999999999999997E-2</v>
      </c>
      <c r="L70" s="345">
        <f t="shared" si="62"/>
        <v>4.2999999999999997E-2</v>
      </c>
      <c r="M70" s="345">
        <f t="shared" si="62"/>
        <v>4.2999999999999997E-2</v>
      </c>
      <c r="N70" s="345">
        <f t="shared" si="62"/>
        <v>4.2999999999999997E-2</v>
      </c>
      <c r="O70" s="345">
        <f t="shared" si="62"/>
        <v>4.2999999999999997E-2</v>
      </c>
      <c r="P70" s="345">
        <f t="shared" si="62"/>
        <v>4.2999999999999997E-2</v>
      </c>
      <c r="Q70" s="345">
        <f t="shared" si="62"/>
        <v>4.2999999999999997E-2</v>
      </c>
      <c r="R70" s="345">
        <f t="shared" si="62"/>
        <v>4.2999999999999997E-2</v>
      </c>
      <c r="S70" s="345">
        <f t="shared" si="62"/>
        <v>4.2999999999999997E-2</v>
      </c>
      <c r="T70" s="345">
        <f t="shared" si="62"/>
        <v>4.2999999999999997E-2</v>
      </c>
      <c r="U70" s="345">
        <f t="shared" si="62"/>
        <v>4.2999999999999997E-2</v>
      </c>
      <c r="V70" s="345">
        <f t="shared" si="62"/>
        <v>4.2999999999999997E-2</v>
      </c>
      <c r="W70" s="345">
        <f t="shared" si="62"/>
        <v>4.2999999999999997E-2</v>
      </c>
      <c r="X70" s="345">
        <f t="shared" si="62"/>
        <v>4.2999999999999997E-2</v>
      </c>
      <c r="Y70" s="345">
        <f t="shared" si="62"/>
        <v>4.2999999999999997E-2</v>
      </c>
      <c r="Z70" s="345">
        <f t="shared" si="62"/>
        <v>4.2999999999999997E-2</v>
      </c>
      <c r="AA70" s="345">
        <f t="shared" si="62"/>
        <v>4.2999999999999997E-2</v>
      </c>
      <c r="AB70" s="345">
        <f t="shared" si="62"/>
        <v>4.2999999999999997E-2</v>
      </c>
      <c r="AC70" s="345">
        <f t="shared" si="62"/>
        <v>4.2999999999999997E-2</v>
      </c>
      <c r="AD70" s="345">
        <f t="shared" si="62"/>
        <v>4.2999999999999997E-2</v>
      </c>
      <c r="AE70" s="345">
        <f t="shared" si="62"/>
        <v>4.2999999999999997E-2</v>
      </c>
    </row>
    <row r="71" spans="2:31">
      <c r="B71" s="78" t="str">
        <f>Processes!D33</f>
        <v>T-LGT-ICE_DST00</v>
      </c>
      <c r="C71" s="78" t="s">
        <v>778</v>
      </c>
      <c r="D71" s="78" t="s">
        <v>698</v>
      </c>
      <c r="E71" s="345">
        <v>4.2999999999999997E-2</v>
      </c>
      <c r="F71" s="345">
        <f>E71</f>
        <v>4.2999999999999997E-2</v>
      </c>
      <c r="G71" s="345">
        <f t="shared" ref="F71:U73" si="63">F71</f>
        <v>4.2999999999999997E-2</v>
      </c>
      <c r="H71" s="345">
        <f t="shared" si="63"/>
        <v>4.2999999999999997E-2</v>
      </c>
      <c r="I71" s="345">
        <f t="shared" si="63"/>
        <v>4.2999999999999997E-2</v>
      </c>
      <c r="J71" s="345">
        <f t="shared" si="63"/>
        <v>4.2999999999999997E-2</v>
      </c>
      <c r="K71" s="345">
        <f t="shared" si="63"/>
        <v>4.2999999999999997E-2</v>
      </c>
      <c r="L71" s="345">
        <f t="shared" si="63"/>
        <v>4.2999999999999997E-2</v>
      </c>
      <c r="M71" s="345">
        <f t="shared" si="63"/>
        <v>4.2999999999999997E-2</v>
      </c>
      <c r="N71" s="345">
        <f t="shared" si="63"/>
        <v>4.2999999999999997E-2</v>
      </c>
      <c r="O71" s="345">
        <f t="shared" si="63"/>
        <v>4.2999999999999997E-2</v>
      </c>
      <c r="P71" s="345">
        <f t="shared" si="63"/>
        <v>4.2999999999999997E-2</v>
      </c>
      <c r="Q71" s="345">
        <f t="shared" si="63"/>
        <v>4.2999999999999997E-2</v>
      </c>
      <c r="R71" s="345">
        <f t="shared" si="63"/>
        <v>4.2999999999999997E-2</v>
      </c>
      <c r="S71" s="345">
        <f t="shared" si="63"/>
        <v>4.2999999999999997E-2</v>
      </c>
      <c r="T71" s="345">
        <f t="shared" si="63"/>
        <v>4.2999999999999997E-2</v>
      </c>
      <c r="U71" s="345">
        <f t="shared" si="63"/>
        <v>4.2999999999999997E-2</v>
      </c>
      <c r="V71" s="345">
        <f t="shared" si="62"/>
        <v>4.2999999999999997E-2</v>
      </c>
      <c r="W71" s="345">
        <f t="shared" si="62"/>
        <v>4.2999999999999997E-2</v>
      </c>
      <c r="X71" s="345">
        <f t="shared" si="62"/>
        <v>4.2999999999999997E-2</v>
      </c>
      <c r="Y71" s="345">
        <f t="shared" si="62"/>
        <v>4.2999999999999997E-2</v>
      </c>
      <c r="Z71" s="345">
        <f t="shared" si="62"/>
        <v>4.2999999999999997E-2</v>
      </c>
      <c r="AA71" s="345">
        <f t="shared" si="62"/>
        <v>4.2999999999999997E-2</v>
      </c>
      <c r="AB71" s="345">
        <f t="shared" si="62"/>
        <v>4.2999999999999997E-2</v>
      </c>
      <c r="AC71" s="345">
        <f t="shared" si="62"/>
        <v>4.2999999999999997E-2</v>
      </c>
      <c r="AD71" s="345">
        <f t="shared" si="62"/>
        <v>4.2999999999999997E-2</v>
      </c>
      <c r="AE71" s="345">
        <f t="shared" si="62"/>
        <v>4.2999999999999997E-2</v>
      </c>
    </row>
    <row r="72" spans="2:31">
      <c r="B72" s="78" t="str">
        <f>Processes!D34</f>
        <v>T-MGT-ICE_DST00</v>
      </c>
      <c r="C72" s="78" t="s">
        <v>778</v>
      </c>
      <c r="D72" s="78" t="s">
        <v>698</v>
      </c>
      <c r="E72" s="345">
        <v>3.5129999999999999</v>
      </c>
      <c r="F72" s="345">
        <f t="shared" si="63"/>
        <v>3.5129999999999999</v>
      </c>
      <c r="G72" s="345">
        <f t="shared" si="62"/>
        <v>3.5129999999999999</v>
      </c>
      <c r="H72" s="345">
        <f t="shared" si="62"/>
        <v>3.5129999999999999</v>
      </c>
      <c r="I72" s="345">
        <f t="shared" si="62"/>
        <v>3.5129999999999999</v>
      </c>
      <c r="J72" s="345">
        <f t="shared" si="62"/>
        <v>3.5129999999999999</v>
      </c>
      <c r="K72" s="345">
        <f t="shared" si="62"/>
        <v>3.5129999999999999</v>
      </c>
      <c r="L72" s="345">
        <f t="shared" si="62"/>
        <v>3.5129999999999999</v>
      </c>
      <c r="M72" s="345">
        <f t="shared" si="62"/>
        <v>3.5129999999999999</v>
      </c>
      <c r="N72" s="345">
        <f t="shared" si="62"/>
        <v>3.5129999999999999</v>
      </c>
      <c r="O72" s="345">
        <f t="shared" si="62"/>
        <v>3.5129999999999999</v>
      </c>
      <c r="P72" s="345">
        <f t="shared" si="62"/>
        <v>3.5129999999999999</v>
      </c>
      <c r="Q72" s="345">
        <f t="shared" si="62"/>
        <v>3.5129999999999999</v>
      </c>
      <c r="R72" s="345">
        <f t="shared" si="62"/>
        <v>3.5129999999999999</v>
      </c>
      <c r="S72" s="345">
        <f t="shared" si="62"/>
        <v>3.5129999999999999</v>
      </c>
      <c r="T72" s="345">
        <f t="shared" si="62"/>
        <v>3.5129999999999999</v>
      </c>
      <c r="U72" s="345">
        <f t="shared" si="62"/>
        <v>3.5129999999999999</v>
      </c>
      <c r="V72" s="345">
        <f t="shared" si="62"/>
        <v>3.5129999999999999</v>
      </c>
      <c r="W72" s="345">
        <f t="shared" si="62"/>
        <v>3.5129999999999999</v>
      </c>
      <c r="X72" s="345">
        <f t="shared" si="62"/>
        <v>3.5129999999999999</v>
      </c>
      <c r="Y72" s="345">
        <f t="shared" si="62"/>
        <v>3.5129999999999999</v>
      </c>
      <c r="Z72" s="345">
        <f t="shared" si="62"/>
        <v>3.5129999999999999</v>
      </c>
      <c r="AA72" s="345">
        <f t="shared" si="62"/>
        <v>3.5129999999999999</v>
      </c>
      <c r="AB72" s="345">
        <f t="shared" si="62"/>
        <v>3.5129999999999999</v>
      </c>
      <c r="AC72" s="345">
        <f t="shared" si="62"/>
        <v>3.5129999999999999</v>
      </c>
      <c r="AD72" s="345">
        <f t="shared" si="62"/>
        <v>3.5129999999999999</v>
      </c>
      <c r="AE72" s="345">
        <f t="shared" si="62"/>
        <v>3.5129999999999999</v>
      </c>
    </row>
    <row r="73" spans="2:31">
      <c r="B73" s="78" t="str">
        <f>Processes!D35</f>
        <v>T-HGT-ICE_DST00</v>
      </c>
      <c r="C73" s="78" t="s">
        <v>778</v>
      </c>
      <c r="D73" s="78" t="s">
        <v>698</v>
      </c>
      <c r="E73" s="345">
        <v>9.1679999999999993</v>
      </c>
      <c r="F73" s="345">
        <f t="shared" si="63"/>
        <v>9.1679999999999993</v>
      </c>
      <c r="G73" s="345">
        <f t="shared" si="62"/>
        <v>9.1679999999999993</v>
      </c>
      <c r="H73" s="345">
        <f t="shared" si="62"/>
        <v>9.1679999999999993</v>
      </c>
      <c r="I73" s="345">
        <f t="shared" si="62"/>
        <v>9.1679999999999993</v>
      </c>
      <c r="J73" s="345">
        <f t="shared" si="62"/>
        <v>9.1679999999999993</v>
      </c>
      <c r="K73" s="345">
        <f t="shared" si="62"/>
        <v>9.1679999999999993</v>
      </c>
      <c r="L73" s="345">
        <f t="shared" si="62"/>
        <v>9.1679999999999993</v>
      </c>
      <c r="M73" s="345">
        <f t="shared" si="62"/>
        <v>9.1679999999999993</v>
      </c>
      <c r="N73" s="345">
        <f t="shared" si="62"/>
        <v>9.1679999999999993</v>
      </c>
      <c r="O73" s="345">
        <f t="shared" si="62"/>
        <v>9.1679999999999993</v>
      </c>
      <c r="P73" s="345">
        <f t="shared" si="62"/>
        <v>9.1679999999999993</v>
      </c>
      <c r="Q73" s="345">
        <f t="shared" si="62"/>
        <v>9.1679999999999993</v>
      </c>
      <c r="R73" s="345">
        <f t="shared" si="62"/>
        <v>9.1679999999999993</v>
      </c>
      <c r="S73" s="345">
        <f t="shared" si="62"/>
        <v>9.1679999999999993</v>
      </c>
      <c r="T73" s="345">
        <f t="shared" si="62"/>
        <v>9.1679999999999993</v>
      </c>
      <c r="U73" s="345">
        <f t="shared" si="62"/>
        <v>9.1679999999999993</v>
      </c>
      <c r="V73" s="345">
        <f t="shared" si="62"/>
        <v>9.1679999999999993</v>
      </c>
      <c r="W73" s="345">
        <f t="shared" si="62"/>
        <v>9.1679999999999993</v>
      </c>
      <c r="X73" s="345">
        <f t="shared" si="62"/>
        <v>9.1679999999999993</v>
      </c>
      <c r="Y73" s="345">
        <f t="shared" si="62"/>
        <v>9.1679999999999993</v>
      </c>
      <c r="Z73" s="345">
        <f t="shared" si="62"/>
        <v>9.1679999999999993</v>
      </c>
      <c r="AA73" s="345">
        <f t="shared" si="62"/>
        <v>9.1679999999999993</v>
      </c>
      <c r="AB73" s="345">
        <f t="shared" si="62"/>
        <v>9.1679999999999993</v>
      </c>
      <c r="AC73" s="345">
        <f t="shared" si="62"/>
        <v>9.1679999999999993</v>
      </c>
      <c r="AD73" s="345">
        <f t="shared" si="62"/>
        <v>9.1679999999999993</v>
      </c>
      <c r="AE73" s="345">
        <f t="shared" si="62"/>
        <v>9.1679999999999993</v>
      </c>
    </row>
    <row r="74" spans="2:31">
      <c r="B74" s="168" t="str">
        <f>Processes!D36</f>
        <v>T-GTR-ICE_DST00</v>
      </c>
      <c r="C74" s="168" t="s">
        <v>778</v>
      </c>
      <c r="D74" s="168" t="s">
        <v>698</v>
      </c>
      <c r="E74" s="362">
        <v>164.83335026928157</v>
      </c>
      <c r="F74" s="363">
        <f t="shared" ref="F74" si="64">E74</f>
        <v>164.83335026928157</v>
      </c>
      <c r="G74" s="363">
        <f t="shared" ref="G74:AE74" si="65">F74</f>
        <v>164.83335026928157</v>
      </c>
      <c r="H74" s="363">
        <f t="shared" si="65"/>
        <v>164.83335026928157</v>
      </c>
      <c r="I74" s="363">
        <f t="shared" si="65"/>
        <v>164.83335026928157</v>
      </c>
      <c r="J74" s="363">
        <f t="shared" si="65"/>
        <v>164.83335026928157</v>
      </c>
      <c r="K74" s="363">
        <f t="shared" si="65"/>
        <v>164.83335026928157</v>
      </c>
      <c r="L74" s="363">
        <f t="shared" si="65"/>
        <v>164.83335026928157</v>
      </c>
      <c r="M74" s="363">
        <f t="shared" si="65"/>
        <v>164.83335026928157</v>
      </c>
      <c r="N74" s="363">
        <f t="shared" si="65"/>
        <v>164.83335026928157</v>
      </c>
      <c r="O74" s="363">
        <f t="shared" si="65"/>
        <v>164.83335026928157</v>
      </c>
      <c r="P74" s="363">
        <f t="shared" si="65"/>
        <v>164.83335026928157</v>
      </c>
      <c r="Q74" s="363">
        <f t="shared" si="65"/>
        <v>164.83335026928157</v>
      </c>
      <c r="R74" s="363">
        <f t="shared" si="65"/>
        <v>164.83335026928157</v>
      </c>
      <c r="S74" s="363">
        <f t="shared" si="65"/>
        <v>164.83335026928157</v>
      </c>
      <c r="T74" s="363">
        <f t="shared" si="65"/>
        <v>164.83335026928157</v>
      </c>
      <c r="U74" s="363">
        <f t="shared" si="65"/>
        <v>164.83335026928157</v>
      </c>
      <c r="V74" s="363">
        <f t="shared" si="65"/>
        <v>164.83335026928157</v>
      </c>
      <c r="W74" s="363">
        <f t="shared" si="65"/>
        <v>164.83335026928157</v>
      </c>
      <c r="X74" s="363">
        <f t="shared" si="65"/>
        <v>164.83335026928157</v>
      </c>
      <c r="Y74" s="363">
        <f t="shared" si="65"/>
        <v>164.83335026928157</v>
      </c>
      <c r="Z74" s="363">
        <f t="shared" si="65"/>
        <v>164.83335026928157</v>
      </c>
      <c r="AA74" s="363">
        <f t="shared" si="65"/>
        <v>164.83335026928157</v>
      </c>
      <c r="AB74" s="363">
        <f t="shared" si="65"/>
        <v>164.83335026928157</v>
      </c>
      <c r="AC74" s="363">
        <f t="shared" si="65"/>
        <v>164.83335026928157</v>
      </c>
      <c r="AD74" s="363">
        <f t="shared" si="65"/>
        <v>164.83335026928157</v>
      </c>
      <c r="AE74" s="363">
        <f t="shared" si="65"/>
        <v>164.83335026928157</v>
      </c>
    </row>
    <row r="75" spans="2:31">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row>
    <row r="76" spans="2:31">
      <c r="B76" s="52" t="s">
        <v>310</v>
      </c>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2:31">
      <c r="B77" t="s">
        <v>512</v>
      </c>
    </row>
    <row r="78" spans="2:31">
      <c r="B78" t="s">
        <v>704</v>
      </c>
    </row>
    <row r="79" spans="2:31">
      <c r="B79" t="s">
        <v>705</v>
      </c>
    </row>
    <row r="80" spans="2:31">
      <c r="B80" t="s">
        <v>755</v>
      </c>
    </row>
    <row r="83" spans="2:31">
      <c r="E83" s="5"/>
      <c r="F83" s="5"/>
      <c r="G83" s="5"/>
      <c r="H83" s="5"/>
      <c r="I83" s="5"/>
      <c r="J83" s="5"/>
      <c r="K83" s="5"/>
      <c r="L83" s="5"/>
      <c r="M83" s="5"/>
      <c r="N83" s="5"/>
      <c r="O83" s="5"/>
      <c r="P83" s="5"/>
      <c r="Q83" s="5"/>
      <c r="R83" s="5"/>
      <c r="S83" s="5"/>
      <c r="T83" s="5"/>
      <c r="U83" s="5"/>
      <c r="V83" s="5"/>
      <c r="W83" s="5"/>
      <c r="X83" s="5"/>
      <c r="Y83" s="5"/>
      <c r="Z83" s="5"/>
      <c r="AA83" s="5"/>
      <c r="AB83" s="5"/>
      <c r="AC83" s="5"/>
      <c r="AD83" s="5"/>
      <c r="AE83" s="5"/>
    </row>
    <row r="91" spans="2:31">
      <c r="B91" t="s">
        <v>430</v>
      </c>
    </row>
    <row r="92" spans="2:31">
      <c r="D92" s="220" t="s">
        <v>14</v>
      </c>
      <c r="E92" s="220"/>
      <c r="F92" s="220"/>
      <c r="G92" s="220"/>
      <c r="H92" s="221" t="s">
        <v>15</v>
      </c>
      <c r="I92" s="222"/>
      <c r="J92" s="222"/>
      <c r="K92" s="223"/>
    </row>
    <row r="93" spans="2:31">
      <c r="D93" s="118">
        <v>1</v>
      </c>
      <c r="E93" s="117">
        <v>2</v>
      </c>
      <c r="F93" s="117">
        <v>3</v>
      </c>
      <c r="G93" s="119">
        <v>4</v>
      </c>
      <c r="H93" s="117">
        <v>6</v>
      </c>
      <c r="I93" s="117">
        <v>7</v>
      </c>
      <c r="J93" s="117">
        <v>8</v>
      </c>
      <c r="K93" s="119">
        <v>9</v>
      </c>
      <c r="M93" t="s">
        <v>426</v>
      </c>
    </row>
    <row r="94" spans="2:31">
      <c r="C94" s="113" t="s">
        <v>425</v>
      </c>
      <c r="D94" s="120">
        <v>2540</v>
      </c>
      <c r="E94" s="116">
        <v>2680</v>
      </c>
      <c r="F94" s="116">
        <v>522</v>
      </c>
      <c r="G94" s="119">
        <v>522</v>
      </c>
      <c r="H94" s="116">
        <v>1300</v>
      </c>
      <c r="I94" s="116">
        <v>780</v>
      </c>
      <c r="J94" s="116">
        <v>208</v>
      </c>
      <c r="K94" s="121">
        <v>208</v>
      </c>
      <c r="M94" s="92" t="s">
        <v>3</v>
      </c>
      <c r="N94" s="91">
        <f>SUM(D94:K94)</f>
        <v>8760</v>
      </c>
    </row>
    <row r="95" spans="2:31" ht="29">
      <c r="C95" s="114" t="s">
        <v>4</v>
      </c>
      <c r="D95" s="115" t="s">
        <v>5</v>
      </c>
      <c r="E95" s="115" t="s">
        <v>6</v>
      </c>
      <c r="F95" s="115" t="s">
        <v>7</v>
      </c>
      <c r="G95" s="115" t="s">
        <v>8</v>
      </c>
      <c r="H95" s="115" t="s">
        <v>5</v>
      </c>
      <c r="I95" s="115" t="s">
        <v>6</v>
      </c>
      <c r="J95" s="115" t="s">
        <v>7</v>
      </c>
      <c r="K95" s="115" t="s">
        <v>8</v>
      </c>
      <c r="M95" s="111" t="s">
        <v>107</v>
      </c>
      <c r="N95" s="112">
        <f>((D94/N94)*D102)+((E94/N94)*E102)+((F94/N94)*F102)+((G94/N94)*G102)+((H94/N94)*H102)+((I94/N94)*I102)+((J94/N94)*J102)+((K94/N94)*K102)</f>
        <v>1.49201152283105</v>
      </c>
    </row>
    <row r="96" spans="2:31">
      <c r="B96" s="764" t="s">
        <v>9</v>
      </c>
      <c r="C96" s="91" t="s">
        <v>428</v>
      </c>
      <c r="D96" s="91">
        <v>1.24</v>
      </c>
      <c r="E96" s="91">
        <v>1.25</v>
      </c>
      <c r="F96" s="91">
        <v>1.26</v>
      </c>
      <c r="G96" s="91">
        <v>1.26</v>
      </c>
      <c r="H96" s="91">
        <v>1.33</v>
      </c>
      <c r="I96" s="91">
        <v>1.34</v>
      </c>
      <c r="J96" s="91">
        <v>1.38</v>
      </c>
      <c r="K96" s="91">
        <v>1.38</v>
      </c>
    </row>
    <row r="97" spans="2:11">
      <c r="B97" s="764"/>
      <c r="C97" s="91" t="s">
        <v>427</v>
      </c>
      <c r="D97" s="109">
        <v>0.10299999999999999</v>
      </c>
      <c r="E97" s="109">
        <v>0.16900000000000001</v>
      </c>
      <c r="F97" s="109">
        <v>0.13300000000000001</v>
      </c>
      <c r="G97" s="109">
        <v>0.12</v>
      </c>
      <c r="H97" s="109">
        <v>4.4999999999999998E-2</v>
      </c>
      <c r="I97" s="109">
        <v>1.7999999999999999E-2</v>
      </c>
      <c r="J97" s="109">
        <v>2.7E-2</v>
      </c>
      <c r="K97" s="109">
        <v>2.7E-2</v>
      </c>
    </row>
    <row r="98" spans="2:11">
      <c r="B98" s="764" t="s">
        <v>10</v>
      </c>
      <c r="C98" s="91" t="s">
        <v>428</v>
      </c>
      <c r="D98" s="91">
        <v>1.21</v>
      </c>
      <c r="E98" s="91">
        <v>1.22</v>
      </c>
      <c r="F98" s="91">
        <v>1.23</v>
      </c>
      <c r="G98" s="91">
        <v>1.23</v>
      </c>
      <c r="H98" s="91">
        <v>1.2</v>
      </c>
      <c r="I98" s="91">
        <v>1.23</v>
      </c>
      <c r="J98" s="91">
        <v>1.22</v>
      </c>
      <c r="K98" s="91">
        <v>1.22</v>
      </c>
    </row>
    <row r="99" spans="2:11">
      <c r="B99" s="764"/>
      <c r="C99" s="91" t="s">
        <v>427</v>
      </c>
      <c r="D99" s="109">
        <v>0.42199999999999999</v>
      </c>
      <c r="E99" s="109">
        <v>0.36699999999999999</v>
      </c>
      <c r="F99" s="109">
        <v>0.442</v>
      </c>
      <c r="G99" s="109">
        <v>0.42899999999999999</v>
      </c>
      <c r="H99" s="109">
        <v>0.24199999999999999</v>
      </c>
      <c r="I99" s="109">
        <v>7.9000000000000001E-2</v>
      </c>
      <c r="J99" s="109">
        <v>6.5000000000000002E-2</v>
      </c>
      <c r="K99" s="109">
        <v>6.5000000000000002E-2</v>
      </c>
    </row>
    <row r="100" spans="2:11">
      <c r="B100" s="764" t="s">
        <v>11</v>
      </c>
      <c r="C100" s="91" t="s">
        <v>428</v>
      </c>
      <c r="D100" s="91">
        <v>1.64</v>
      </c>
      <c r="E100" s="91">
        <v>1.65</v>
      </c>
      <c r="F100" s="91">
        <v>1.66</v>
      </c>
      <c r="G100" s="91">
        <v>1.68</v>
      </c>
      <c r="H100" s="91">
        <v>1.7</v>
      </c>
      <c r="I100" s="91">
        <v>1.83</v>
      </c>
      <c r="J100" s="91">
        <v>1.85</v>
      </c>
      <c r="K100" s="91">
        <v>1.85</v>
      </c>
    </row>
    <row r="101" spans="2:11">
      <c r="B101" s="764"/>
      <c r="C101" s="91" t="s">
        <v>427</v>
      </c>
      <c r="D101" s="109">
        <v>0.47499999999999998</v>
      </c>
      <c r="E101" s="109">
        <v>0.46400000000000002</v>
      </c>
      <c r="F101" s="109">
        <v>0.42499999999999999</v>
      </c>
      <c r="G101" s="109">
        <v>0.45100000000000001</v>
      </c>
      <c r="H101" s="109">
        <v>0.71299999999999997</v>
      </c>
      <c r="I101" s="109">
        <v>0.90300000000000002</v>
      </c>
      <c r="J101" s="109">
        <v>0.90900000000000003</v>
      </c>
      <c r="K101" s="109">
        <v>0.90900000000000003</v>
      </c>
    </row>
    <row r="102" spans="2:11">
      <c r="B102" s="92" t="s">
        <v>12</v>
      </c>
      <c r="C102" s="92" t="s">
        <v>428</v>
      </c>
      <c r="D102" s="110">
        <f>(D96*D97)+(D98*D99)+(D100*D101)</f>
        <v>1.4173399999999998</v>
      </c>
      <c r="E102" s="110">
        <f t="shared" ref="E102:K102" si="66">(E96*E97)+(E98*E99)+(E100*E101)</f>
        <v>1.4245899999999998</v>
      </c>
      <c r="F102" s="110">
        <f t="shared" si="66"/>
        <v>1.4167399999999999</v>
      </c>
      <c r="G102" s="110">
        <f t="shared" si="66"/>
        <v>1.43655</v>
      </c>
      <c r="H102" s="110">
        <f t="shared" si="66"/>
        <v>1.5623499999999999</v>
      </c>
      <c r="I102" s="110">
        <f t="shared" si="66"/>
        <v>1.7737799999999999</v>
      </c>
      <c r="J102" s="110">
        <f t="shared" si="66"/>
        <v>1.7982100000000001</v>
      </c>
      <c r="K102" s="110">
        <f t="shared" si="66"/>
        <v>1.7982100000000001</v>
      </c>
    </row>
    <row r="103" spans="2:11">
      <c r="B103" t="s">
        <v>429</v>
      </c>
    </row>
    <row r="109" spans="2:11" ht="15.5">
      <c r="B109" s="101" t="s">
        <v>309</v>
      </c>
      <c r="C109" s="101"/>
      <c r="E109" s="138"/>
    </row>
    <row r="110" spans="2:11">
      <c r="B110" s="157"/>
      <c r="C110" s="253" t="s">
        <v>753</v>
      </c>
      <c r="E110" s="138"/>
    </row>
    <row r="111" spans="2:11">
      <c r="B111" s="78" t="s">
        <v>26</v>
      </c>
      <c r="C111" s="163">
        <f>Demands!B126+Demands!C126</f>
        <v>4065479</v>
      </c>
      <c r="E111" s="138"/>
    </row>
    <row r="112" spans="2:11">
      <c r="B112" s="78" t="s">
        <v>34</v>
      </c>
      <c r="C112" s="163">
        <f>Demands!B127+Demands!C127</f>
        <v>317186237</v>
      </c>
      <c r="E112" s="138"/>
    </row>
    <row r="113" spans="2:5">
      <c r="B113" s="168" t="s">
        <v>754</v>
      </c>
      <c r="C113" s="254">
        <f>C112/C111</f>
        <v>78.019401157895544</v>
      </c>
      <c r="E113" s="138"/>
    </row>
    <row r="114" spans="2:5">
      <c r="B114" s="172" t="s">
        <v>569</v>
      </c>
      <c r="C114" s="172"/>
      <c r="E114" s="138"/>
    </row>
  </sheetData>
  <mergeCells count="4">
    <mergeCell ref="B96:B97"/>
    <mergeCell ref="B98:B99"/>
    <mergeCell ref="B100:B101"/>
    <mergeCell ref="B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CJ696"/>
  <sheetViews>
    <sheetView zoomScale="85" zoomScaleNormal="85" workbookViewId="0">
      <selection activeCell="A11" sqref="A11"/>
    </sheetView>
  </sheetViews>
  <sheetFormatPr defaultRowHeight="14.5"/>
  <cols>
    <col min="1" max="1" width="28" customWidth="1"/>
    <col min="2" max="2" width="18.81640625" customWidth="1"/>
    <col min="3" max="3" width="17.7265625" customWidth="1"/>
    <col min="4" max="4" width="16.81640625" customWidth="1"/>
    <col min="5" max="6" width="15.7265625" customWidth="1"/>
    <col min="7" max="7" width="16.26953125" customWidth="1"/>
    <col min="8" max="32" width="11.81640625" customWidth="1"/>
    <col min="33" max="46" width="10.7265625" customWidth="1"/>
    <col min="47" max="47" width="26" customWidth="1"/>
    <col min="48" max="55" width="10.7265625" customWidth="1"/>
    <col min="56" max="56" width="12" customWidth="1"/>
    <col min="57" max="88" width="10.7265625" customWidth="1"/>
  </cols>
  <sheetData>
    <row r="1" spans="1:29">
      <c r="D1" s="699"/>
    </row>
    <row r="2" spans="1:29">
      <c r="A2" s="21" t="s">
        <v>791</v>
      </c>
      <c r="B2" s="37"/>
      <c r="C2" s="37"/>
      <c r="D2" s="37"/>
      <c r="E2" s="37"/>
      <c r="F2" s="37"/>
      <c r="G2" s="37"/>
    </row>
    <row r="3" spans="1:29" ht="15" thickBot="1">
      <c r="A3" s="24" t="s">
        <v>61</v>
      </c>
      <c r="B3" s="26" t="s">
        <v>94</v>
      </c>
      <c r="C3" s="25" t="str">
        <f>Regions!C3</f>
        <v>IE</v>
      </c>
      <c r="D3" s="25" t="str">
        <f>Regions!E3</f>
        <v>IE-CW</v>
      </c>
      <c r="E3" s="25" t="str">
        <f>Regions!F3</f>
        <v>IE-D</v>
      </c>
      <c r="F3" s="25" t="str">
        <f>Regions!G3</f>
        <v>IE-KE</v>
      </c>
      <c r="G3" s="25" t="str">
        <f>Regions!H3</f>
        <v>IE-KK</v>
      </c>
      <c r="H3" s="25" t="str">
        <f>Regions!I3</f>
        <v>IE-LS</v>
      </c>
      <c r="I3" s="25" t="str">
        <f>Regions!J3</f>
        <v>IE-LD</v>
      </c>
      <c r="J3" s="25" t="str">
        <f>Regions!K3</f>
        <v>IE-LH</v>
      </c>
      <c r="K3" s="25" t="str">
        <f>Regions!L3</f>
        <v>IE-MH</v>
      </c>
      <c r="L3" s="25" t="str">
        <f>Regions!M3</f>
        <v>IE-OY</v>
      </c>
      <c r="M3" s="25" t="str">
        <f>Regions!N3</f>
        <v>IE-WH</v>
      </c>
      <c r="N3" s="25" t="str">
        <f>Regions!O3</f>
        <v>IE-WX</v>
      </c>
      <c r="O3" s="25" t="str">
        <f>Regions!P3</f>
        <v>IE-WW</v>
      </c>
      <c r="P3" s="25" t="str">
        <f>Regions!Q3</f>
        <v>IE-CE</v>
      </c>
      <c r="Q3" s="25" t="str">
        <f>Regions!R3</f>
        <v>IE-CO</v>
      </c>
      <c r="R3" s="25" t="str">
        <f>Regions!S3</f>
        <v>IE-KY</v>
      </c>
      <c r="S3" s="25" t="str">
        <f>Regions!T3</f>
        <v>IE-LK</v>
      </c>
      <c r="T3" s="25" t="str">
        <f>Regions!U3</f>
        <v>IE-TA</v>
      </c>
      <c r="U3" s="25" t="str">
        <f>Regions!V3</f>
        <v>IE-WD</v>
      </c>
      <c r="V3" s="25" t="str">
        <f>Regions!W3</f>
        <v>IE-G</v>
      </c>
      <c r="W3" s="25" t="str">
        <f>Regions!X3</f>
        <v>IE-LM</v>
      </c>
      <c r="X3" s="25" t="str">
        <f>Regions!Y3</f>
        <v>IE-MO</v>
      </c>
      <c r="Y3" s="25" t="str">
        <f>Regions!Z3</f>
        <v>IE-RN</v>
      </c>
      <c r="Z3" s="25" t="str">
        <f>Regions!AA3</f>
        <v>IE-SO</v>
      </c>
      <c r="AA3" s="25" t="str">
        <f>Regions!AB3</f>
        <v>IE-CN</v>
      </c>
      <c r="AB3" s="25" t="str">
        <f>Regions!AC3</f>
        <v>IE-DL</v>
      </c>
      <c r="AC3" s="25" t="str">
        <f>Regions!AD3</f>
        <v>IE-MN</v>
      </c>
    </row>
    <row r="4" spans="1:29">
      <c r="A4" t="str">
        <f>Commodities!C25</f>
        <v>TRAPS</v>
      </c>
      <c r="B4" t="str">
        <f>Commodities!E25</f>
        <v>Bpkm</v>
      </c>
      <c r="C4" s="188">
        <f>C323/1000</f>
        <v>14.556561092397196</v>
      </c>
      <c r="D4" s="188">
        <f t="shared" ref="D4:AC4" si="0">D323/1000</f>
        <v>0.19075815329593268</v>
      </c>
      <c r="E4" s="188">
        <f t="shared" si="0"/>
        <v>3.813707778705095</v>
      </c>
      <c r="F4" s="188">
        <f t="shared" si="0"/>
        <v>0.70334338163959453</v>
      </c>
      <c r="G4" s="188">
        <f t="shared" si="0"/>
        <v>0.3263059331917631</v>
      </c>
      <c r="H4" s="188">
        <f t="shared" si="0"/>
        <v>0.25725946218495216</v>
      </c>
      <c r="I4" s="188">
        <f t="shared" si="0"/>
        <v>0.12926410609378711</v>
      </c>
      <c r="J4" s="188">
        <f t="shared" si="0"/>
        <v>0.37066642356770213</v>
      </c>
      <c r="K4" s="188">
        <f t="shared" si="0"/>
        <v>0.61012642539130313</v>
      </c>
      <c r="L4" s="188">
        <f t="shared" si="0"/>
        <v>0.25256357827040127</v>
      </c>
      <c r="M4" s="188">
        <f t="shared" si="0"/>
        <v>0.28627808516599751</v>
      </c>
      <c r="N4" s="188">
        <f t="shared" si="0"/>
        <v>0.49824919039150339</v>
      </c>
      <c r="O4" s="188">
        <f t="shared" si="0"/>
        <v>0.44072764898712008</v>
      </c>
      <c r="P4" s="188">
        <f t="shared" si="0"/>
        <v>0.38789417997018355</v>
      </c>
      <c r="Q4" s="188">
        <f t="shared" si="0"/>
        <v>1.6403528726430969</v>
      </c>
      <c r="R4" s="188">
        <f t="shared" si="0"/>
        <v>0.50223766282260618</v>
      </c>
      <c r="S4" s="188">
        <f t="shared" si="0"/>
        <v>0.59887772521592175</v>
      </c>
      <c r="T4" s="188">
        <f t="shared" si="0"/>
        <v>0.54597893159747035</v>
      </c>
      <c r="U4" s="188">
        <f t="shared" si="0"/>
        <v>0.36254754715779958</v>
      </c>
      <c r="V4" s="188">
        <f t="shared" si="0"/>
        <v>0.8103180854486004</v>
      </c>
      <c r="W4" s="188">
        <f t="shared" si="0"/>
        <v>0.10399821589805379</v>
      </c>
      <c r="X4" s="188">
        <f t="shared" si="0"/>
        <v>0.43396473286285792</v>
      </c>
      <c r="Y4" s="188">
        <f t="shared" si="0"/>
        <v>0.22701130303232972</v>
      </c>
      <c r="Z4" s="188">
        <f t="shared" si="0"/>
        <v>0.20014421509334299</v>
      </c>
      <c r="AA4" s="188">
        <f t="shared" si="0"/>
        <v>0.22324073939976716</v>
      </c>
      <c r="AB4" s="188">
        <f t="shared" si="0"/>
        <v>0.43304852577361913</v>
      </c>
      <c r="AC4" s="188">
        <f t="shared" si="0"/>
        <v>0.20769618859639608</v>
      </c>
    </row>
    <row r="5" spans="1:29">
      <c r="A5" t="str">
        <f>Commodities!C26</f>
        <v>TRAPM</v>
      </c>
      <c r="B5" t="str">
        <f>Commodities!E26</f>
        <v>Bpkm</v>
      </c>
      <c r="C5" s="188">
        <f>C337/1000</f>
        <v>31.276118540280986</v>
      </c>
      <c r="D5" s="188">
        <f t="shared" ref="D5:AC5" si="1">D337/1000</f>
        <v>0.43519149385547129</v>
      </c>
      <c r="E5" s="188">
        <f t="shared" si="1"/>
        <v>7.621153644998925</v>
      </c>
      <c r="F5" s="188">
        <f t="shared" si="1"/>
        <v>1.5519093827676476</v>
      </c>
      <c r="G5" s="188">
        <f t="shared" si="1"/>
        <v>0.73703191607760743</v>
      </c>
      <c r="H5" s="188">
        <f t="shared" si="1"/>
        <v>0.55451713599955721</v>
      </c>
      <c r="I5" s="188">
        <f t="shared" si="1"/>
        <v>0.28568437258778695</v>
      </c>
      <c r="J5" s="188">
        <f t="shared" si="1"/>
        <v>0.76950577172521428</v>
      </c>
      <c r="K5" s="188">
        <f t="shared" si="1"/>
        <v>1.3359499798250478</v>
      </c>
      <c r="L5" s="188">
        <f t="shared" si="1"/>
        <v>0.56616320344762294</v>
      </c>
      <c r="M5" s="188">
        <f t="shared" si="1"/>
        <v>0.63911185847443031</v>
      </c>
      <c r="N5" s="188">
        <f t="shared" si="1"/>
        <v>1.1334816009734383</v>
      </c>
      <c r="O5" s="188">
        <f t="shared" si="1"/>
        <v>0.96185938421931272</v>
      </c>
      <c r="P5" s="188">
        <f t="shared" si="1"/>
        <v>0.8723586108918423</v>
      </c>
      <c r="Q5" s="188">
        <f t="shared" si="1"/>
        <v>3.5254749048173277</v>
      </c>
      <c r="R5" s="188">
        <f t="shared" si="1"/>
        <v>1.1538869884003555</v>
      </c>
      <c r="S5" s="188">
        <f t="shared" si="1"/>
        <v>1.2995736671311431</v>
      </c>
      <c r="T5" s="188">
        <f t="shared" si="1"/>
        <v>1.2604324784412986</v>
      </c>
      <c r="U5" s="188">
        <f t="shared" si="1"/>
        <v>0.79517788054022265</v>
      </c>
      <c r="V5" s="188">
        <f t="shared" si="1"/>
        <v>1.7803554187858515</v>
      </c>
      <c r="W5" s="188">
        <f t="shared" si="1"/>
        <v>0.23333731031609198</v>
      </c>
      <c r="X5" s="188">
        <f t="shared" si="1"/>
        <v>0.98601597898071291</v>
      </c>
      <c r="Y5" s="188">
        <f t="shared" si="1"/>
        <v>0.53090140271719211</v>
      </c>
      <c r="Z5" s="188">
        <f t="shared" si="1"/>
        <v>0.43310682655274862</v>
      </c>
      <c r="AA5" s="188">
        <f t="shared" si="1"/>
        <v>0.47060177269376968</v>
      </c>
      <c r="AB5" s="188">
        <f t="shared" si="1"/>
        <v>0.86668930093951158</v>
      </c>
      <c r="AC5" s="188">
        <f t="shared" si="1"/>
        <v>0.47664625412085693</v>
      </c>
    </row>
    <row r="6" spans="1:29">
      <c r="A6" t="str">
        <f>Commodities!C27</f>
        <v>TRAPL</v>
      </c>
      <c r="B6" t="str">
        <f>Commodities!E27</f>
        <v>Bpkm</v>
      </c>
      <c r="C6" s="188">
        <f>C351/1000</f>
        <v>27.131577542973638</v>
      </c>
      <c r="D6" s="188">
        <f t="shared" ref="D6:AC6" si="2">D351/1000</f>
        <v>0.373897486374975</v>
      </c>
      <c r="E6" s="188">
        <f t="shared" si="2"/>
        <v>6.6607449340349936</v>
      </c>
      <c r="F6" s="188">
        <f t="shared" si="2"/>
        <v>1.3457957919305057</v>
      </c>
      <c r="G6" s="188">
        <f t="shared" si="2"/>
        <v>0.64805463087287241</v>
      </c>
      <c r="H6" s="188">
        <f t="shared" si="2"/>
        <v>0.48149946813234057</v>
      </c>
      <c r="I6" s="188">
        <f t="shared" si="2"/>
        <v>0.24792998248868531</v>
      </c>
      <c r="J6" s="188">
        <f t="shared" si="2"/>
        <v>0.6736874578715788</v>
      </c>
      <c r="K6" s="188">
        <f t="shared" si="2"/>
        <v>1.145614903113785</v>
      </c>
      <c r="L6" s="188">
        <f t="shared" si="2"/>
        <v>0.49378011021821833</v>
      </c>
      <c r="M6" s="188">
        <f t="shared" si="2"/>
        <v>0.54722173482691427</v>
      </c>
      <c r="N6" s="188">
        <f t="shared" si="2"/>
        <v>0.97262646758485327</v>
      </c>
      <c r="O6" s="188">
        <f t="shared" si="2"/>
        <v>0.83286416374941885</v>
      </c>
      <c r="P6" s="188">
        <f t="shared" si="2"/>
        <v>0.74674766413249039</v>
      </c>
      <c r="Q6" s="188">
        <f t="shared" si="2"/>
        <v>3.0449422514531714</v>
      </c>
      <c r="R6" s="188">
        <f t="shared" si="2"/>
        <v>1.0126394376791288</v>
      </c>
      <c r="S6" s="188">
        <f t="shared" si="2"/>
        <v>1.1217784798314174</v>
      </c>
      <c r="T6" s="188">
        <f t="shared" si="2"/>
        <v>1.0852427647392462</v>
      </c>
      <c r="U6" s="188">
        <f t="shared" si="2"/>
        <v>0.6834292413998585</v>
      </c>
      <c r="V6" s="188">
        <f t="shared" si="2"/>
        <v>1.5527405180508131</v>
      </c>
      <c r="W6" s="188">
        <f t="shared" si="2"/>
        <v>0.20031586047476843</v>
      </c>
      <c r="X6" s="188">
        <f t="shared" si="2"/>
        <v>0.86102306186829458</v>
      </c>
      <c r="Y6" s="188">
        <f t="shared" si="2"/>
        <v>0.4513160972888865</v>
      </c>
      <c r="Z6" s="188">
        <f t="shared" si="2"/>
        <v>0.37617525772313687</v>
      </c>
      <c r="AA6" s="188">
        <f t="shared" si="2"/>
        <v>0.40231788404487256</v>
      </c>
      <c r="AB6" s="188">
        <f t="shared" si="2"/>
        <v>0.74109890371757148</v>
      </c>
      <c r="AC6" s="188">
        <f t="shared" si="2"/>
        <v>0.42809298937083867</v>
      </c>
    </row>
    <row r="7" spans="1:29">
      <c r="A7" t="str">
        <f>Commodities!C28</f>
        <v>TRAF</v>
      </c>
      <c r="B7" t="str">
        <f>Commodities!E28</f>
        <v>Btkm</v>
      </c>
      <c r="C7" s="188">
        <f>0.92*(C479/1000)+C18</f>
        <v>10.702591</v>
      </c>
      <c r="D7" s="188">
        <f t="shared" ref="D7:AC7" si="3">(D479/1000)+D18</f>
        <v>0.17794099599204954</v>
      </c>
      <c r="E7" s="188">
        <f t="shared" si="3"/>
        <v>2.6576907930321347</v>
      </c>
      <c r="F7" s="188">
        <f t="shared" si="3"/>
        <v>0.48228404218784626</v>
      </c>
      <c r="G7" s="188">
        <f t="shared" si="3"/>
        <v>0.31014966827589163</v>
      </c>
      <c r="H7" s="188">
        <f t="shared" si="3"/>
        <v>0.22090468018989404</v>
      </c>
      <c r="I7" s="188">
        <f t="shared" si="3"/>
        <v>0.10660397645018758</v>
      </c>
      <c r="J7" s="188">
        <f t="shared" si="3"/>
        <v>0.27935990585939297</v>
      </c>
      <c r="K7" s="188">
        <f t="shared" si="3"/>
        <v>0.43225128206324637</v>
      </c>
      <c r="L7" s="188">
        <f t="shared" si="3"/>
        <v>0.20333600685129727</v>
      </c>
      <c r="M7" s="188">
        <f t="shared" si="3"/>
        <v>0.23152778091853185</v>
      </c>
      <c r="N7" s="188">
        <f t="shared" si="3"/>
        <v>0.46795618987426485</v>
      </c>
      <c r="O7" s="188">
        <f t="shared" si="3"/>
        <v>0.30871042636808321</v>
      </c>
      <c r="P7" s="188">
        <f t="shared" si="3"/>
        <v>0.30378726686741447</v>
      </c>
      <c r="Q7" s="188">
        <f t="shared" si="3"/>
        <v>1.625427705266085</v>
      </c>
      <c r="R7" s="188">
        <f t="shared" si="3"/>
        <v>0.44225677339931185</v>
      </c>
      <c r="S7" s="188">
        <f t="shared" si="3"/>
        <v>0.49831113834882401</v>
      </c>
      <c r="T7" s="188">
        <f t="shared" si="3"/>
        <v>0.40793968700183131</v>
      </c>
      <c r="U7" s="188">
        <f t="shared" si="3"/>
        <v>0.37892082777350039</v>
      </c>
      <c r="V7" s="188">
        <f t="shared" si="3"/>
        <v>0.60506096800451603</v>
      </c>
      <c r="W7" s="188">
        <f t="shared" si="3"/>
        <v>8.0693470189707711E-2</v>
      </c>
      <c r="X7" s="188">
        <f t="shared" si="3"/>
        <v>0.34078379979033369</v>
      </c>
      <c r="Y7" s="188">
        <f t="shared" si="3"/>
        <v>0.1513344097795204</v>
      </c>
      <c r="Z7" s="188">
        <f t="shared" si="3"/>
        <v>0.16503078794415471</v>
      </c>
      <c r="AA7" s="188">
        <f t="shared" si="3"/>
        <v>0.19182704360164693</v>
      </c>
      <c r="AB7" s="188">
        <f t="shared" si="3"/>
        <v>0.40087863270627727</v>
      </c>
      <c r="AC7" s="188">
        <f t="shared" si="3"/>
        <v>0.15458274126405555</v>
      </c>
    </row>
    <row r="8" spans="1:29">
      <c r="A8" s="78" t="str">
        <f>Commodities!C29</f>
        <v>TTURS</v>
      </c>
      <c r="B8" t="str">
        <f>Commodities!E29</f>
        <v>PJ</v>
      </c>
      <c r="C8" s="98">
        <f t="shared" ref="C8:AC8" si="4">C619</f>
        <v>7.7105748259750095</v>
      </c>
      <c r="D8" s="98">
        <f t="shared" si="4"/>
        <v>9.2186243413538371E-2</v>
      </c>
      <c r="E8" s="98">
        <f t="shared" si="4"/>
        <v>2.1816898183696667</v>
      </c>
      <c r="F8" s="98">
        <f t="shared" si="4"/>
        <v>0.36028609401542089</v>
      </c>
      <c r="G8" s="98">
        <f t="shared" si="4"/>
        <v>0.16067985151430197</v>
      </c>
      <c r="H8" s="98">
        <f t="shared" si="4"/>
        <v>0.13714428192223108</v>
      </c>
      <c r="I8" s="98">
        <f t="shared" si="4"/>
        <v>6.6182960848759118E-2</v>
      </c>
      <c r="J8" s="98">
        <f t="shared" si="4"/>
        <v>0.20869338502266707</v>
      </c>
      <c r="K8" s="98">
        <f t="shared" si="4"/>
        <v>0.31582192194811665</v>
      </c>
      <c r="L8" s="98">
        <f t="shared" si="4"/>
        <v>0.12623712012159885</v>
      </c>
      <c r="M8" s="98">
        <f t="shared" si="4"/>
        <v>0.14373942295755993</v>
      </c>
      <c r="N8" s="98">
        <f t="shared" si="4"/>
        <v>0.24243498799202193</v>
      </c>
      <c r="O8" s="98">
        <f t="shared" si="4"/>
        <v>0.23061943578608168</v>
      </c>
      <c r="P8" s="98">
        <f t="shared" si="4"/>
        <v>0.19239255398837893</v>
      </c>
      <c r="Q8" s="98">
        <f t="shared" si="4"/>
        <v>0.87903045017601267</v>
      </c>
      <c r="R8" s="98">
        <f t="shared" si="4"/>
        <v>0.23917223101038984</v>
      </c>
      <c r="S8" s="98">
        <f t="shared" si="4"/>
        <v>0.3155871329841779</v>
      </c>
      <c r="T8" s="98">
        <f t="shared" si="4"/>
        <v>0.2583536797470718</v>
      </c>
      <c r="U8" s="98">
        <f t="shared" si="4"/>
        <v>0.18811615637622486</v>
      </c>
      <c r="V8" s="98">
        <f t="shared" si="4"/>
        <v>0.41785634797321169</v>
      </c>
      <c r="W8" s="98">
        <f t="shared" si="4"/>
        <v>5.1886741796238034E-2</v>
      </c>
      <c r="X8" s="98">
        <f t="shared" si="4"/>
        <v>0.21132140218454742</v>
      </c>
      <c r="Y8" s="98">
        <f t="shared" si="4"/>
        <v>0.10451185440320769</v>
      </c>
      <c r="Z8" s="98">
        <f t="shared" si="4"/>
        <v>0.10611651552916176</v>
      </c>
      <c r="AA8" s="98">
        <f t="shared" si="4"/>
        <v>0.12334678701380065</v>
      </c>
      <c r="AB8" s="98">
        <f t="shared" si="4"/>
        <v>0.25776913618857583</v>
      </c>
      <c r="AC8" s="98">
        <f t="shared" si="4"/>
        <v>9.9398312692044313E-2</v>
      </c>
    </row>
    <row r="9" spans="1:29">
      <c r="A9" s="78" t="str">
        <f>Commodities!C30</f>
        <v>TNAV</v>
      </c>
      <c r="B9" t="str">
        <f>Commodities!E30</f>
        <v>PJ</v>
      </c>
      <c r="C9" s="98">
        <f t="shared" ref="C9:AC9" si="5">C620</f>
        <v>3.513299808727715</v>
      </c>
      <c r="D9" s="98">
        <f t="shared" si="5"/>
        <v>4.2004379525771122E-2</v>
      </c>
      <c r="E9" s="98">
        <f t="shared" si="5"/>
        <v>0.99408028513777069</v>
      </c>
      <c r="F9" s="98">
        <f t="shared" si="5"/>
        <v>0.16416325549782509</v>
      </c>
      <c r="G9" s="98">
        <f t="shared" si="5"/>
        <v>7.3213282321037743E-2</v>
      </c>
      <c r="H9" s="98">
        <f t="shared" si="5"/>
        <v>6.2489372105217399E-2</v>
      </c>
      <c r="I9" s="98">
        <f t="shared" si="5"/>
        <v>3.0156063450376649E-2</v>
      </c>
      <c r="J9" s="98">
        <f t="shared" si="5"/>
        <v>9.5090501840783506E-2</v>
      </c>
      <c r="K9" s="98">
        <f t="shared" si="5"/>
        <v>0.14390329165011773</v>
      </c>
      <c r="L9" s="98">
        <f t="shared" si="5"/>
        <v>5.7519557229829314E-2</v>
      </c>
      <c r="M9" s="98">
        <f t="shared" si="5"/>
        <v>6.5494427922832554E-2</v>
      </c>
      <c r="N9" s="98">
        <f t="shared" si="5"/>
        <v>0.11046475991283469</v>
      </c>
      <c r="O9" s="98">
        <f t="shared" si="5"/>
        <v>0.10508103973087109</v>
      </c>
      <c r="P9" s="98">
        <f t="shared" si="5"/>
        <v>8.766307809515822E-2</v>
      </c>
      <c r="Q9" s="98">
        <f t="shared" si="5"/>
        <v>0.40052753292342302</v>
      </c>
      <c r="R9" s="98">
        <f t="shared" si="5"/>
        <v>0.10897809468511692</v>
      </c>
      <c r="S9" s="98">
        <f t="shared" si="5"/>
        <v>0.1437963107776517</v>
      </c>
      <c r="T9" s="98">
        <f t="shared" si="5"/>
        <v>0.11771806306603248</v>
      </c>
      <c r="U9" s="98">
        <f t="shared" si="5"/>
        <v>8.5714550618035304E-2</v>
      </c>
      <c r="V9" s="98">
        <f t="shared" si="5"/>
        <v>0.19039496542649909</v>
      </c>
      <c r="W9" s="98">
        <f t="shared" si="5"/>
        <v>2.3642035015875255E-2</v>
      </c>
      <c r="X9" s="98">
        <f t="shared" si="5"/>
        <v>9.6287949813282744E-2</v>
      </c>
      <c r="Y9" s="98">
        <f t="shared" si="5"/>
        <v>4.7620506430678201E-2</v>
      </c>
      <c r="Z9" s="98">
        <f t="shared" si="5"/>
        <v>4.8351665359049577E-2</v>
      </c>
      <c r="AA9" s="98">
        <f t="shared" si="5"/>
        <v>5.6202585799816289E-2</v>
      </c>
      <c r="AB9" s="98">
        <f t="shared" si="5"/>
        <v>0.11745171758354803</v>
      </c>
      <c r="AC9" s="98">
        <f t="shared" si="5"/>
        <v>4.529053680827981E-2</v>
      </c>
    </row>
    <row r="10" spans="1:29">
      <c r="A10" t="str">
        <f>Commodities!C31</f>
        <v>TOTH</v>
      </c>
      <c r="B10" t="str">
        <f>Commodities!E31</f>
        <v>PJ</v>
      </c>
      <c r="C10" s="98">
        <f t="shared" ref="C10:AC10" si="6">C621</f>
        <v>20.831454920682329</v>
      </c>
      <c r="D10" s="98">
        <f t="shared" si="6"/>
        <v>0.24905712185126741</v>
      </c>
      <c r="E10" s="98">
        <f t="shared" si="6"/>
        <v>5.8942133534813888</v>
      </c>
      <c r="F10" s="98">
        <f t="shared" si="6"/>
        <v>0.97337535727524771</v>
      </c>
      <c r="G10" s="98">
        <f t="shared" si="6"/>
        <v>0.43410448105713778</v>
      </c>
      <c r="H10" s="98">
        <f t="shared" si="6"/>
        <v>0.37051905869171636</v>
      </c>
      <c r="I10" s="98">
        <f t="shared" si="6"/>
        <v>0.17880474498396076</v>
      </c>
      <c r="J10" s="98">
        <f t="shared" si="6"/>
        <v>0.56382136746783451</v>
      </c>
      <c r="K10" s="98">
        <f t="shared" si="6"/>
        <v>0.85324768626358816</v>
      </c>
      <c r="L10" s="98">
        <f t="shared" si="6"/>
        <v>0.34105146976474843</v>
      </c>
      <c r="M10" s="98">
        <f t="shared" si="6"/>
        <v>0.38833697580863147</v>
      </c>
      <c r="N10" s="98">
        <f t="shared" si="6"/>
        <v>0.654980158747549</v>
      </c>
      <c r="O10" s="98">
        <f t="shared" si="6"/>
        <v>0.62305839562402099</v>
      </c>
      <c r="P10" s="98">
        <f t="shared" si="6"/>
        <v>0.51978184583366194</v>
      </c>
      <c r="Q10" s="98">
        <f t="shared" si="6"/>
        <v>2.3748531866991121</v>
      </c>
      <c r="R10" s="98">
        <f t="shared" si="6"/>
        <v>0.64616525499341604</v>
      </c>
      <c r="S10" s="98">
        <f t="shared" si="6"/>
        <v>0.85261336316465552</v>
      </c>
      <c r="T10" s="98">
        <f t="shared" si="6"/>
        <v>0.69798726485518292</v>
      </c>
      <c r="U10" s="98">
        <f t="shared" si="6"/>
        <v>0.50822841614896441</v>
      </c>
      <c r="V10" s="98">
        <f t="shared" si="6"/>
        <v>1.1289113811335343</v>
      </c>
      <c r="W10" s="98">
        <f t="shared" si="6"/>
        <v>0.14018103022205461</v>
      </c>
      <c r="X10" s="98">
        <f t="shared" si="6"/>
        <v>0.57092141153381859</v>
      </c>
      <c r="Y10" s="98">
        <f t="shared" si="6"/>
        <v>0.28235689722420088</v>
      </c>
      <c r="Z10" s="98">
        <f t="shared" si="6"/>
        <v>0.28669216750725091</v>
      </c>
      <c r="AA10" s="98">
        <f t="shared" si="6"/>
        <v>0.33324273368478441</v>
      </c>
      <c r="AB10" s="98">
        <f t="shared" si="6"/>
        <v>0.69640801907094352</v>
      </c>
      <c r="AC10" s="98">
        <f t="shared" si="6"/>
        <v>0.26854177759365383</v>
      </c>
    </row>
    <row r="11" spans="1:29">
      <c r="A11" t="str">
        <f>Commodities!C32</f>
        <v>TAVIDOM</v>
      </c>
      <c r="B11" t="str">
        <f>Commodities!E32</f>
        <v>PJ</v>
      </c>
      <c r="C11" s="8">
        <f t="shared" ref="C11:AC11" si="7">C632</f>
        <v>0.23349320028657877</v>
      </c>
      <c r="D11" s="98">
        <f t="shared" si="7"/>
        <v>0</v>
      </c>
      <c r="E11" s="98">
        <f t="shared" si="7"/>
        <v>0.13599128494106466</v>
      </c>
      <c r="F11" s="98">
        <f t="shared" si="7"/>
        <v>0</v>
      </c>
      <c r="G11" s="98">
        <f t="shared" si="7"/>
        <v>0</v>
      </c>
      <c r="H11" s="98">
        <f t="shared" si="7"/>
        <v>0</v>
      </c>
      <c r="I11" s="98">
        <f t="shared" si="7"/>
        <v>0</v>
      </c>
      <c r="J11" s="98">
        <f t="shared" si="7"/>
        <v>0</v>
      </c>
      <c r="K11" s="98">
        <f t="shared" si="7"/>
        <v>0</v>
      </c>
      <c r="L11" s="98">
        <f t="shared" si="7"/>
        <v>0</v>
      </c>
      <c r="M11" s="98">
        <f t="shared" si="7"/>
        <v>0</v>
      </c>
      <c r="N11" s="98">
        <f t="shared" si="7"/>
        <v>0</v>
      </c>
      <c r="O11" s="98">
        <f t="shared" si="7"/>
        <v>0</v>
      </c>
      <c r="P11" s="98">
        <f t="shared" si="7"/>
        <v>4.748954082175956E-2</v>
      </c>
      <c r="Q11" s="98">
        <f t="shared" si="7"/>
        <v>4.7056267691773232E-4</v>
      </c>
      <c r="R11" s="98">
        <f t="shared" si="7"/>
        <v>4.7235778638893701E-2</v>
      </c>
      <c r="S11" s="98">
        <f t="shared" si="7"/>
        <v>0</v>
      </c>
      <c r="T11" s="98">
        <f t="shared" si="7"/>
        <v>0</v>
      </c>
      <c r="U11" s="98">
        <f t="shared" si="7"/>
        <v>0</v>
      </c>
      <c r="V11" s="98">
        <f t="shared" si="7"/>
        <v>0</v>
      </c>
      <c r="W11" s="98">
        <f t="shared" si="7"/>
        <v>0</v>
      </c>
      <c r="X11" s="98">
        <f t="shared" si="7"/>
        <v>9.4112535383546452E-5</v>
      </c>
      <c r="Y11" s="98">
        <f t="shared" si="7"/>
        <v>0</v>
      </c>
      <c r="Z11" s="98">
        <f t="shared" si="7"/>
        <v>0</v>
      </c>
      <c r="AA11" s="98">
        <f t="shared" si="7"/>
        <v>0</v>
      </c>
      <c r="AB11" s="98">
        <f t="shared" si="7"/>
        <v>0</v>
      </c>
      <c r="AC11" s="98">
        <f t="shared" si="7"/>
        <v>0</v>
      </c>
    </row>
    <row r="12" spans="1:29">
      <c r="A12" s="79" t="str">
        <f>Commodities!C33</f>
        <v>TAVIINT</v>
      </c>
      <c r="B12" s="79" t="str">
        <f>Commodities!E33</f>
        <v>PJ</v>
      </c>
      <c r="C12" s="251">
        <f t="shared" ref="C12:AC12" si="8">C633</f>
        <v>45.968363752260807</v>
      </c>
      <c r="D12" s="252">
        <f t="shared" si="8"/>
        <v>0</v>
      </c>
      <c r="E12" s="251">
        <f t="shared" si="8"/>
        <v>40.440162812852364</v>
      </c>
      <c r="F12" s="251">
        <f t="shared" si="8"/>
        <v>0</v>
      </c>
      <c r="G12" s="251">
        <f t="shared" si="8"/>
        <v>0</v>
      </c>
      <c r="H12" s="251">
        <f t="shared" si="8"/>
        <v>0</v>
      </c>
      <c r="I12" s="251">
        <f t="shared" si="8"/>
        <v>0</v>
      </c>
      <c r="J12" s="251">
        <f t="shared" si="8"/>
        <v>0</v>
      </c>
      <c r="K12" s="251">
        <f t="shared" si="8"/>
        <v>0</v>
      </c>
      <c r="L12" s="251">
        <f t="shared" si="8"/>
        <v>0</v>
      </c>
      <c r="M12" s="251">
        <f t="shared" si="8"/>
        <v>0</v>
      </c>
      <c r="N12" s="251">
        <f t="shared" si="8"/>
        <v>0</v>
      </c>
      <c r="O12" s="251">
        <f t="shared" si="8"/>
        <v>0</v>
      </c>
      <c r="P12" s="251">
        <f t="shared" si="8"/>
        <v>2.3945076242747714</v>
      </c>
      <c r="Q12" s="251">
        <f t="shared" si="8"/>
        <v>2.2140070109418941</v>
      </c>
      <c r="R12" s="251">
        <f t="shared" si="8"/>
        <v>0.24127325087308296</v>
      </c>
      <c r="S12" s="251">
        <f t="shared" si="8"/>
        <v>0</v>
      </c>
      <c r="T12" s="251">
        <f t="shared" si="8"/>
        <v>0</v>
      </c>
      <c r="U12" s="251">
        <f t="shared" si="8"/>
        <v>0</v>
      </c>
      <c r="V12" s="251">
        <f t="shared" si="8"/>
        <v>0</v>
      </c>
      <c r="W12" s="251">
        <f t="shared" si="8"/>
        <v>0</v>
      </c>
      <c r="X12" s="251">
        <f t="shared" si="8"/>
        <v>0.6888154891078464</v>
      </c>
      <c r="Y12" s="251">
        <f t="shared" si="8"/>
        <v>0</v>
      </c>
      <c r="Z12" s="251">
        <f t="shared" si="8"/>
        <v>0</v>
      </c>
      <c r="AA12" s="251">
        <f t="shared" si="8"/>
        <v>0</v>
      </c>
      <c r="AB12" s="251">
        <f t="shared" si="8"/>
        <v>0</v>
      </c>
      <c r="AC12" s="251">
        <f t="shared" si="8"/>
        <v>0</v>
      </c>
    </row>
    <row r="13" spans="1:29">
      <c r="C13" s="98"/>
      <c r="D13" s="9"/>
      <c r="E13" s="98"/>
      <c r="F13" s="98"/>
      <c r="G13" s="98"/>
      <c r="H13" s="98"/>
      <c r="I13" s="98"/>
      <c r="J13" s="98"/>
      <c r="K13" s="98"/>
      <c r="L13" s="98"/>
      <c r="M13" s="98"/>
      <c r="N13" s="98"/>
      <c r="O13" s="98"/>
      <c r="P13" s="98"/>
      <c r="Q13" s="98"/>
      <c r="R13" s="98"/>
      <c r="S13" s="98"/>
      <c r="T13" s="98"/>
      <c r="U13" s="98"/>
      <c r="V13" s="98"/>
      <c r="W13" s="98"/>
      <c r="X13" s="98"/>
      <c r="Y13" s="98"/>
      <c r="Z13" s="98"/>
      <c r="AA13" s="98"/>
      <c r="AB13" s="98"/>
      <c r="AC13" s="98"/>
    </row>
    <row r="14" spans="1:29">
      <c r="C14" s="98"/>
      <c r="D14" s="188"/>
      <c r="G14" s="98"/>
      <c r="H14" s="98"/>
      <c r="I14" s="98"/>
      <c r="J14" s="98"/>
      <c r="K14" s="98"/>
      <c r="L14" s="98"/>
      <c r="M14" s="98"/>
      <c r="N14" s="98"/>
      <c r="O14" s="98"/>
      <c r="P14" s="98"/>
      <c r="Q14" s="98"/>
      <c r="R14" s="98"/>
      <c r="S14" s="98"/>
      <c r="T14" s="98"/>
      <c r="U14" s="98"/>
      <c r="V14" s="98"/>
      <c r="W14" s="98"/>
      <c r="X14" s="98"/>
      <c r="Y14" s="98"/>
      <c r="Z14" s="98"/>
      <c r="AA14" s="98"/>
      <c r="AB14" s="98"/>
      <c r="AC14" s="98"/>
    </row>
    <row r="15" spans="1:29">
      <c r="C15" s="98"/>
      <c r="D15" s="188"/>
      <c r="G15" s="98"/>
      <c r="H15" s="98"/>
      <c r="I15" s="98"/>
      <c r="J15" s="98"/>
      <c r="K15" s="98"/>
      <c r="L15" s="98"/>
      <c r="M15" s="98"/>
      <c r="N15" s="98"/>
      <c r="O15" s="98"/>
      <c r="P15" s="98"/>
      <c r="Q15" s="98"/>
      <c r="R15" s="98"/>
      <c r="S15" s="98"/>
      <c r="T15" s="98"/>
      <c r="U15" s="98"/>
      <c r="V15" s="98"/>
      <c r="W15" s="98"/>
      <c r="X15" s="98"/>
      <c r="Y15" s="98"/>
      <c r="Z15" s="98"/>
      <c r="AA15" s="98"/>
      <c r="AB15" s="98"/>
      <c r="AC15" s="98"/>
    </row>
    <row r="16" spans="1:29">
      <c r="A16" t="s">
        <v>1033</v>
      </c>
      <c r="C16" s="98"/>
      <c r="D16" s="188"/>
      <c r="E16" s="98"/>
      <c r="F16" s="98"/>
      <c r="G16" s="98"/>
      <c r="H16" s="98"/>
      <c r="I16" s="98"/>
      <c r="J16" s="98"/>
      <c r="K16" s="98"/>
      <c r="L16" s="98"/>
      <c r="M16" s="98"/>
      <c r="N16" s="98"/>
      <c r="O16" s="98"/>
      <c r="P16" s="98"/>
      <c r="Q16" s="98"/>
      <c r="R16" s="98"/>
      <c r="S16" s="98"/>
      <c r="T16" s="98"/>
      <c r="U16" s="98"/>
      <c r="V16" s="98"/>
      <c r="W16" s="98"/>
      <c r="X16" s="98"/>
      <c r="Y16" s="98"/>
      <c r="Z16" s="98"/>
      <c r="AA16" s="98"/>
      <c r="AB16" s="98"/>
      <c r="AC16" s="98"/>
    </row>
    <row r="17" spans="1:29">
      <c r="A17" s="82" t="s">
        <v>61</v>
      </c>
      <c r="B17" s="82" t="s">
        <v>94</v>
      </c>
      <c r="C17" s="82" t="str">
        <f>C3</f>
        <v>IE</v>
      </c>
      <c r="D17" s="82" t="str">
        <f t="shared" ref="D17:AC17" si="9">D3</f>
        <v>IE-CW</v>
      </c>
      <c r="E17" s="82" t="str">
        <f t="shared" si="9"/>
        <v>IE-D</v>
      </c>
      <c r="F17" s="82" t="str">
        <f t="shared" si="9"/>
        <v>IE-KE</v>
      </c>
      <c r="G17" s="82" t="str">
        <f t="shared" si="9"/>
        <v>IE-KK</v>
      </c>
      <c r="H17" s="82" t="str">
        <f t="shared" si="9"/>
        <v>IE-LS</v>
      </c>
      <c r="I17" s="82" t="str">
        <f t="shared" si="9"/>
        <v>IE-LD</v>
      </c>
      <c r="J17" s="82" t="str">
        <f t="shared" si="9"/>
        <v>IE-LH</v>
      </c>
      <c r="K17" s="82" t="str">
        <f t="shared" si="9"/>
        <v>IE-MH</v>
      </c>
      <c r="L17" s="82" t="str">
        <f t="shared" si="9"/>
        <v>IE-OY</v>
      </c>
      <c r="M17" s="82" t="str">
        <f t="shared" si="9"/>
        <v>IE-WH</v>
      </c>
      <c r="N17" s="82" t="str">
        <f t="shared" si="9"/>
        <v>IE-WX</v>
      </c>
      <c r="O17" s="82" t="str">
        <f t="shared" si="9"/>
        <v>IE-WW</v>
      </c>
      <c r="P17" s="82" t="str">
        <f t="shared" si="9"/>
        <v>IE-CE</v>
      </c>
      <c r="Q17" s="82" t="str">
        <f t="shared" si="9"/>
        <v>IE-CO</v>
      </c>
      <c r="R17" s="82" t="str">
        <f t="shared" si="9"/>
        <v>IE-KY</v>
      </c>
      <c r="S17" s="82" t="str">
        <f t="shared" si="9"/>
        <v>IE-LK</v>
      </c>
      <c r="T17" s="82" t="str">
        <f t="shared" si="9"/>
        <v>IE-TA</v>
      </c>
      <c r="U17" s="82" t="str">
        <f t="shared" si="9"/>
        <v>IE-WD</v>
      </c>
      <c r="V17" s="82" t="str">
        <f t="shared" si="9"/>
        <v>IE-G</v>
      </c>
      <c r="W17" s="82" t="str">
        <f t="shared" si="9"/>
        <v>IE-LM</v>
      </c>
      <c r="X17" s="82" t="str">
        <f t="shared" si="9"/>
        <v>IE-MO</v>
      </c>
      <c r="Y17" s="82" t="str">
        <f t="shared" si="9"/>
        <v>IE-RN</v>
      </c>
      <c r="Z17" s="82" t="str">
        <f t="shared" si="9"/>
        <v>IE-SO</v>
      </c>
      <c r="AA17" s="82" t="str">
        <f t="shared" si="9"/>
        <v>IE-CN</v>
      </c>
      <c r="AB17" s="82" t="str">
        <f t="shared" si="9"/>
        <v>IE-DL</v>
      </c>
      <c r="AC17" s="82" t="str">
        <f t="shared" si="9"/>
        <v>IE-MN</v>
      </c>
    </row>
    <row r="18" spans="1:29">
      <c r="A18" s="349"/>
      <c r="B18" s="349" t="s">
        <v>899</v>
      </c>
      <c r="C18" s="350">
        <f>G535/1000000</f>
        <v>8.8551000000000005E-2</v>
      </c>
      <c r="D18" s="349">
        <v>0</v>
      </c>
      <c r="E18" s="350">
        <f>C18*Stock!D317</f>
        <v>2.8462821428571431E-2</v>
      </c>
      <c r="F18" s="351">
        <v>0</v>
      </c>
      <c r="G18" s="351">
        <v>0</v>
      </c>
      <c r="H18" s="351">
        <v>0</v>
      </c>
      <c r="I18" s="351">
        <v>0</v>
      </c>
      <c r="J18" s="351">
        <v>0</v>
      </c>
      <c r="K18" s="350">
        <f>C18*Stock!F317</f>
        <v>9.4876071428571431E-3</v>
      </c>
      <c r="L18" s="351">
        <v>0</v>
      </c>
      <c r="M18" s="351">
        <v>0</v>
      </c>
      <c r="N18" s="351">
        <v>0</v>
      </c>
      <c r="O18" s="351">
        <v>0</v>
      </c>
      <c r="P18" s="351">
        <v>0</v>
      </c>
      <c r="Q18" s="351">
        <v>0</v>
      </c>
      <c r="R18" s="351">
        <v>0</v>
      </c>
      <c r="S18" s="351">
        <v>0</v>
      </c>
      <c r="T18" s="351">
        <v>0</v>
      </c>
      <c r="U18" s="350">
        <f>C18*Stock!E317</f>
        <v>1.5812678571428571E-2</v>
      </c>
      <c r="V18" s="351">
        <v>0</v>
      </c>
      <c r="W18" s="351">
        <v>0</v>
      </c>
      <c r="X18" s="350">
        <f>C18*Stock!C317</f>
        <v>3.4787892857142858E-2</v>
      </c>
      <c r="Y18" s="351">
        <v>0</v>
      </c>
      <c r="Z18" s="351">
        <v>0</v>
      </c>
      <c r="AA18" s="351">
        <v>0</v>
      </c>
      <c r="AB18" s="351">
        <v>0</v>
      </c>
      <c r="AC18" s="351">
        <v>0</v>
      </c>
    </row>
    <row r="19" spans="1:29">
      <c r="A19" s="9"/>
      <c r="B19" s="9"/>
      <c r="C19" s="98"/>
      <c r="D19" s="9"/>
      <c r="E19" s="98"/>
      <c r="F19" s="98"/>
      <c r="G19" s="98"/>
      <c r="H19" s="98"/>
      <c r="I19" s="98"/>
      <c r="J19" s="98"/>
      <c r="K19" s="98"/>
      <c r="L19" s="98"/>
      <c r="M19" s="98"/>
      <c r="N19" s="98"/>
      <c r="O19" s="98"/>
      <c r="P19" s="98"/>
      <c r="Q19" s="98"/>
      <c r="R19" s="98"/>
      <c r="S19" s="98"/>
      <c r="T19" s="98"/>
      <c r="U19" s="98"/>
      <c r="V19" s="98"/>
      <c r="W19" s="98"/>
      <c r="X19" s="98"/>
      <c r="Y19" s="98"/>
      <c r="Z19" s="98"/>
      <c r="AA19" s="98"/>
      <c r="AB19" s="98"/>
      <c r="AC19" s="98"/>
    </row>
    <row r="20" spans="1:29">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row>
    <row r="22" spans="1:29">
      <c r="A22" t="s">
        <v>888</v>
      </c>
    </row>
    <row r="23" spans="1:29">
      <c r="A23" s="82" t="s">
        <v>891</v>
      </c>
      <c r="B23" s="80" t="s">
        <v>419</v>
      </c>
      <c r="C23" s="309" t="str">
        <f>Regions!C3</f>
        <v>IE</v>
      </c>
      <c r="D23" s="309" t="str">
        <f>Regions!E3</f>
        <v>IE-CW</v>
      </c>
      <c r="E23" s="309" t="str">
        <f>Regions!F3</f>
        <v>IE-D</v>
      </c>
      <c r="F23" s="309" t="str">
        <f>Regions!G3</f>
        <v>IE-KE</v>
      </c>
      <c r="G23" s="309" t="str">
        <f>Regions!H3</f>
        <v>IE-KK</v>
      </c>
      <c r="H23" s="309" t="str">
        <f>Regions!I3</f>
        <v>IE-LS</v>
      </c>
      <c r="I23" s="309" t="str">
        <f>Regions!J3</f>
        <v>IE-LD</v>
      </c>
      <c r="J23" s="309" t="str">
        <f>Regions!K3</f>
        <v>IE-LH</v>
      </c>
      <c r="K23" s="309" t="str">
        <f>Regions!L3</f>
        <v>IE-MH</v>
      </c>
      <c r="L23" s="309" t="str">
        <f>Regions!M3</f>
        <v>IE-OY</v>
      </c>
      <c r="M23" s="309" t="str">
        <f>Regions!N3</f>
        <v>IE-WH</v>
      </c>
      <c r="N23" s="309" t="str">
        <f>Regions!O3</f>
        <v>IE-WX</v>
      </c>
      <c r="O23" s="309" t="str">
        <f>Regions!P3</f>
        <v>IE-WW</v>
      </c>
      <c r="P23" s="309" t="str">
        <f>Regions!Q3</f>
        <v>IE-CE</v>
      </c>
      <c r="Q23" s="309" t="str">
        <f>Regions!R3</f>
        <v>IE-CO</v>
      </c>
      <c r="R23" s="309" t="str">
        <f>Regions!S3</f>
        <v>IE-KY</v>
      </c>
      <c r="S23" s="309" t="str">
        <f>Regions!T3</f>
        <v>IE-LK</v>
      </c>
      <c r="T23" s="309" t="str">
        <f>Regions!U3</f>
        <v>IE-TA</v>
      </c>
      <c r="U23" s="309" t="str">
        <f>Regions!V3</f>
        <v>IE-WD</v>
      </c>
      <c r="V23" s="309" t="str">
        <f>Regions!W3</f>
        <v>IE-G</v>
      </c>
      <c r="W23" s="309" t="str">
        <f>Regions!X3</f>
        <v>IE-LM</v>
      </c>
      <c r="X23" s="309" t="str">
        <f>Regions!Y3</f>
        <v>IE-MO</v>
      </c>
      <c r="Y23" s="309" t="str">
        <f>Regions!Z3</f>
        <v>IE-RN</v>
      </c>
      <c r="Z23" s="309" t="str">
        <f>Regions!AA3</f>
        <v>IE-SO</v>
      </c>
      <c r="AA23" s="309" t="str">
        <f>Regions!AB3</f>
        <v>IE-CN</v>
      </c>
      <c r="AB23" s="309" t="str">
        <f>Regions!AC3</f>
        <v>IE-DL</v>
      </c>
      <c r="AC23" s="309" t="str">
        <f>Regions!AD3</f>
        <v>IE-MN</v>
      </c>
    </row>
    <row r="24" spans="1:29">
      <c r="A24" t="s">
        <v>422</v>
      </c>
      <c r="B24" s="33" t="s">
        <v>889</v>
      </c>
      <c r="C24" s="28">
        <f t="shared" ref="C24:AC24" si="10">C4/SUM(C4:C6)</f>
        <v>0.19950262849047029</v>
      </c>
      <c r="D24" s="28">
        <f t="shared" si="10"/>
        <v>0.19078731828048984</v>
      </c>
      <c r="E24" s="28">
        <f t="shared" si="10"/>
        <v>0.21075324602615886</v>
      </c>
      <c r="F24" s="28">
        <f t="shared" si="10"/>
        <v>0.19531627264556853</v>
      </c>
      <c r="G24" s="28">
        <f t="shared" si="10"/>
        <v>0.19066692005368757</v>
      </c>
      <c r="H24" s="28">
        <f t="shared" si="10"/>
        <v>0.19892076323472621</v>
      </c>
      <c r="I24" s="28">
        <f t="shared" si="10"/>
        <v>0.19500423330331412</v>
      </c>
      <c r="J24" s="28">
        <f t="shared" si="10"/>
        <v>0.20435231740285428</v>
      </c>
      <c r="K24" s="28">
        <f t="shared" si="10"/>
        <v>0.19734390162025608</v>
      </c>
      <c r="L24" s="28">
        <f t="shared" si="10"/>
        <v>0.19242838252667249</v>
      </c>
      <c r="M24" s="28">
        <f t="shared" si="10"/>
        <v>0.19440161269395112</v>
      </c>
      <c r="N24" s="28">
        <f t="shared" si="10"/>
        <v>0.19131368735195031</v>
      </c>
      <c r="O24" s="28">
        <f t="shared" si="10"/>
        <v>0.19715377798776618</v>
      </c>
      <c r="P24" s="28">
        <f t="shared" si="10"/>
        <v>0.19327059892033924</v>
      </c>
      <c r="Q24" s="28">
        <f t="shared" si="10"/>
        <v>0.19978063773150631</v>
      </c>
      <c r="R24" s="28">
        <f t="shared" si="10"/>
        <v>0.1881911049804417</v>
      </c>
      <c r="S24" s="28">
        <f t="shared" si="10"/>
        <v>0.1982887894503054</v>
      </c>
      <c r="T24" s="28">
        <f t="shared" si="10"/>
        <v>0.18881197356159776</v>
      </c>
      <c r="U24" s="28">
        <f t="shared" si="10"/>
        <v>0.19691314002176619</v>
      </c>
      <c r="V24" s="28">
        <f t="shared" si="10"/>
        <v>0.19556773257278215</v>
      </c>
      <c r="W24" s="28">
        <f t="shared" si="10"/>
        <v>0.19343057317961926</v>
      </c>
      <c r="X24" s="28">
        <f t="shared" si="10"/>
        <v>0.19025165055148918</v>
      </c>
      <c r="Y24" s="28">
        <f t="shared" si="10"/>
        <v>0.18773229885189827</v>
      </c>
      <c r="Z24" s="28">
        <f t="shared" si="10"/>
        <v>0.19827521357270891</v>
      </c>
      <c r="AA24" s="28">
        <f t="shared" si="10"/>
        <v>0.20365700146274862</v>
      </c>
      <c r="AB24" s="28">
        <f t="shared" si="10"/>
        <v>0.21219165615577082</v>
      </c>
      <c r="AC24" s="28">
        <f t="shared" si="10"/>
        <v>0.18670403926863507</v>
      </c>
    </row>
    <row r="25" spans="1:29">
      <c r="A25" t="s">
        <v>423</v>
      </c>
      <c r="B25" s="33" t="s">
        <v>342</v>
      </c>
      <c r="C25" s="28">
        <f t="shared" ref="C25:AC25" si="11">C5/SUM(C4:C6)</f>
        <v>0.42864985886154994</v>
      </c>
      <c r="D25" s="28">
        <f t="shared" si="11"/>
        <v>0.43525803021566556</v>
      </c>
      <c r="E25" s="28">
        <f t="shared" si="11"/>
        <v>0.421160446040514</v>
      </c>
      <c r="F25" s="28">
        <f t="shared" si="11"/>
        <v>0.43096041569234855</v>
      </c>
      <c r="G25" s="28">
        <f t="shared" si="11"/>
        <v>0.43066212141843047</v>
      </c>
      <c r="H25" s="28">
        <f t="shared" si="11"/>
        <v>0.42876934820171775</v>
      </c>
      <c r="I25" s="28">
        <f t="shared" si="11"/>
        <v>0.43097549448723049</v>
      </c>
      <c r="J25" s="28">
        <f t="shared" si="11"/>
        <v>0.42423666593097176</v>
      </c>
      <c r="K25" s="28">
        <f t="shared" si="11"/>
        <v>0.43210975695584969</v>
      </c>
      <c r="L25" s="28">
        <f t="shared" si="11"/>
        <v>0.43136017565012935</v>
      </c>
      <c r="M25" s="28">
        <f t="shared" si="11"/>
        <v>0.43399890671762309</v>
      </c>
      <c r="N25" s="28">
        <f t="shared" si="11"/>
        <v>0.43522508176566904</v>
      </c>
      <c r="O25" s="28">
        <f t="shared" si="11"/>
        <v>0.43027527754984524</v>
      </c>
      <c r="P25" s="28">
        <f t="shared" si="11"/>
        <v>0.434657903898794</v>
      </c>
      <c r="Q25" s="28">
        <f t="shared" si="11"/>
        <v>0.42937201899488575</v>
      </c>
      <c r="R25" s="28">
        <f t="shared" si="11"/>
        <v>0.4323675491583282</v>
      </c>
      <c r="S25" s="28">
        <f t="shared" si="11"/>
        <v>0.43028965414270431</v>
      </c>
      <c r="T25" s="28">
        <f t="shared" si="11"/>
        <v>0.43588631359697733</v>
      </c>
      <c r="U25" s="28">
        <f t="shared" si="11"/>
        <v>0.43189086386199144</v>
      </c>
      <c r="V25" s="28">
        <f t="shared" si="11"/>
        <v>0.42968320549436945</v>
      </c>
      <c r="W25" s="28">
        <f t="shared" si="11"/>
        <v>0.43399369199637394</v>
      </c>
      <c r="X25" s="28">
        <f t="shared" si="11"/>
        <v>0.43227283985426046</v>
      </c>
      <c r="Y25" s="28">
        <f t="shared" si="11"/>
        <v>0.43904131408647007</v>
      </c>
      <c r="Z25" s="28">
        <f t="shared" si="11"/>
        <v>0.4290623563338789</v>
      </c>
      <c r="AA25" s="28">
        <f t="shared" si="11"/>
        <v>0.42931835008053693</v>
      </c>
      <c r="AB25" s="28">
        <f t="shared" si="11"/>
        <v>0.42467351161236877</v>
      </c>
      <c r="AC25" s="28">
        <f t="shared" si="11"/>
        <v>0.42847093896152727</v>
      </c>
    </row>
    <row r="26" spans="1:29">
      <c r="A26" t="s">
        <v>424</v>
      </c>
      <c r="B26" s="241" t="s">
        <v>890</v>
      </c>
      <c r="C26" s="28">
        <f t="shared" ref="C26:AC26" si="12">C6/SUM(C4:C6)</f>
        <v>0.37184751264797972</v>
      </c>
      <c r="D26" s="28">
        <f t="shared" si="12"/>
        <v>0.37395465150384455</v>
      </c>
      <c r="E26" s="28">
        <f t="shared" si="12"/>
        <v>0.36808630793332703</v>
      </c>
      <c r="F26" s="28">
        <f t="shared" si="12"/>
        <v>0.37372331166208284</v>
      </c>
      <c r="G26" s="28">
        <f t="shared" si="12"/>
        <v>0.37867095852788202</v>
      </c>
      <c r="H26" s="28">
        <f t="shared" si="12"/>
        <v>0.37230988856355612</v>
      </c>
      <c r="I26" s="28">
        <f t="shared" si="12"/>
        <v>0.37402027220945538</v>
      </c>
      <c r="J26" s="28">
        <f t="shared" si="12"/>
        <v>0.37141101666617393</v>
      </c>
      <c r="K26" s="28">
        <f t="shared" si="12"/>
        <v>0.37054634142389431</v>
      </c>
      <c r="L26" s="28">
        <f t="shared" si="12"/>
        <v>0.37621144182319816</v>
      </c>
      <c r="M26" s="28">
        <f t="shared" si="12"/>
        <v>0.37159948058842585</v>
      </c>
      <c r="N26" s="28">
        <f t="shared" si="12"/>
        <v>0.37346123088238059</v>
      </c>
      <c r="O26" s="28">
        <f t="shared" si="12"/>
        <v>0.3725709444623887</v>
      </c>
      <c r="P26" s="28">
        <f t="shared" si="12"/>
        <v>0.37207149718086668</v>
      </c>
      <c r="Q26" s="28">
        <f t="shared" si="12"/>
        <v>0.3708473432736078</v>
      </c>
      <c r="R26" s="28">
        <f t="shared" si="12"/>
        <v>0.37944134586123013</v>
      </c>
      <c r="S26" s="28">
        <f t="shared" si="12"/>
        <v>0.37142155640699037</v>
      </c>
      <c r="T26" s="28">
        <f t="shared" si="12"/>
        <v>0.37530171284142494</v>
      </c>
      <c r="U26" s="28">
        <f t="shared" si="12"/>
        <v>0.37119599611624243</v>
      </c>
      <c r="V26" s="28">
        <f t="shared" si="12"/>
        <v>0.37474906193284835</v>
      </c>
      <c r="W26" s="28">
        <f t="shared" si="12"/>
        <v>0.3725757348240068</v>
      </c>
      <c r="X26" s="28">
        <f t="shared" si="12"/>
        <v>0.37747550959425041</v>
      </c>
      <c r="Y26" s="28">
        <f t="shared" si="12"/>
        <v>0.37322638706163158</v>
      </c>
      <c r="Z26" s="28">
        <f t="shared" si="12"/>
        <v>0.37266243009341221</v>
      </c>
      <c r="AA26" s="28">
        <f t="shared" si="12"/>
        <v>0.36702464845671445</v>
      </c>
      <c r="AB26" s="28">
        <f t="shared" si="12"/>
        <v>0.36313483223186038</v>
      </c>
      <c r="AC26" s="28">
        <f t="shared" si="12"/>
        <v>0.38482502176983774</v>
      </c>
    </row>
    <row r="27" spans="1:29">
      <c r="A27" s="84" t="s">
        <v>1</v>
      </c>
      <c r="B27" s="307" t="s">
        <v>17</v>
      </c>
      <c r="C27" s="104">
        <f>SUM(C24:C26)</f>
        <v>1</v>
      </c>
      <c r="D27" s="104">
        <f t="shared" ref="D27:AC27" si="13">SUM(D24:D26)</f>
        <v>1</v>
      </c>
      <c r="E27" s="104">
        <f t="shared" si="13"/>
        <v>0.99999999999999978</v>
      </c>
      <c r="F27" s="104">
        <f t="shared" si="13"/>
        <v>0.99999999999999989</v>
      </c>
      <c r="G27" s="104">
        <f t="shared" si="13"/>
        <v>1</v>
      </c>
      <c r="H27" s="104">
        <f t="shared" si="13"/>
        <v>1</v>
      </c>
      <c r="I27" s="104">
        <f t="shared" si="13"/>
        <v>1</v>
      </c>
      <c r="J27" s="104">
        <f t="shared" si="13"/>
        <v>1</v>
      </c>
      <c r="K27" s="104">
        <f t="shared" si="13"/>
        <v>1</v>
      </c>
      <c r="L27" s="104">
        <f t="shared" si="13"/>
        <v>1</v>
      </c>
      <c r="M27" s="104">
        <f t="shared" si="13"/>
        <v>1</v>
      </c>
      <c r="N27" s="104">
        <f t="shared" si="13"/>
        <v>1</v>
      </c>
      <c r="O27" s="104">
        <f t="shared" si="13"/>
        <v>1</v>
      </c>
      <c r="P27" s="104">
        <f t="shared" si="13"/>
        <v>1</v>
      </c>
      <c r="Q27" s="104">
        <f t="shared" si="13"/>
        <v>0.99999999999999989</v>
      </c>
      <c r="R27" s="104">
        <f t="shared" si="13"/>
        <v>1</v>
      </c>
      <c r="S27" s="104">
        <f t="shared" si="13"/>
        <v>1</v>
      </c>
      <c r="T27" s="104">
        <f t="shared" si="13"/>
        <v>1</v>
      </c>
      <c r="U27" s="104">
        <f t="shared" si="13"/>
        <v>1</v>
      </c>
      <c r="V27" s="104">
        <f t="shared" si="13"/>
        <v>1</v>
      </c>
      <c r="W27" s="104">
        <f t="shared" si="13"/>
        <v>1</v>
      </c>
      <c r="X27" s="104">
        <f t="shared" si="13"/>
        <v>1</v>
      </c>
      <c r="Y27" s="104">
        <f t="shared" si="13"/>
        <v>0.99999999999999989</v>
      </c>
      <c r="Z27" s="104">
        <f t="shared" si="13"/>
        <v>1</v>
      </c>
      <c r="AA27" s="104">
        <f t="shared" si="13"/>
        <v>1</v>
      </c>
      <c r="AB27" s="104">
        <f t="shared" si="13"/>
        <v>1</v>
      </c>
      <c r="AC27" s="104">
        <f t="shared" si="13"/>
        <v>1</v>
      </c>
    </row>
    <row r="31" spans="1:29" ht="15.5">
      <c r="A31" s="101" t="s">
        <v>893</v>
      </c>
      <c r="B31" s="101"/>
      <c r="C31" s="101"/>
    </row>
    <row r="32" spans="1:29">
      <c r="A32" s="82" t="s">
        <v>330</v>
      </c>
      <c r="B32" s="82" t="s">
        <v>331</v>
      </c>
      <c r="C32" s="309" t="str">
        <f>Regions!C3</f>
        <v>IE</v>
      </c>
      <c r="D32" s="309" t="str">
        <f>Regions!E3</f>
        <v>IE-CW</v>
      </c>
      <c r="E32" s="309" t="str">
        <f>Regions!F3</f>
        <v>IE-D</v>
      </c>
      <c r="F32" s="309" t="str">
        <f>Regions!G3</f>
        <v>IE-KE</v>
      </c>
      <c r="G32" s="309" t="str">
        <f>Regions!H3</f>
        <v>IE-KK</v>
      </c>
      <c r="H32" s="309" t="str">
        <f>Regions!I3</f>
        <v>IE-LS</v>
      </c>
      <c r="I32" s="309" t="str">
        <f>Regions!J3</f>
        <v>IE-LD</v>
      </c>
      <c r="J32" s="309" t="str">
        <f>Regions!K3</f>
        <v>IE-LH</v>
      </c>
      <c r="K32" s="309" t="str">
        <f>Regions!L3</f>
        <v>IE-MH</v>
      </c>
      <c r="L32" s="309" t="str">
        <f>Regions!M3</f>
        <v>IE-OY</v>
      </c>
      <c r="M32" s="309" t="str">
        <f>Regions!N3</f>
        <v>IE-WH</v>
      </c>
      <c r="N32" s="309" t="str">
        <f>Regions!O3</f>
        <v>IE-WX</v>
      </c>
      <c r="O32" s="309" t="str">
        <f>Regions!P3</f>
        <v>IE-WW</v>
      </c>
      <c r="P32" s="309" t="str">
        <f>Regions!Q3</f>
        <v>IE-CE</v>
      </c>
      <c r="Q32" s="309" t="str">
        <f>Regions!R3</f>
        <v>IE-CO</v>
      </c>
      <c r="R32" s="309" t="str">
        <f>Regions!S3</f>
        <v>IE-KY</v>
      </c>
      <c r="S32" s="309" t="str">
        <f>Regions!T3</f>
        <v>IE-LK</v>
      </c>
      <c r="T32" s="309" t="str">
        <f>Regions!U3</f>
        <v>IE-TA</v>
      </c>
      <c r="U32" s="309" t="str">
        <f>Regions!V3</f>
        <v>IE-WD</v>
      </c>
      <c r="V32" s="309" t="str">
        <f>Regions!W3</f>
        <v>IE-G</v>
      </c>
      <c r="W32" s="309" t="str">
        <f>Regions!X3</f>
        <v>IE-LM</v>
      </c>
      <c r="X32" s="309" t="str">
        <f>Regions!Y3</f>
        <v>IE-MO</v>
      </c>
      <c r="Y32" s="309" t="str">
        <f>Regions!Z3</f>
        <v>IE-RN</v>
      </c>
      <c r="Z32" s="309" t="str">
        <f>Regions!AA3</f>
        <v>IE-SO</v>
      </c>
      <c r="AA32" s="309" t="str">
        <f>Regions!AB3</f>
        <v>IE-CN</v>
      </c>
      <c r="AB32" s="309" t="str">
        <f>Regions!AC3</f>
        <v>IE-DL</v>
      </c>
      <c r="AC32" s="309" t="str">
        <f>Regions!AD3</f>
        <v>IE-MN</v>
      </c>
    </row>
    <row r="33" spans="1:29">
      <c r="A33" t="s">
        <v>337</v>
      </c>
      <c r="B33" t="s">
        <v>332</v>
      </c>
      <c r="C33" s="305">
        <f t="shared" ref="C33:D39" si="14">C315/C$323</f>
        <v>0.32377983784854231</v>
      </c>
      <c r="D33" s="305">
        <f t="shared" si="14"/>
        <v>0.29539615700051852</v>
      </c>
      <c r="E33" s="305">
        <f t="shared" ref="E33:AC33" si="15">E315/E$323</f>
        <v>0.34967728765163869</v>
      </c>
      <c r="F33" s="305">
        <f t="shared" si="15"/>
        <v>0.31311359703458036</v>
      </c>
      <c r="G33" s="305">
        <f t="shared" si="15"/>
        <v>0.30099430857485032</v>
      </c>
      <c r="H33" s="305">
        <f t="shared" si="15"/>
        <v>0.32585784427063491</v>
      </c>
      <c r="I33" s="305">
        <f t="shared" si="15"/>
        <v>0.31296089693181006</v>
      </c>
      <c r="J33" s="305">
        <f t="shared" si="15"/>
        <v>0.34414959934244926</v>
      </c>
      <c r="K33" s="305">
        <f t="shared" si="15"/>
        <v>0.31640567871855385</v>
      </c>
      <c r="L33" s="305">
        <f t="shared" si="15"/>
        <v>0.30551897544605799</v>
      </c>
      <c r="M33" s="305">
        <f t="shared" si="15"/>
        <v>0.30690900126975923</v>
      </c>
      <c r="N33" s="305">
        <f t="shared" si="15"/>
        <v>0.29742024558167873</v>
      </c>
      <c r="O33" s="305">
        <f t="shared" si="15"/>
        <v>0.31985079986061538</v>
      </c>
      <c r="P33" s="305">
        <f t="shared" si="15"/>
        <v>0.30317740338092081</v>
      </c>
      <c r="Q33" s="305">
        <f t="shared" si="15"/>
        <v>0.32755819451934742</v>
      </c>
      <c r="R33" s="305">
        <f t="shared" si="15"/>
        <v>0.29108733491927802</v>
      </c>
      <c r="S33" s="305">
        <f t="shared" si="15"/>
        <v>0.32210907481657336</v>
      </c>
      <c r="T33" s="305">
        <f t="shared" si="15"/>
        <v>0.28924149649685427</v>
      </c>
      <c r="U33" s="305">
        <f t="shared" si="15"/>
        <v>0.31716332192128543</v>
      </c>
      <c r="V33" s="305">
        <f t="shared" si="15"/>
        <v>0.31520515014132622</v>
      </c>
      <c r="W33" s="305">
        <f t="shared" si="15"/>
        <v>0.30496664626628506</v>
      </c>
      <c r="X33" s="305">
        <f t="shared" si="15"/>
        <v>0.29765342162432462</v>
      </c>
      <c r="Y33" s="305">
        <f t="shared" si="15"/>
        <v>0.28141024531167946</v>
      </c>
      <c r="Z33" s="305">
        <f t="shared" si="15"/>
        <v>0.32408712009988533</v>
      </c>
      <c r="AA33" s="305">
        <f t="shared" si="15"/>
        <v>0.33773511822059504</v>
      </c>
      <c r="AB33" s="305">
        <f t="shared" si="15"/>
        <v>0.36384480991771728</v>
      </c>
      <c r="AC33" s="305">
        <f t="shared" si="15"/>
        <v>0.29253128431407999</v>
      </c>
    </row>
    <row r="34" spans="1:29">
      <c r="B34" t="s">
        <v>333</v>
      </c>
      <c r="C34" s="305">
        <f t="shared" si="14"/>
        <v>5.3963306308090382E-2</v>
      </c>
      <c r="D34" s="305">
        <f t="shared" si="14"/>
        <v>4.9232692833419758E-2</v>
      </c>
      <c r="E34" s="305">
        <f t="shared" ref="E34:AC34" si="16">E316/E$323</f>
        <v>5.8279547941939784E-2</v>
      </c>
      <c r="F34" s="305">
        <f t="shared" si="16"/>
        <v>5.2185599505763403E-2</v>
      </c>
      <c r="G34" s="305">
        <f t="shared" si="16"/>
        <v>5.016571809580838E-2</v>
      </c>
      <c r="H34" s="305">
        <f t="shared" si="16"/>
        <v>5.4309640711772487E-2</v>
      </c>
      <c r="I34" s="305">
        <f t="shared" si="16"/>
        <v>5.216014948863501E-2</v>
      </c>
      <c r="J34" s="305">
        <f t="shared" si="16"/>
        <v>5.7358266557074891E-2</v>
      </c>
      <c r="K34" s="305">
        <f t="shared" si="16"/>
        <v>5.2734279786425649E-2</v>
      </c>
      <c r="L34" s="305">
        <f t="shared" si="16"/>
        <v>5.0919829241009663E-2</v>
      </c>
      <c r="M34" s="305">
        <f t="shared" si="16"/>
        <v>5.1151500211626538E-2</v>
      </c>
      <c r="N34" s="305">
        <f t="shared" si="16"/>
        <v>4.95700409302798E-2</v>
      </c>
      <c r="O34" s="305">
        <f t="shared" si="16"/>
        <v>5.3308466643435894E-2</v>
      </c>
      <c r="P34" s="305">
        <f t="shared" si="16"/>
        <v>5.052956723015347E-2</v>
      </c>
      <c r="Q34" s="305">
        <f t="shared" si="16"/>
        <v>5.459303241989124E-2</v>
      </c>
      <c r="R34" s="305">
        <f t="shared" si="16"/>
        <v>4.8514555819879672E-2</v>
      </c>
      <c r="S34" s="305">
        <f t="shared" si="16"/>
        <v>5.3684845802762227E-2</v>
      </c>
      <c r="T34" s="305">
        <f t="shared" si="16"/>
        <v>4.8206916082809047E-2</v>
      </c>
      <c r="U34" s="305">
        <f t="shared" si="16"/>
        <v>5.2860553653547575E-2</v>
      </c>
      <c r="V34" s="305">
        <f t="shared" si="16"/>
        <v>5.2534191690221041E-2</v>
      </c>
      <c r="W34" s="305">
        <f t="shared" si="16"/>
        <v>5.0827774377714179E-2</v>
      </c>
      <c r="X34" s="305">
        <f t="shared" si="16"/>
        <v>4.9608903604054101E-2</v>
      </c>
      <c r="Y34" s="305">
        <f t="shared" si="16"/>
        <v>4.690170755194658E-2</v>
      </c>
      <c r="Z34" s="305">
        <f t="shared" si="16"/>
        <v>5.4014520016647569E-2</v>
      </c>
      <c r="AA34" s="305">
        <f t="shared" si="16"/>
        <v>5.6289186370099165E-2</v>
      </c>
      <c r="AB34" s="305">
        <f t="shared" si="16"/>
        <v>6.064080165295288E-2</v>
      </c>
      <c r="AC34" s="305">
        <f t="shared" si="16"/>
        <v>4.8755214052346667E-2</v>
      </c>
    </row>
    <row r="35" spans="1:29">
      <c r="A35" t="s">
        <v>334</v>
      </c>
      <c r="B35" t="s">
        <v>340</v>
      </c>
      <c r="C35" s="306">
        <f t="shared" si="14"/>
        <v>1.2024577456126329E-3</v>
      </c>
      <c r="D35" s="305">
        <f t="shared" si="14"/>
        <v>8.4181954391599476E-4</v>
      </c>
      <c r="E35" s="305">
        <f t="shared" ref="E35:AC35" si="17">E317/E$323</f>
        <v>1.4316393209477573E-3</v>
      </c>
      <c r="F35" s="305">
        <f t="shared" si="17"/>
        <v>1.3698908311171865E-3</v>
      </c>
      <c r="G35" s="305">
        <f t="shared" si="17"/>
        <v>9.8425388735709995E-4</v>
      </c>
      <c r="H35" s="305">
        <f t="shared" si="17"/>
        <v>6.2421004942624992E-4</v>
      </c>
      <c r="I35" s="305">
        <f t="shared" si="17"/>
        <v>1.2422933671109623E-3</v>
      </c>
      <c r="J35" s="305">
        <f t="shared" si="17"/>
        <v>8.6646068484003841E-4</v>
      </c>
      <c r="K35" s="305">
        <f t="shared" si="17"/>
        <v>1.3159890714686659E-3</v>
      </c>
      <c r="L35" s="305">
        <f t="shared" si="17"/>
        <v>1.2716318220191991E-3</v>
      </c>
      <c r="M35" s="305">
        <f t="shared" si="17"/>
        <v>1.1218737998245681E-3</v>
      </c>
      <c r="N35" s="305">
        <f t="shared" si="17"/>
        <v>1.2891857705150252E-3</v>
      </c>
      <c r="O35" s="305">
        <f t="shared" si="17"/>
        <v>1.4574437703184118E-3</v>
      </c>
      <c r="P35" s="305">
        <f t="shared" si="17"/>
        <v>1.2419671387040388E-3</v>
      </c>
      <c r="Q35" s="305">
        <f t="shared" si="17"/>
        <v>1.4684396048311016E-3</v>
      </c>
      <c r="R35" s="305">
        <f t="shared" si="17"/>
        <v>9.5921086863546602E-4</v>
      </c>
      <c r="S35" s="305">
        <f t="shared" si="17"/>
        <v>1.0725657999581929E-3</v>
      </c>
      <c r="T35" s="305">
        <f t="shared" si="17"/>
        <v>1.1764845294377178E-3</v>
      </c>
      <c r="U35" s="305">
        <f t="shared" si="17"/>
        <v>1.3287962602263445E-3</v>
      </c>
      <c r="V35" s="305">
        <f t="shared" si="17"/>
        <v>7.9269582890742734E-4</v>
      </c>
      <c r="W35" s="305">
        <f>W317/W$323</f>
        <v>1.544102850410962E-3</v>
      </c>
      <c r="X35" s="305">
        <f t="shared" si="17"/>
        <v>7.4007830335184128E-4</v>
      </c>
      <c r="Y35" s="305">
        <f t="shared" si="17"/>
        <v>7.0738302217035411E-4</v>
      </c>
      <c r="Z35" s="305">
        <f t="shared" si="17"/>
        <v>8.0234115950314402E-4</v>
      </c>
      <c r="AA35" s="305">
        <f t="shared" si="17"/>
        <v>7.1933080869381386E-4</v>
      </c>
      <c r="AB35" s="305">
        <f t="shared" si="17"/>
        <v>7.4164409782466955E-4</v>
      </c>
      <c r="AC35" s="305">
        <f t="shared" si="17"/>
        <v>7.7316749378532367E-4</v>
      </c>
    </row>
    <row r="36" spans="1:29">
      <c r="B36" t="s">
        <v>339</v>
      </c>
      <c r="C36" s="305">
        <f>C318/C$323</f>
        <v>0.51421690231633799</v>
      </c>
      <c r="D36" s="305">
        <f t="shared" si="14"/>
        <v>0.57696936147650701</v>
      </c>
      <c r="E36" s="305">
        <f t="shared" ref="E36:AC36" si="18">E318/E$323</f>
        <v>0.4152163996490737</v>
      </c>
      <c r="F36" s="305">
        <f t="shared" si="18"/>
        <v>0.53837411623785481</v>
      </c>
      <c r="G36" s="305">
        <f t="shared" si="18"/>
        <v>0.5273035898540861</v>
      </c>
      <c r="H36" s="305">
        <f t="shared" si="18"/>
        <v>0.54428190464659498</v>
      </c>
      <c r="I36" s="305">
        <f t="shared" si="18"/>
        <v>0.54724418926165252</v>
      </c>
      <c r="J36" s="305">
        <f t="shared" si="18"/>
        <v>0.50629481396736598</v>
      </c>
      <c r="K36" s="305">
        <f t="shared" si="18"/>
        <v>0.54969956239724382</v>
      </c>
      <c r="L36" s="305">
        <f t="shared" si="18"/>
        <v>0.54286879912927866</v>
      </c>
      <c r="M36" s="305">
        <f t="shared" si="18"/>
        <v>0.57050800443626981</v>
      </c>
      <c r="N36" s="305">
        <f t="shared" si="18"/>
        <v>0.57834017325166753</v>
      </c>
      <c r="O36" s="305">
        <f t="shared" si="18"/>
        <v>0.54807767476728875</v>
      </c>
      <c r="P36" s="305">
        <f t="shared" si="18"/>
        <v>0.57445550608131724</v>
      </c>
      <c r="Q36" s="305">
        <f t="shared" si="18"/>
        <v>0.54514159019281827</v>
      </c>
      <c r="R36" s="305">
        <f t="shared" si="18"/>
        <v>0.52942173322971142</v>
      </c>
      <c r="S36" s="305">
        <f t="shared" si="18"/>
        <v>0.54890743812317566</v>
      </c>
      <c r="T36" s="305">
        <f t="shared" si="18"/>
        <v>0.57655830557717536</v>
      </c>
      <c r="U36" s="305">
        <f t="shared" si="18"/>
        <v>0.56469028513375741</v>
      </c>
      <c r="V36" s="305">
        <f t="shared" si="18"/>
        <v>0.5314898835087899</v>
      </c>
      <c r="W36" s="305">
        <f t="shared" si="18"/>
        <v>0.57016316956487822</v>
      </c>
      <c r="X36" s="305">
        <f t="shared" si="18"/>
        <v>0.54463316447281129</v>
      </c>
      <c r="Y36" s="305">
        <f t="shared" si="18"/>
        <v>0.60580683229929833</v>
      </c>
      <c r="Z36" s="305">
        <f t="shared" si="18"/>
        <v>0.54575340066281097</v>
      </c>
      <c r="AA36" s="305">
        <f t="shared" si="18"/>
        <v>0.57130392959697351</v>
      </c>
      <c r="AB36" s="305">
        <f t="shared" si="18"/>
        <v>0.56067924597798535</v>
      </c>
      <c r="AC36" s="305">
        <f t="shared" si="18"/>
        <v>0.49285227418620653</v>
      </c>
    </row>
    <row r="37" spans="1:29">
      <c r="A37" t="s">
        <v>298</v>
      </c>
      <c r="B37" t="s">
        <v>336</v>
      </c>
      <c r="C37" s="305">
        <f t="shared" si="14"/>
        <v>1.6399604421517593E-2</v>
      </c>
      <c r="D37" s="305">
        <f t="shared" si="14"/>
        <v>7.4490307781118984E-3</v>
      </c>
      <c r="E37" s="305">
        <f t="shared" ref="E37:AC37" si="19">E319/E$323</f>
        <v>3.2043055112662859E-2</v>
      </c>
      <c r="F37" s="305">
        <f t="shared" si="19"/>
        <v>1.4142087272297982E-2</v>
      </c>
      <c r="G37" s="305">
        <f t="shared" si="19"/>
        <v>7.8384539751406128E-3</v>
      </c>
      <c r="H37" s="305">
        <f t="shared" si="19"/>
        <v>9.942235039347571E-3</v>
      </c>
      <c r="I37" s="305">
        <f t="shared" si="19"/>
        <v>8.7941712391293846E-3</v>
      </c>
      <c r="J37" s="305">
        <f t="shared" si="19"/>
        <v>1.9167683727598969E-2</v>
      </c>
      <c r="K37" s="305">
        <f t="shared" si="19"/>
        <v>1.9563309645198885E-2</v>
      </c>
      <c r="L37" s="305">
        <f t="shared" si="19"/>
        <v>6.7513932047123726E-3</v>
      </c>
      <c r="M37" s="305">
        <f t="shared" si="19"/>
        <v>1.1912585101328303E-2</v>
      </c>
      <c r="N37" s="305">
        <f t="shared" si="19"/>
        <v>6.2742086519266488E-3</v>
      </c>
      <c r="O37" s="305">
        <f t="shared" si="19"/>
        <v>9.0275647633180547E-3</v>
      </c>
      <c r="P37" s="305">
        <f t="shared" si="19"/>
        <v>1.0257172186811273E-2</v>
      </c>
      <c r="Q37" s="305">
        <f t="shared" si="19"/>
        <v>1.2127565539618518E-2</v>
      </c>
      <c r="R37" s="305">
        <f t="shared" si="19"/>
        <v>1.0185353383353699E-2</v>
      </c>
      <c r="S37" s="305">
        <f t="shared" si="19"/>
        <v>1.2812635692286438E-2</v>
      </c>
      <c r="T37" s="305">
        <f t="shared" si="19"/>
        <v>5.2051948265462115E-3</v>
      </c>
      <c r="U37" s="305">
        <f t="shared" si="19"/>
        <v>8.6226466174633056E-3</v>
      </c>
      <c r="V37" s="305">
        <f t="shared" si="19"/>
        <v>1.3327262086971724E-2</v>
      </c>
      <c r="W37" s="305">
        <f t="shared" si="19"/>
        <v>8.1980061454330136E-3</v>
      </c>
      <c r="X37" s="305">
        <f t="shared" si="19"/>
        <v>7.2036254203120672E-3</v>
      </c>
      <c r="Y37" s="305">
        <f t="shared" si="19"/>
        <v>6.2594387860714779E-3</v>
      </c>
      <c r="Z37" s="305">
        <f t="shared" si="19"/>
        <v>8.5196368293601697E-3</v>
      </c>
      <c r="AA37" s="305">
        <f t="shared" si="19"/>
        <v>8.9112260712667282E-3</v>
      </c>
      <c r="AB37" s="305">
        <f t="shared" si="19"/>
        <v>9.8439085033626087E-3</v>
      </c>
      <c r="AC37" s="305">
        <f t="shared" si="19"/>
        <v>4.1049285439853662E-3</v>
      </c>
    </row>
    <row r="38" spans="1:29">
      <c r="B38" t="s">
        <v>558</v>
      </c>
      <c r="C38" s="305">
        <f t="shared" si="14"/>
        <v>8.2740995898888392E-2</v>
      </c>
      <c r="D38" s="305">
        <f t="shared" si="14"/>
        <v>7.0110938367526743E-2</v>
      </c>
      <c r="E38" s="305">
        <f t="shared" ref="E38:AC38" si="20">E320/E$323</f>
        <v>0.11397374993285452</v>
      </c>
      <c r="F38" s="305">
        <f t="shared" si="20"/>
        <v>8.0814709118386313E-2</v>
      </c>
      <c r="G38" s="305">
        <f t="shared" si="20"/>
        <v>0.11271367561275741</v>
      </c>
      <c r="H38" s="305">
        <f t="shared" si="20"/>
        <v>6.4984165282223824E-2</v>
      </c>
      <c r="I38" s="305">
        <f t="shared" si="20"/>
        <v>7.7598299711661989E-2</v>
      </c>
      <c r="J38" s="305">
        <f t="shared" si="20"/>
        <v>7.216317572067088E-2</v>
      </c>
      <c r="K38" s="305">
        <f t="shared" si="20"/>
        <v>6.0281180381109148E-2</v>
      </c>
      <c r="L38" s="305">
        <f t="shared" si="20"/>
        <v>9.2669371156921962E-2</v>
      </c>
      <c r="M38" s="305">
        <f t="shared" si="20"/>
        <v>5.839703518119168E-2</v>
      </c>
      <c r="N38" s="305">
        <f t="shared" si="20"/>
        <v>6.7106145813932178E-2</v>
      </c>
      <c r="O38" s="305">
        <f t="shared" si="20"/>
        <v>6.8278050195023532E-2</v>
      </c>
      <c r="P38" s="305">
        <f t="shared" si="20"/>
        <v>6.0338383982093263E-2</v>
      </c>
      <c r="Q38" s="305">
        <f t="shared" si="20"/>
        <v>5.9111177723493433E-2</v>
      </c>
      <c r="R38" s="305">
        <f t="shared" si="20"/>
        <v>0.11983181177914175</v>
      </c>
      <c r="S38" s="305">
        <f t="shared" si="20"/>
        <v>6.1413439765244195E-2</v>
      </c>
      <c r="T38" s="305">
        <f t="shared" si="20"/>
        <v>7.9611602487177441E-2</v>
      </c>
      <c r="U38" s="305">
        <f t="shared" si="20"/>
        <v>5.5334396413720018E-2</v>
      </c>
      <c r="V38" s="305">
        <f t="shared" si="20"/>
        <v>8.6650816743783748E-2</v>
      </c>
      <c r="W38" s="305">
        <f t="shared" si="20"/>
        <v>6.4300300795278542E-2</v>
      </c>
      <c r="X38" s="305">
        <f t="shared" si="20"/>
        <v>0.10016080657514609</v>
      </c>
      <c r="Y38" s="305">
        <f t="shared" si="20"/>
        <v>5.8914393028833764E-2</v>
      </c>
      <c r="Z38" s="305">
        <f t="shared" si="20"/>
        <v>6.6822981231792783E-2</v>
      </c>
      <c r="AA38" s="305">
        <f t="shared" si="20"/>
        <v>2.5041208932371696E-2</v>
      </c>
      <c r="AB38" s="305">
        <f t="shared" si="20"/>
        <v>4.2495898501573662E-3</v>
      </c>
      <c r="AC38" s="305">
        <f t="shared" si="20"/>
        <v>0.16098313140959611</v>
      </c>
    </row>
    <row r="39" spans="1:29">
      <c r="B39" t="s">
        <v>545</v>
      </c>
      <c r="C39" s="305">
        <f t="shared" si="14"/>
        <v>7.6968954610109105E-3</v>
      </c>
      <c r="D39" s="305">
        <f t="shared" si="14"/>
        <v>0</v>
      </c>
      <c r="E39" s="305">
        <f t="shared" ref="E39:AC39" si="21">E321/E$323</f>
        <v>2.9378320390882739E-2</v>
      </c>
      <c r="F39" s="305">
        <f t="shared" si="21"/>
        <v>0</v>
      </c>
      <c r="G39" s="305">
        <f t="shared" si="21"/>
        <v>0</v>
      </c>
      <c r="H39" s="305">
        <f t="shared" si="21"/>
        <v>0</v>
      </c>
      <c r="I39" s="305">
        <f t="shared" si="21"/>
        <v>0</v>
      </c>
      <c r="J39" s="305">
        <f t="shared" si="21"/>
        <v>0</v>
      </c>
      <c r="K39" s="305">
        <f t="shared" si="21"/>
        <v>0</v>
      </c>
      <c r="L39" s="305">
        <f t="shared" si="21"/>
        <v>0</v>
      </c>
      <c r="M39" s="305">
        <f t="shared" si="21"/>
        <v>0</v>
      </c>
      <c r="N39" s="305">
        <f t="shared" si="21"/>
        <v>0</v>
      </c>
      <c r="O39" s="305">
        <f t="shared" si="21"/>
        <v>0</v>
      </c>
      <c r="P39" s="305">
        <f t="shared" si="21"/>
        <v>0</v>
      </c>
      <c r="Q39" s="305">
        <f t="shared" si="21"/>
        <v>0</v>
      </c>
      <c r="R39" s="305">
        <f t="shared" si="21"/>
        <v>0</v>
      </c>
      <c r="S39" s="305">
        <f t="shared" si="21"/>
        <v>0</v>
      </c>
      <c r="T39" s="305">
        <f t="shared" si="21"/>
        <v>0</v>
      </c>
      <c r="U39" s="305">
        <f t="shared" si="21"/>
        <v>0</v>
      </c>
      <c r="V39" s="305">
        <f t="shared" si="21"/>
        <v>0</v>
      </c>
      <c r="W39" s="305">
        <f t="shared" si="21"/>
        <v>0</v>
      </c>
      <c r="X39" s="305">
        <f t="shared" si="21"/>
        <v>0</v>
      </c>
      <c r="Y39" s="305">
        <f t="shared" si="21"/>
        <v>0</v>
      </c>
      <c r="Z39" s="305">
        <f t="shared" si="21"/>
        <v>0</v>
      </c>
      <c r="AA39" s="305">
        <f t="shared" si="21"/>
        <v>0</v>
      </c>
      <c r="AB39" s="305">
        <f t="shared" si="21"/>
        <v>0</v>
      </c>
      <c r="AC39" s="305">
        <f t="shared" si="21"/>
        <v>0</v>
      </c>
    </row>
    <row r="40" spans="1:29">
      <c r="B40" t="s">
        <v>338</v>
      </c>
      <c r="C40" s="305">
        <v>0</v>
      </c>
      <c r="D40" s="305">
        <v>0</v>
      </c>
      <c r="E40" s="305">
        <v>0</v>
      </c>
      <c r="F40" s="305">
        <v>0</v>
      </c>
      <c r="G40" s="305">
        <v>0</v>
      </c>
      <c r="H40" s="305">
        <v>0</v>
      </c>
      <c r="I40" s="305">
        <v>0</v>
      </c>
      <c r="J40" s="305">
        <v>0</v>
      </c>
      <c r="K40" s="305">
        <v>0</v>
      </c>
      <c r="L40" s="305">
        <v>0</v>
      </c>
      <c r="M40" s="305">
        <v>0</v>
      </c>
      <c r="N40" s="305">
        <v>0</v>
      </c>
      <c r="O40" s="305">
        <v>0</v>
      </c>
      <c r="P40" s="305">
        <v>0</v>
      </c>
      <c r="Q40" s="305">
        <v>0</v>
      </c>
      <c r="R40" s="305">
        <v>0</v>
      </c>
      <c r="S40" s="305">
        <v>0</v>
      </c>
      <c r="T40" s="305">
        <v>0</v>
      </c>
      <c r="U40" s="305">
        <v>0</v>
      </c>
      <c r="V40" s="305">
        <v>0</v>
      </c>
      <c r="W40" s="305">
        <v>0</v>
      </c>
      <c r="X40" s="305">
        <v>0</v>
      </c>
      <c r="Y40" s="305">
        <v>0</v>
      </c>
      <c r="Z40" s="305">
        <v>0</v>
      </c>
      <c r="AA40" s="305">
        <v>0</v>
      </c>
      <c r="AB40" s="305">
        <v>0</v>
      </c>
      <c r="AC40" s="305">
        <v>0</v>
      </c>
    </row>
    <row r="41" spans="1:29">
      <c r="A41" s="79"/>
      <c r="B41" s="107" t="s">
        <v>16</v>
      </c>
      <c r="C41" s="99">
        <f>SUM(C33:C40)</f>
        <v>1.0000000000000002</v>
      </c>
      <c r="D41" s="99">
        <f>SUM(D33:D40)</f>
        <v>0.99999999999999978</v>
      </c>
      <c r="E41" s="99">
        <f t="shared" ref="E41:AC41" si="22">SUM(E33:E40)</f>
        <v>0.99999999999999989</v>
      </c>
      <c r="F41" s="99">
        <f t="shared" si="22"/>
        <v>0.99999999999999989</v>
      </c>
      <c r="G41" s="99">
        <f t="shared" si="22"/>
        <v>1</v>
      </c>
      <c r="H41" s="99">
        <f t="shared" si="22"/>
        <v>1</v>
      </c>
      <c r="I41" s="99">
        <f t="shared" si="22"/>
        <v>0.99999999999999989</v>
      </c>
      <c r="J41" s="99">
        <f t="shared" si="22"/>
        <v>1</v>
      </c>
      <c r="K41" s="99">
        <f t="shared" si="22"/>
        <v>1</v>
      </c>
      <c r="L41" s="99">
        <f t="shared" si="22"/>
        <v>0.99999999999999989</v>
      </c>
      <c r="M41" s="99">
        <f t="shared" si="22"/>
        <v>1.0000000000000002</v>
      </c>
      <c r="N41" s="99">
        <f t="shared" si="22"/>
        <v>0.99999999999999989</v>
      </c>
      <c r="O41" s="99">
        <f t="shared" si="22"/>
        <v>1</v>
      </c>
      <c r="P41" s="99">
        <f t="shared" si="22"/>
        <v>1.0000000000000002</v>
      </c>
      <c r="Q41" s="99">
        <f t="shared" si="22"/>
        <v>0.99999999999999989</v>
      </c>
      <c r="R41" s="99">
        <f t="shared" si="22"/>
        <v>1</v>
      </c>
      <c r="S41" s="99">
        <f t="shared" si="22"/>
        <v>1</v>
      </c>
      <c r="T41" s="99">
        <f t="shared" si="22"/>
        <v>1</v>
      </c>
      <c r="U41" s="99">
        <f t="shared" si="22"/>
        <v>1</v>
      </c>
      <c r="V41" s="99">
        <f t="shared" si="22"/>
        <v>1.0000000000000002</v>
      </c>
      <c r="W41" s="99">
        <f t="shared" si="22"/>
        <v>1</v>
      </c>
      <c r="X41" s="99">
        <f t="shared" si="22"/>
        <v>1</v>
      </c>
      <c r="Y41" s="99">
        <f t="shared" si="22"/>
        <v>0.99999999999999989</v>
      </c>
      <c r="Z41" s="99">
        <f t="shared" si="22"/>
        <v>1</v>
      </c>
      <c r="AA41" s="99">
        <f t="shared" si="22"/>
        <v>1</v>
      </c>
      <c r="AB41" s="99">
        <f t="shared" si="22"/>
        <v>1.0000000000000002</v>
      </c>
      <c r="AC41" s="99">
        <f t="shared" si="22"/>
        <v>0.99999999999999989</v>
      </c>
    </row>
    <row r="45" spans="1:29" ht="15.5">
      <c r="A45" s="101" t="s">
        <v>895</v>
      </c>
      <c r="B45" s="101"/>
      <c r="C45" s="101"/>
    </row>
    <row r="46" spans="1:29">
      <c r="A46" s="82" t="s">
        <v>330</v>
      </c>
      <c r="B46" s="82" t="s">
        <v>331</v>
      </c>
      <c r="C46" s="309" t="str">
        <f>Regions!C3</f>
        <v>IE</v>
      </c>
      <c r="D46" s="309" t="str">
        <f>Regions!E3</f>
        <v>IE-CW</v>
      </c>
      <c r="E46" s="309" t="str">
        <f>Regions!F3</f>
        <v>IE-D</v>
      </c>
      <c r="F46" s="309" t="str">
        <f>Regions!G3</f>
        <v>IE-KE</v>
      </c>
      <c r="G46" s="309" t="str">
        <f>Regions!H3</f>
        <v>IE-KK</v>
      </c>
      <c r="H46" s="309" t="str">
        <f>Regions!I3</f>
        <v>IE-LS</v>
      </c>
      <c r="I46" s="309" t="str">
        <f>Regions!J3</f>
        <v>IE-LD</v>
      </c>
      <c r="J46" s="309" t="str">
        <f>Regions!K3</f>
        <v>IE-LH</v>
      </c>
      <c r="K46" s="309" t="str">
        <f>Regions!L3</f>
        <v>IE-MH</v>
      </c>
      <c r="L46" s="309" t="str">
        <f>Regions!M3</f>
        <v>IE-OY</v>
      </c>
      <c r="M46" s="309" t="str">
        <f>Regions!N3</f>
        <v>IE-WH</v>
      </c>
      <c r="N46" s="309" t="str">
        <f>Regions!O3</f>
        <v>IE-WX</v>
      </c>
      <c r="O46" s="309" t="str">
        <f>Regions!P3</f>
        <v>IE-WW</v>
      </c>
      <c r="P46" s="309" t="str">
        <f>Regions!Q3</f>
        <v>IE-CE</v>
      </c>
      <c r="Q46" s="309" t="str">
        <f>Regions!R3</f>
        <v>IE-CO</v>
      </c>
      <c r="R46" s="309" t="str">
        <f>Regions!S3</f>
        <v>IE-KY</v>
      </c>
      <c r="S46" s="309" t="str">
        <f>Regions!T3</f>
        <v>IE-LK</v>
      </c>
      <c r="T46" s="309" t="str">
        <f>Regions!U3</f>
        <v>IE-TA</v>
      </c>
      <c r="U46" s="309" t="str">
        <f>Regions!V3</f>
        <v>IE-WD</v>
      </c>
      <c r="V46" s="309" t="str">
        <f>Regions!W3</f>
        <v>IE-G</v>
      </c>
      <c r="W46" s="309" t="str">
        <f>Regions!X3</f>
        <v>IE-LM</v>
      </c>
      <c r="X46" s="309" t="str">
        <f>Regions!Y3</f>
        <v>IE-MO</v>
      </c>
      <c r="Y46" s="309" t="str">
        <f>Regions!Z3</f>
        <v>IE-RN</v>
      </c>
      <c r="Z46" s="309" t="str">
        <f>Regions!AA3</f>
        <v>IE-SO</v>
      </c>
      <c r="AA46" s="309" t="str">
        <f>Regions!AB3</f>
        <v>IE-CN</v>
      </c>
      <c r="AB46" s="309" t="str">
        <f>Regions!AC3</f>
        <v>IE-DL</v>
      </c>
      <c r="AC46" s="309" t="str">
        <f>Regions!AD3</f>
        <v>IE-MN</v>
      </c>
    </row>
    <row r="47" spans="1:29">
      <c r="A47" t="s">
        <v>337</v>
      </c>
      <c r="B47" t="s">
        <v>332</v>
      </c>
      <c r="C47" s="305">
        <f>C329/C$337</f>
        <v>0</v>
      </c>
      <c r="D47" s="305">
        <f t="shared" ref="D47:AC54" si="23">D329/D$337</f>
        <v>0</v>
      </c>
      <c r="E47" s="305">
        <f t="shared" si="23"/>
        <v>0</v>
      </c>
      <c r="F47" s="305">
        <f t="shared" si="23"/>
        <v>0</v>
      </c>
      <c r="G47" s="305">
        <f t="shared" si="23"/>
        <v>0</v>
      </c>
      <c r="H47" s="305">
        <f t="shared" si="23"/>
        <v>0</v>
      </c>
      <c r="I47" s="305">
        <f t="shared" si="23"/>
        <v>0</v>
      </c>
      <c r="J47" s="305">
        <f t="shared" si="23"/>
        <v>0</v>
      </c>
      <c r="K47" s="305">
        <f t="shared" si="23"/>
        <v>0</v>
      </c>
      <c r="L47" s="305">
        <f t="shared" si="23"/>
        <v>0</v>
      </c>
      <c r="M47" s="305">
        <f t="shared" si="23"/>
        <v>0</v>
      </c>
      <c r="N47" s="305">
        <f t="shared" si="23"/>
        <v>0</v>
      </c>
      <c r="O47" s="305">
        <f t="shared" si="23"/>
        <v>0</v>
      </c>
      <c r="P47" s="305">
        <f t="shared" si="23"/>
        <v>0</v>
      </c>
      <c r="Q47" s="305">
        <f t="shared" si="23"/>
        <v>0</v>
      </c>
      <c r="R47" s="305">
        <f t="shared" si="23"/>
        <v>0</v>
      </c>
      <c r="S47" s="305">
        <f t="shared" si="23"/>
        <v>0</v>
      </c>
      <c r="T47" s="305">
        <f t="shared" si="23"/>
        <v>0</v>
      </c>
      <c r="U47" s="305">
        <f t="shared" si="23"/>
        <v>0</v>
      </c>
      <c r="V47" s="305">
        <f t="shared" si="23"/>
        <v>0</v>
      </c>
      <c r="W47" s="305">
        <f t="shared" si="23"/>
        <v>0</v>
      </c>
      <c r="X47" s="305">
        <f t="shared" si="23"/>
        <v>0</v>
      </c>
      <c r="Y47" s="305">
        <f t="shared" si="23"/>
        <v>0</v>
      </c>
      <c r="Z47" s="305">
        <f t="shared" si="23"/>
        <v>0</v>
      </c>
      <c r="AA47" s="305">
        <f t="shared" si="23"/>
        <v>0</v>
      </c>
      <c r="AB47" s="305">
        <f t="shared" si="23"/>
        <v>0</v>
      </c>
      <c r="AC47" s="305">
        <f t="shared" si="23"/>
        <v>0</v>
      </c>
    </row>
    <row r="48" spans="1:29">
      <c r="B48" t="s">
        <v>333</v>
      </c>
      <c r="C48" s="305">
        <f t="shared" ref="C48:R54" si="24">C330/C$337</f>
        <v>0</v>
      </c>
      <c r="D48" s="305">
        <f t="shared" si="24"/>
        <v>0</v>
      </c>
      <c r="E48" s="305">
        <f t="shared" si="24"/>
        <v>0</v>
      </c>
      <c r="F48" s="305">
        <f t="shared" si="24"/>
        <v>0</v>
      </c>
      <c r="G48" s="305">
        <f t="shared" si="24"/>
        <v>0</v>
      </c>
      <c r="H48" s="305">
        <f t="shared" si="24"/>
        <v>0</v>
      </c>
      <c r="I48" s="305">
        <f t="shared" si="24"/>
        <v>0</v>
      </c>
      <c r="J48" s="305">
        <f t="shared" si="24"/>
        <v>0</v>
      </c>
      <c r="K48" s="305">
        <f t="shared" si="24"/>
        <v>0</v>
      </c>
      <c r="L48" s="305">
        <f t="shared" si="24"/>
        <v>0</v>
      </c>
      <c r="M48" s="305">
        <f t="shared" si="24"/>
        <v>0</v>
      </c>
      <c r="N48" s="305">
        <f t="shared" si="24"/>
        <v>0</v>
      </c>
      <c r="O48" s="305">
        <f t="shared" si="24"/>
        <v>0</v>
      </c>
      <c r="P48" s="305">
        <f t="shared" si="24"/>
        <v>0</v>
      </c>
      <c r="Q48" s="305">
        <f t="shared" si="24"/>
        <v>0</v>
      </c>
      <c r="R48" s="305">
        <f t="shared" si="24"/>
        <v>0</v>
      </c>
      <c r="S48" s="305">
        <f t="shared" si="23"/>
        <v>0</v>
      </c>
      <c r="T48" s="305">
        <f t="shared" si="23"/>
        <v>0</v>
      </c>
      <c r="U48" s="305">
        <f t="shared" si="23"/>
        <v>0</v>
      </c>
      <c r="V48" s="305">
        <f t="shared" si="23"/>
        <v>0</v>
      </c>
      <c r="W48" s="305">
        <f t="shared" si="23"/>
        <v>0</v>
      </c>
      <c r="X48" s="305">
        <f t="shared" si="23"/>
        <v>0</v>
      </c>
      <c r="Y48" s="305">
        <f t="shared" si="23"/>
        <v>0</v>
      </c>
      <c r="Z48" s="305">
        <f t="shared" si="23"/>
        <v>0</v>
      </c>
      <c r="AA48" s="305">
        <f t="shared" si="23"/>
        <v>0</v>
      </c>
      <c r="AB48" s="305">
        <f t="shared" si="23"/>
        <v>0</v>
      </c>
      <c r="AC48" s="305">
        <f t="shared" si="23"/>
        <v>0</v>
      </c>
    </row>
    <row r="49" spans="1:29">
      <c r="A49" t="s">
        <v>334</v>
      </c>
      <c r="B49" t="s">
        <v>340</v>
      </c>
      <c r="C49" s="306">
        <f t="shared" si="24"/>
        <v>3.2739468688573266E-3</v>
      </c>
      <c r="D49" s="305">
        <f t="shared" si="23"/>
        <v>2.1586268841599747E-3</v>
      </c>
      <c r="E49" s="305">
        <f t="shared" si="23"/>
        <v>4.1909857054726746E-3</v>
      </c>
      <c r="F49" s="305">
        <f t="shared" si="23"/>
        <v>3.6319751739066989E-3</v>
      </c>
      <c r="G49" s="305">
        <f t="shared" si="23"/>
        <v>2.5491869155235955E-3</v>
      </c>
      <c r="H49" s="305">
        <f t="shared" si="23"/>
        <v>1.6941154698507114E-3</v>
      </c>
      <c r="I49" s="305">
        <f t="shared" si="23"/>
        <v>3.2883004760979389E-3</v>
      </c>
      <c r="J49" s="305">
        <f t="shared" si="23"/>
        <v>2.4416088687366478E-3</v>
      </c>
      <c r="K49" s="305">
        <f t="shared" si="23"/>
        <v>3.5159102982178412E-3</v>
      </c>
      <c r="L49" s="305">
        <f t="shared" si="23"/>
        <v>3.3185344885490013E-3</v>
      </c>
      <c r="M49" s="305">
        <f t="shared" si="23"/>
        <v>2.939754742265497E-3</v>
      </c>
      <c r="N49" s="305">
        <f t="shared" si="23"/>
        <v>3.3151523856669103E-3</v>
      </c>
      <c r="O49" s="305">
        <f t="shared" si="23"/>
        <v>3.906666915379246E-3</v>
      </c>
      <c r="P49" s="305">
        <f t="shared" si="23"/>
        <v>3.2306073901205486E-3</v>
      </c>
      <c r="Q49" s="305">
        <f t="shared" si="23"/>
        <v>3.9969766503394092E-3</v>
      </c>
      <c r="R49" s="305">
        <f t="shared" si="23"/>
        <v>2.4423953155841079E-3</v>
      </c>
      <c r="S49" s="305">
        <f t="shared" si="23"/>
        <v>2.8914591982090753E-3</v>
      </c>
      <c r="T49" s="305">
        <f t="shared" si="23"/>
        <v>2.9812499263931389E-3</v>
      </c>
      <c r="U49" s="305">
        <f t="shared" si="23"/>
        <v>3.5441732524901714E-3</v>
      </c>
      <c r="V49" s="305">
        <f t="shared" si="23"/>
        <v>2.1106258862285242E-3</v>
      </c>
      <c r="W49" s="305">
        <f t="shared" si="23"/>
        <v>4.0260002016890241E-3</v>
      </c>
      <c r="X49" s="305">
        <f t="shared" si="23"/>
        <v>1.9054783663146626E-3</v>
      </c>
      <c r="Y49" s="305">
        <f t="shared" si="23"/>
        <v>1.7694736792673005E-3</v>
      </c>
      <c r="Z49" s="305">
        <f t="shared" si="23"/>
        <v>2.1690169741061518E-3</v>
      </c>
      <c r="AA49" s="305">
        <f t="shared" si="23"/>
        <v>1.996201699404686E-3</v>
      </c>
      <c r="AB49" s="305">
        <f t="shared" si="23"/>
        <v>2.1678265957034699E-3</v>
      </c>
      <c r="AC49" s="305">
        <f t="shared" si="23"/>
        <v>1.9708873200458749E-3</v>
      </c>
    </row>
    <row r="50" spans="1:29">
      <c r="B50" t="s">
        <v>339</v>
      </c>
      <c r="C50" s="305">
        <f t="shared" si="24"/>
        <v>0.83405572391255312</v>
      </c>
      <c r="D50" s="305">
        <f t="shared" si="23"/>
        <v>0.88136996225712338</v>
      </c>
      <c r="E50" s="305">
        <f t="shared" si="23"/>
        <v>0.72410905133504211</v>
      </c>
      <c r="F50" s="305">
        <f t="shared" si="23"/>
        <v>0.85033097733510543</v>
      </c>
      <c r="G50" s="305">
        <f t="shared" si="23"/>
        <v>0.81358360125192186</v>
      </c>
      <c r="H50" s="305">
        <f t="shared" si="23"/>
        <v>0.88000079438796519</v>
      </c>
      <c r="I50" s="305">
        <f t="shared" si="23"/>
        <v>0.86292967512561713</v>
      </c>
      <c r="J50" s="305">
        <f t="shared" si="23"/>
        <v>0.84991917486050839</v>
      </c>
      <c r="K50" s="305">
        <f t="shared" si="23"/>
        <v>0.87489878054676506</v>
      </c>
      <c r="L50" s="305">
        <f t="shared" si="23"/>
        <v>0.84396948853578213</v>
      </c>
      <c r="M50" s="305">
        <f t="shared" si="23"/>
        <v>0.89058577172865516</v>
      </c>
      <c r="N50" s="305">
        <f t="shared" si="23"/>
        <v>0.88596847722847849</v>
      </c>
      <c r="O50" s="305">
        <f t="shared" si="23"/>
        <v>0.87519253516054751</v>
      </c>
      <c r="P50" s="305">
        <f t="shared" si="23"/>
        <v>0.89017909286971042</v>
      </c>
      <c r="Q50" s="305">
        <f t="shared" si="23"/>
        <v>0.88395825319439558</v>
      </c>
      <c r="R50" s="305">
        <f t="shared" si="23"/>
        <v>0.80306472393989703</v>
      </c>
      <c r="S50" s="305">
        <f t="shared" si="23"/>
        <v>0.88153417928289457</v>
      </c>
      <c r="T50" s="305">
        <f t="shared" si="23"/>
        <v>0.87036679499941227</v>
      </c>
      <c r="U50" s="305">
        <f t="shared" si="23"/>
        <v>0.89725064481847272</v>
      </c>
      <c r="V50" s="305">
        <f t="shared" si="23"/>
        <v>0.84303694258501916</v>
      </c>
      <c r="W50" s="305">
        <f t="shared" si="23"/>
        <v>0.88561230886447639</v>
      </c>
      <c r="X50" s="305">
        <f t="shared" si="23"/>
        <v>0.83536706688667051</v>
      </c>
      <c r="Y50" s="305">
        <f t="shared" si="23"/>
        <v>0.90275636290048633</v>
      </c>
      <c r="Z50" s="305">
        <f t="shared" si="23"/>
        <v>0.87891574758893642</v>
      </c>
      <c r="AA50" s="305">
        <f t="shared" si="23"/>
        <v>0.9444737396739924</v>
      </c>
      <c r="AB50" s="305">
        <f t="shared" si="23"/>
        <v>0.97631596747347482</v>
      </c>
      <c r="AC50" s="305">
        <f t="shared" si="23"/>
        <v>0.7484312106638259</v>
      </c>
    </row>
    <row r="51" spans="1:29">
      <c r="A51" t="s">
        <v>298</v>
      </c>
      <c r="B51" t="s">
        <v>336</v>
      </c>
      <c r="C51" s="305">
        <f t="shared" si="24"/>
        <v>2.1905905312439161E-2</v>
      </c>
      <c r="D51" s="305">
        <f t="shared" si="23"/>
        <v>9.3709663140288998E-3</v>
      </c>
      <c r="E51" s="305">
        <f t="shared" si="23"/>
        <v>4.6019564968395495E-2</v>
      </c>
      <c r="F51" s="305">
        <f t="shared" si="23"/>
        <v>1.8394858695029128E-2</v>
      </c>
      <c r="G51" s="305">
        <f t="shared" si="23"/>
        <v>9.9598084318994508E-3</v>
      </c>
      <c r="H51" s="305">
        <f t="shared" si="23"/>
        <v>1.3237997918849932E-2</v>
      </c>
      <c r="I51" s="305">
        <f t="shared" si="23"/>
        <v>1.1420057155050359E-2</v>
      </c>
      <c r="J51" s="305">
        <f t="shared" si="23"/>
        <v>2.6498598054231513E-2</v>
      </c>
      <c r="K51" s="305">
        <f t="shared" si="23"/>
        <v>2.5642116158186581E-2</v>
      </c>
      <c r="L51" s="305">
        <f t="shared" si="23"/>
        <v>8.6437934593511252E-3</v>
      </c>
      <c r="M51" s="305">
        <f t="shared" si="23"/>
        <v>1.5314370184172183E-2</v>
      </c>
      <c r="N51" s="305">
        <f t="shared" si="23"/>
        <v>7.9154020817384443E-3</v>
      </c>
      <c r="O51" s="305">
        <f t="shared" si="23"/>
        <v>1.1871653704006174E-2</v>
      </c>
      <c r="P51" s="305">
        <f t="shared" si="23"/>
        <v>1.3089641552029165E-2</v>
      </c>
      <c r="Q51" s="305">
        <f t="shared" si="23"/>
        <v>1.6194784858342321E-2</v>
      </c>
      <c r="R51" s="305">
        <f t="shared" si="23"/>
        <v>1.272342398540301E-2</v>
      </c>
      <c r="S51" s="305">
        <f t="shared" si="23"/>
        <v>1.6945626580446856E-2</v>
      </c>
      <c r="T51" s="305">
        <f t="shared" si="23"/>
        <v>6.4710564013944778E-3</v>
      </c>
      <c r="U51" s="305">
        <f t="shared" si="23"/>
        <v>1.1282963024401618E-2</v>
      </c>
      <c r="V51" s="305">
        <f t="shared" si="23"/>
        <v>1.7408913059663488E-2</v>
      </c>
      <c r="W51" s="305">
        <f t="shared" si="23"/>
        <v>1.0486530825816983E-2</v>
      </c>
      <c r="X51" s="305">
        <f t="shared" si="23"/>
        <v>9.0992061135074936E-3</v>
      </c>
      <c r="Y51" s="305">
        <f t="shared" si="23"/>
        <v>7.6815860877352945E-3</v>
      </c>
      <c r="Z51" s="305">
        <f t="shared" si="23"/>
        <v>1.129928575321087E-2</v>
      </c>
      <c r="AA51" s="305">
        <f t="shared" si="23"/>
        <v>1.2132191360051241E-2</v>
      </c>
      <c r="AB51" s="305">
        <f t="shared" si="23"/>
        <v>1.4116355738962196E-2</v>
      </c>
      <c r="AC51" s="305">
        <f t="shared" si="23"/>
        <v>5.1335741680296381E-3</v>
      </c>
    </row>
    <row r="52" spans="1:29">
      <c r="B52" t="s">
        <v>558</v>
      </c>
      <c r="C52" s="305">
        <f t="shared" si="24"/>
        <v>0.13420523697456904</v>
      </c>
      <c r="D52" s="305">
        <f t="shared" si="23"/>
        <v>0.10710044454468777</v>
      </c>
      <c r="E52" s="305">
        <f t="shared" si="23"/>
        <v>0.19876243811835848</v>
      </c>
      <c r="F52" s="305">
        <f t="shared" si="23"/>
        <v>0.12764218879595873</v>
      </c>
      <c r="G52" s="305">
        <f t="shared" si="23"/>
        <v>0.17390740340065505</v>
      </c>
      <c r="H52" s="305">
        <f t="shared" si="23"/>
        <v>0.10506709222333424</v>
      </c>
      <c r="I52" s="305">
        <f t="shared" si="23"/>
        <v>0.12236196724323453</v>
      </c>
      <c r="J52" s="305">
        <f t="shared" si="23"/>
        <v>0.12114061821652349</v>
      </c>
      <c r="K52" s="305">
        <f t="shared" si="23"/>
        <v>9.5943192996830379E-2</v>
      </c>
      <c r="L52" s="305">
        <f t="shared" si="23"/>
        <v>0.14406818351631784</v>
      </c>
      <c r="M52" s="305">
        <f t="shared" si="23"/>
        <v>9.1160103344907026E-2</v>
      </c>
      <c r="N52" s="305">
        <f t="shared" si="23"/>
        <v>0.10280096830411618</v>
      </c>
      <c r="O52" s="305">
        <f t="shared" si="23"/>
        <v>0.1090291442200671</v>
      </c>
      <c r="P52" s="305">
        <f t="shared" si="23"/>
        <v>9.3500658188139713E-2</v>
      </c>
      <c r="Q52" s="305">
        <f t="shared" si="23"/>
        <v>9.5849985296922749E-2</v>
      </c>
      <c r="R52" s="305">
        <f t="shared" si="23"/>
        <v>0.18176945675911579</v>
      </c>
      <c r="S52" s="305">
        <f t="shared" si="23"/>
        <v>9.8628734938449439E-2</v>
      </c>
      <c r="T52" s="305">
        <f t="shared" si="23"/>
        <v>0.1201808986728002</v>
      </c>
      <c r="U52" s="305">
        <f t="shared" si="23"/>
        <v>8.7922218904635543E-2</v>
      </c>
      <c r="V52" s="305">
        <f t="shared" si="23"/>
        <v>0.13744351846908884</v>
      </c>
      <c r="W52" s="305">
        <f t="shared" si="23"/>
        <v>9.9875160108017558E-2</v>
      </c>
      <c r="X52" s="305">
        <f t="shared" si="23"/>
        <v>0.15362824863350735</v>
      </c>
      <c r="Y52" s="305">
        <f t="shared" si="23"/>
        <v>8.779257733251114E-2</v>
      </c>
      <c r="Z52" s="305">
        <f t="shared" si="23"/>
        <v>0.10761594968374652</v>
      </c>
      <c r="AA52" s="305">
        <f t="shared" si="23"/>
        <v>4.1397867266551647E-2</v>
      </c>
      <c r="AB52" s="305">
        <f t="shared" si="23"/>
        <v>7.3998501918595234E-3</v>
      </c>
      <c r="AC52" s="305">
        <f t="shared" si="23"/>
        <v>0.24446432784809863</v>
      </c>
    </row>
    <row r="53" spans="1:29">
      <c r="B53" t="s">
        <v>545</v>
      </c>
      <c r="C53" s="305">
        <f t="shared" si="24"/>
        <v>6.559186931581344E-3</v>
      </c>
      <c r="D53" s="305">
        <f t="shared" si="23"/>
        <v>0</v>
      </c>
      <c r="E53" s="305">
        <f t="shared" si="23"/>
        <v>2.6917959872731177E-2</v>
      </c>
      <c r="F53" s="305">
        <f t="shared" si="23"/>
        <v>0</v>
      </c>
      <c r="G53" s="305">
        <f t="shared" si="23"/>
        <v>0</v>
      </c>
      <c r="H53" s="305">
        <f t="shared" si="23"/>
        <v>0</v>
      </c>
      <c r="I53" s="305">
        <f t="shared" si="23"/>
        <v>0</v>
      </c>
      <c r="J53" s="305">
        <f t="shared" si="23"/>
        <v>0</v>
      </c>
      <c r="K53" s="305">
        <f t="shared" si="23"/>
        <v>0</v>
      </c>
      <c r="L53" s="305">
        <f t="shared" si="23"/>
        <v>0</v>
      </c>
      <c r="M53" s="305">
        <f t="shared" si="23"/>
        <v>0</v>
      </c>
      <c r="N53" s="305">
        <f t="shared" si="23"/>
        <v>0</v>
      </c>
      <c r="O53" s="305">
        <f t="shared" si="23"/>
        <v>0</v>
      </c>
      <c r="P53" s="305">
        <f t="shared" si="23"/>
        <v>0</v>
      </c>
      <c r="Q53" s="305">
        <f t="shared" si="23"/>
        <v>0</v>
      </c>
      <c r="R53" s="305">
        <f t="shared" si="23"/>
        <v>0</v>
      </c>
      <c r="S53" s="305">
        <f t="shared" si="23"/>
        <v>0</v>
      </c>
      <c r="T53" s="305">
        <f t="shared" si="23"/>
        <v>0</v>
      </c>
      <c r="U53" s="305">
        <f t="shared" si="23"/>
        <v>0</v>
      </c>
      <c r="V53" s="305">
        <f t="shared" si="23"/>
        <v>0</v>
      </c>
      <c r="W53" s="305">
        <f t="shared" si="23"/>
        <v>0</v>
      </c>
      <c r="X53" s="305">
        <f t="shared" si="23"/>
        <v>0</v>
      </c>
      <c r="Y53" s="305">
        <f t="shared" si="23"/>
        <v>0</v>
      </c>
      <c r="Z53" s="305">
        <f t="shared" si="23"/>
        <v>0</v>
      </c>
      <c r="AA53" s="305">
        <f t="shared" si="23"/>
        <v>0</v>
      </c>
      <c r="AB53" s="305">
        <f t="shared" si="23"/>
        <v>0</v>
      </c>
      <c r="AC53" s="305">
        <f t="shared" si="23"/>
        <v>0</v>
      </c>
    </row>
    <row r="54" spans="1:29">
      <c r="B54" t="s">
        <v>338</v>
      </c>
      <c r="C54" s="305">
        <f t="shared" si="24"/>
        <v>0</v>
      </c>
      <c r="D54" s="305">
        <f t="shared" si="23"/>
        <v>0</v>
      </c>
      <c r="E54" s="305">
        <f t="shared" si="23"/>
        <v>0</v>
      </c>
      <c r="F54" s="305">
        <f t="shared" si="23"/>
        <v>0</v>
      </c>
      <c r="G54" s="305">
        <f t="shared" si="23"/>
        <v>0</v>
      </c>
      <c r="H54" s="305">
        <f t="shared" si="23"/>
        <v>0</v>
      </c>
      <c r="I54" s="305">
        <f t="shared" si="23"/>
        <v>0</v>
      </c>
      <c r="J54" s="305">
        <f t="shared" si="23"/>
        <v>0</v>
      </c>
      <c r="K54" s="305">
        <f t="shared" si="23"/>
        <v>0</v>
      </c>
      <c r="L54" s="305">
        <f t="shared" si="23"/>
        <v>0</v>
      </c>
      <c r="M54" s="305">
        <f t="shared" si="23"/>
        <v>0</v>
      </c>
      <c r="N54" s="305">
        <f t="shared" si="23"/>
        <v>0</v>
      </c>
      <c r="O54" s="305">
        <f t="shared" si="23"/>
        <v>0</v>
      </c>
      <c r="P54" s="305">
        <f t="shared" si="23"/>
        <v>0</v>
      </c>
      <c r="Q54" s="305">
        <f t="shared" si="23"/>
        <v>0</v>
      </c>
      <c r="R54" s="305">
        <f t="shared" si="23"/>
        <v>0</v>
      </c>
      <c r="S54" s="305">
        <f t="shared" si="23"/>
        <v>0</v>
      </c>
      <c r="T54" s="305">
        <f t="shared" si="23"/>
        <v>0</v>
      </c>
      <c r="U54" s="305">
        <f t="shared" si="23"/>
        <v>0</v>
      </c>
      <c r="V54" s="305">
        <f t="shared" si="23"/>
        <v>0</v>
      </c>
      <c r="W54" s="305">
        <f t="shared" si="23"/>
        <v>0</v>
      </c>
      <c r="X54" s="305">
        <f t="shared" si="23"/>
        <v>0</v>
      </c>
      <c r="Y54" s="305">
        <f t="shared" si="23"/>
        <v>0</v>
      </c>
      <c r="Z54" s="305">
        <f t="shared" si="23"/>
        <v>0</v>
      </c>
      <c r="AA54" s="305">
        <f t="shared" si="23"/>
        <v>0</v>
      </c>
      <c r="AB54" s="305">
        <f t="shared" si="23"/>
        <v>0</v>
      </c>
      <c r="AC54" s="305">
        <f t="shared" si="23"/>
        <v>0</v>
      </c>
    </row>
    <row r="55" spans="1:29">
      <c r="A55" s="79"/>
      <c r="B55" s="107" t="s">
        <v>16</v>
      </c>
      <c r="C55" s="99">
        <f>SUM(C47:C54)</f>
        <v>1</v>
      </c>
      <c r="D55" s="99">
        <f>SUM(D47:D54)</f>
        <v>1</v>
      </c>
      <c r="E55" s="99">
        <f t="shared" ref="E55" si="25">SUM(E47:E54)</f>
        <v>1</v>
      </c>
      <c r="F55" s="99">
        <f t="shared" ref="F55" si="26">SUM(F47:F54)</f>
        <v>1</v>
      </c>
      <c r="G55" s="99">
        <f t="shared" ref="G55" si="27">SUM(G47:G54)</f>
        <v>1</v>
      </c>
      <c r="H55" s="99">
        <f t="shared" ref="H55" si="28">SUM(H47:H54)</f>
        <v>1.0000000000000002</v>
      </c>
      <c r="I55" s="99">
        <f t="shared" ref="I55" si="29">SUM(I47:I54)</f>
        <v>1</v>
      </c>
      <c r="J55" s="99">
        <f t="shared" ref="J55" si="30">SUM(J47:J54)</f>
        <v>1</v>
      </c>
      <c r="K55" s="99">
        <f t="shared" ref="K55" si="31">SUM(K47:K54)</f>
        <v>0.99999999999999989</v>
      </c>
      <c r="L55" s="99">
        <f t="shared" ref="L55" si="32">SUM(L47:L54)</f>
        <v>1.0000000000000002</v>
      </c>
      <c r="M55" s="99">
        <f t="shared" ref="M55" si="33">SUM(M47:M54)</f>
        <v>0.99999999999999978</v>
      </c>
      <c r="N55" s="99">
        <f t="shared" ref="N55" si="34">SUM(N47:N54)</f>
        <v>1</v>
      </c>
      <c r="O55" s="99">
        <f t="shared" ref="O55" si="35">SUM(O47:O54)</f>
        <v>1</v>
      </c>
      <c r="P55" s="99">
        <f t="shared" ref="P55" si="36">SUM(P47:P54)</f>
        <v>0.99999999999999989</v>
      </c>
      <c r="Q55" s="99">
        <f t="shared" ref="Q55" si="37">SUM(Q47:Q54)</f>
        <v>1</v>
      </c>
      <c r="R55" s="99">
        <f t="shared" ref="R55" si="38">SUM(R47:R54)</f>
        <v>1</v>
      </c>
      <c r="S55" s="99">
        <f t="shared" ref="S55" si="39">SUM(S47:S54)</f>
        <v>1</v>
      </c>
      <c r="T55" s="99">
        <f t="shared" ref="T55" si="40">SUM(T47:T54)</f>
        <v>1</v>
      </c>
      <c r="U55" s="99">
        <f t="shared" ref="U55" si="41">SUM(U47:U54)</f>
        <v>1</v>
      </c>
      <c r="V55" s="99">
        <f t="shared" ref="V55" si="42">SUM(V47:V54)</f>
        <v>1</v>
      </c>
      <c r="W55" s="99">
        <f t="shared" ref="W55" si="43">SUM(W47:W54)</f>
        <v>0.99999999999999989</v>
      </c>
      <c r="X55" s="99">
        <f t="shared" ref="X55" si="44">SUM(X47:X54)</f>
        <v>1</v>
      </c>
      <c r="Y55" s="99">
        <f t="shared" ref="Y55" si="45">SUM(Y47:Y54)</f>
        <v>1</v>
      </c>
      <c r="Z55" s="99">
        <f t="shared" ref="Z55" si="46">SUM(Z47:Z54)</f>
        <v>0.99999999999999989</v>
      </c>
      <c r="AA55" s="99">
        <f t="shared" ref="AA55" si="47">SUM(AA47:AA54)</f>
        <v>1</v>
      </c>
      <c r="AB55" s="99">
        <f t="shared" ref="AB55" si="48">SUM(AB47:AB54)</f>
        <v>1</v>
      </c>
      <c r="AC55" s="99">
        <f t="shared" ref="AC55" si="49">SUM(AC47:AC54)</f>
        <v>1</v>
      </c>
    </row>
    <row r="59" spans="1:29" ht="15.5">
      <c r="A59" s="101" t="s">
        <v>894</v>
      </c>
      <c r="B59" s="101"/>
      <c r="C59" s="101"/>
    </row>
    <row r="60" spans="1:29">
      <c r="A60" s="82" t="s">
        <v>330</v>
      </c>
      <c r="B60" s="82" t="s">
        <v>331</v>
      </c>
      <c r="C60" s="309" t="str">
        <f>Regions!C3</f>
        <v>IE</v>
      </c>
      <c r="D60" s="309" t="str">
        <f>Regions!E3</f>
        <v>IE-CW</v>
      </c>
      <c r="E60" s="309" t="str">
        <f>Regions!F3</f>
        <v>IE-D</v>
      </c>
      <c r="F60" s="309" t="str">
        <f>Regions!G3</f>
        <v>IE-KE</v>
      </c>
      <c r="G60" s="309" t="str">
        <f>Regions!H3</f>
        <v>IE-KK</v>
      </c>
      <c r="H60" s="309" t="str">
        <f>Regions!I3</f>
        <v>IE-LS</v>
      </c>
      <c r="I60" s="309" t="str">
        <f>Regions!J3</f>
        <v>IE-LD</v>
      </c>
      <c r="J60" s="309" t="str">
        <f>Regions!K3</f>
        <v>IE-LH</v>
      </c>
      <c r="K60" s="309" t="str">
        <f>Regions!L3</f>
        <v>IE-MH</v>
      </c>
      <c r="L60" s="309" t="str">
        <f>Regions!M3</f>
        <v>IE-OY</v>
      </c>
      <c r="M60" s="309" t="str">
        <f>Regions!N3</f>
        <v>IE-WH</v>
      </c>
      <c r="N60" s="309" t="str">
        <f>Regions!O3</f>
        <v>IE-WX</v>
      </c>
      <c r="O60" s="309" t="str">
        <f>Regions!P3</f>
        <v>IE-WW</v>
      </c>
      <c r="P60" s="309" t="str">
        <f>Regions!Q3</f>
        <v>IE-CE</v>
      </c>
      <c r="Q60" s="309" t="str">
        <f>Regions!R3</f>
        <v>IE-CO</v>
      </c>
      <c r="R60" s="309" t="str">
        <f>Regions!S3</f>
        <v>IE-KY</v>
      </c>
      <c r="S60" s="309" t="str">
        <f>Regions!T3</f>
        <v>IE-LK</v>
      </c>
      <c r="T60" s="309" t="str">
        <f>Regions!U3</f>
        <v>IE-TA</v>
      </c>
      <c r="U60" s="309" t="str">
        <f>Regions!V3</f>
        <v>IE-WD</v>
      </c>
      <c r="V60" s="309" t="str">
        <f>Regions!W3</f>
        <v>IE-G</v>
      </c>
      <c r="W60" s="309" t="str">
        <f>Regions!X3</f>
        <v>IE-LM</v>
      </c>
      <c r="X60" s="309" t="str">
        <f>Regions!Y3</f>
        <v>IE-MO</v>
      </c>
      <c r="Y60" s="309" t="str">
        <f>Regions!Z3</f>
        <v>IE-RN</v>
      </c>
      <c r="Z60" s="309" t="str">
        <f>Regions!AA3</f>
        <v>IE-SO</v>
      </c>
      <c r="AA60" s="309" t="str">
        <f>Regions!AB3</f>
        <v>IE-CN</v>
      </c>
      <c r="AB60" s="309" t="str">
        <f>Regions!AC3</f>
        <v>IE-DL</v>
      </c>
      <c r="AC60" s="309" t="str">
        <f>Regions!AD3</f>
        <v>IE-MN</v>
      </c>
    </row>
    <row r="61" spans="1:29">
      <c r="A61" t="s">
        <v>337</v>
      </c>
      <c r="B61" t="s">
        <v>332</v>
      </c>
      <c r="C61" s="305">
        <f>C343/C$351</f>
        <v>0</v>
      </c>
      <c r="D61" s="305">
        <f t="shared" ref="D61:AC68" si="50">D343/D$351</f>
        <v>0</v>
      </c>
      <c r="E61" s="305">
        <f t="shared" si="50"/>
        <v>0</v>
      </c>
      <c r="F61" s="305">
        <f t="shared" si="50"/>
        <v>0</v>
      </c>
      <c r="G61" s="305">
        <f t="shared" si="50"/>
        <v>0</v>
      </c>
      <c r="H61" s="305">
        <f t="shared" si="50"/>
        <v>0</v>
      </c>
      <c r="I61" s="305">
        <f t="shared" si="50"/>
        <v>0</v>
      </c>
      <c r="J61" s="305">
        <f t="shared" si="50"/>
        <v>0</v>
      </c>
      <c r="K61" s="305">
        <f t="shared" si="50"/>
        <v>0</v>
      </c>
      <c r="L61" s="305">
        <f t="shared" si="50"/>
        <v>0</v>
      </c>
      <c r="M61" s="305">
        <f t="shared" si="50"/>
        <v>0</v>
      </c>
      <c r="N61" s="305">
        <f t="shared" si="50"/>
        <v>0</v>
      </c>
      <c r="O61" s="305">
        <f t="shared" si="50"/>
        <v>0</v>
      </c>
      <c r="P61" s="305">
        <f t="shared" si="50"/>
        <v>0</v>
      </c>
      <c r="Q61" s="305">
        <f t="shared" si="50"/>
        <v>0</v>
      </c>
      <c r="R61" s="305">
        <f t="shared" si="50"/>
        <v>0</v>
      </c>
      <c r="S61" s="305">
        <f t="shared" si="50"/>
        <v>0</v>
      </c>
      <c r="T61" s="305">
        <f t="shared" si="50"/>
        <v>0</v>
      </c>
      <c r="U61" s="305">
        <f t="shared" si="50"/>
        <v>0</v>
      </c>
      <c r="V61" s="305">
        <f t="shared" si="50"/>
        <v>0</v>
      </c>
      <c r="W61" s="305">
        <f t="shared" si="50"/>
        <v>0</v>
      </c>
      <c r="X61" s="305">
        <f t="shared" si="50"/>
        <v>0</v>
      </c>
      <c r="Y61" s="305">
        <f t="shared" si="50"/>
        <v>0</v>
      </c>
      <c r="Z61" s="305">
        <f t="shared" si="50"/>
        <v>0</v>
      </c>
      <c r="AA61" s="305">
        <f t="shared" si="50"/>
        <v>0</v>
      </c>
      <c r="AB61" s="305">
        <f t="shared" si="50"/>
        <v>0</v>
      </c>
      <c r="AC61" s="305">
        <f t="shared" si="50"/>
        <v>0</v>
      </c>
    </row>
    <row r="62" spans="1:29">
      <c r="B62" t="s">
        <v>333</v>
      </c>
      <c r="C62" s="305">
        <f t="shared" ref="C62:R68" si="51">C344/C$351</f>
        <v>0</v>
      </c>
      <c r="D62" s="305">
        <f t="shared" si="51"/>
        <v>0</v>
      </c>
      <c r="E62" s="305">
        <f t="shared" si="51"/>
        <v>0</v>
      </c>
      <c r="F62" s="305">
        <f t="shared" si="51"/>
        <v>0</v>
      </c>
      <c r="G62" s="305">
        <f t="shared" si="51"/>
        <v>0</v>
      </c>
      <c r="H62" s="305">
        <f t="shared" si="51"/>
        <v>0</v>
      </c>
      <c r="I62" s="305">
        <f t="shared" si="51"/>
        <v>0</v>
      </c>
      <c r="J62" s="305">
        <f t="shared" si="51"/>
        <v>0</v>
      </c>
      <c r="K62" s="305">
        <f t="shared" si="51"/>
        <v>0</v>
      </c>
      <c r="L62" s="305">
        <f t="shared" si="51"/>
        <v>0</v>
      </c>
      <c r="M62" s="305">
        <f t="shared" si="51"/>
        <v>0</v>
      </c>
      <c r="N62" s="305">
        <f t="shared" si="51"/>
        <v>0</v>
      </c>
      <c r="O62" s="305">
        <f t="shared" si="51"/>
        <v>0</v>
      </c>
      <c r="P62" s="305">
        <f t="shared" si="51"/>
        <v>0</v>
      </c>
      <c r="Q62" s="305">
        <f t="shared" si="51"/>
        <v>0</v>
      </c>
      <c r="R62" s="305">
        <f t="shared" si="51"/>
        <v>0</v>
      </c>
      <c r="S62" s="305">
        <f t="shared" si="50"/>
        <v>0</v>
      </c>
      <c r="T62" s="305">
        <f t="shared" si="50"/>
        <v>0</v>
      </c>
      <c r="U62" s="305">
        <f t="shared" si="50"/>
        <v>0</v>
      </c>
      <c r="V62" s="305">
        <f t="shared" si="50"/>
        <v>0</v>
      </c>
      <c r="W62" s="305">
        <f t="shared" si="50"/>
        <v>0</v>
      </c>
      <c r="X62" s="305">
        <f t="shared" si="50"/>
        <v>0</v>
      </c>
      <c r="Y62" s="305">
        <f t="shared" si="50"/>
        <v>0</v>
      </c>
      <c r="Z62" s="305">
        <f t="shared" si="50"/>
        <v>0</v>
      </c>
      <c r="AA62" s="305">
        <f t="shared" si="50"/>
        <v>0</v>
      </c>
      <c r="AB62" s="305">
        <f t="shared" si="50"/>
        <v>0</v>
      </c>
      <c r="AC62" s="305">
        <f t="shared" si="50"/>
        <v>0</v>
      </c>
    </row>
    <row r="63" spans="1:29">
      <c r="A63" t="s">
        <v>334</v>
      </c>
      <c r="B63" t="s">
        <v>340</v>
      </c>
      <c r="C63" s="305">
        <f t="shared" si="51"/>
        <v>0</v>
      </c>
      <c r="D63" s="305">
        <f t="shared" si="50"/>
        <v>0</v>
      </c>
      <c r="E63" s="305">
        <f t="shared" si="50"/>
        <v>0</v>
      </c>
      <c r="F63" s="305">
        <f t="shared" si="50"/>
        <v>0</v>
      </c>
      <c r="G63" s="305">
        <f t="shared" si="50"/>
        <v>0</v>
      </c>
      <c r="H63" s="305">
        <f t="shared" si="50"/>
        <v>0</v>
      </c>
      <c r="I63" s="305">
        <f t="shared" si="50"/>
        <v>0</v>
      </c>
      <c r="J63" s="305">
        <f t="shared" si="50"/>
        <v>0</v>
      </c>
      <c r="K63" s="305">
        <f t="shared" si="50"/>
        <v>0</v>
      </c>
      <c r="L63" s="305">
        <f t="shared" si="50"/>
        <v>0</v>
      </c>
      <c r="M63" s="305">
        <f t="shared" si="50"/>
        <v>0</v>
      </c>
      <c r="N63" s="305">
        <f t="shared" si="50"/>
        <v>0</v>
      </c>
      <c r="O63" s="305">
        <f t="shared" si="50"/>
        <v>0</v>
      </c>
      <c r="P63" s="305">
        <f t="shared" si="50"/>
        <v>0</v>
      </c>
      <c r="Q63" s="305">
        <f t="shared" si="50"/>
        <v>0</v>
      </c>
      <c r="R63" s="305">
        <f t="shared" si="50"/>
        <v>0</v>
      </c>
      <c r="S63" s="305">
        <f t="shared" si="50"/>
        <v>0</v>
      </c>
      <c r="T63" s="305">
        <f t="shared" si="50"/>
        <v>0</v>
      </c>
      <c r="U63" s="305">
        <f t="shared" si="50"/>
        <v>0</v>
      </c>
      <c r="V63" s="305">
        <f t="shared" si="50"/>
        <v>0</v>
      </c>
      <c r="W63" s="305">
        <f t="shared" si="50"/>
        <v>0</v>
      </c>
      <c r="X63" s="305">
        <f t="shared" si="50"/>
        <v>0</v>
      </c>
      <c r="Y63" s="305">
        <f t="shared" si="50"/>
        <v>0</v>
      </c>
      <c r="Z63" s="305">
        <f t="shared" si="50"/>
        <v>0</v>
      </c>
      <c r="AA63" s="305">
        <f t="shared" si="50"/>
        <v>0</v>
      </c>
      <c r="AB63" s="305">
        <f t="shared" si="50"/>
        <v>0</v>
      </c>
      <c r="AC63" s="305">
        <f t="shared" si="50"/>
        <v>0</v>
      </c>
    </row>
    <row r="64" spans="1:29">
      <c r="B64" t="s">
        <v>339</v>
      </c>
      <c r="C64" s="305">
        <f t="shared" si="51"/>
        <v>0.74108639947108168</v>
      </c>
      <c r="D64" s="305">
        <f t="shared" si="50"/>
        <v>0.79071880912169545</v>
      </c>
      <c r="E64" s="305">
        <f t="shared" si="50"/>
        <v>0.6386131571238467</v>
      </c>
      <c r="F64" s="305">
        <f t="shared" si="50"/>
        <v>0.75580744416441215</v>
      </c>
      <c r="G64" s="305">
        <f t="shared" si="50"/>
        <v>0.71320246300225565</v>
      </c>
      <c r="H64" s="305">
        <f t="shared" si="50"/>
        <v>0.78115676031065473</v>
      </c>
      <c r="I64" s="305">
        <f t="shared" si="50"/>
        <v>0.76642349622098382</v>
      </c>
      <c r="J64" s="305">
        <f t="shared" si="50"/>
        <v>0.74828496387185417</v>
      </c>
      <c r="K64" s="305">
        <f t="shared" si="50"/>
        <v>0.78640329755658556</v>
      </c>
      <c r="L64" s="305">
        <f t="shared" si="50"/>
        <v>0.74588309703681677</v>
      </c>
      <c r="M64" s="305">
        <f t="shared" si="50"/>
        <v>0.80172469534468704</v>
      </c>
      <c r="N64" s="305">
        <f t="shared" si="50"/>
        <v>0.79583426304303684</v>
      </c>
      <c r="O64" s="305">
        <f t="shared" si="50"/>
        <v>0.77907090765006382</v>
      </c>
      <c r="P64" s="305">
        <f t="shared" si="50"/>
        <v>0.80155723993574601</v>
      </c>
      <c r="Q64" s="305">
        <f t="shared" si="50"/>
        <v>0.78887154985237196</v>
      </c>
      <c r="R64" s="305">
        <f t="shared" si="50"/>
        <v>0.70533422841274862</v>
      </c>
      <c r="S64" s="305">
        <f t="shared" si="50"/>
        <v>0.78717070970762593</v>
      </c>
      <c r="T64" s="305">
        <f t="shared" si="50"/>
        <v>0.77916775606401434</v>
      </c>
      <c r="U64" s="305">
        <f t="shared" si="50"/>
        <v>0.80467495581567261</v>
      </c>
      <c r="V64" s="305">
        <f t="shared" si="50"/>
        <v>0.74505854970828844</v>
      </c>
      <c r="W64" s="305">
        <f t="shared" si="50"/>
        <v>0.79514890678426453</v>
      </c>
      <c r="X64" s="305">
        <f t="shared" si="50"/>
        <v>0.73736495113760858</v>
      </c>
      <c r="Y64" s="305">
        <f t="shared" si="50"/>
        <v>0.81853938082108479</v>
      </c>
      <c r="Z64" s="305">
        <f t="shared" si="50"/>
        <v>0.77998817627338324</v>
      </c>
      <c r="AA64" s="305">
        <f t="shared" si="50"/>
        <v>0.85154985463859412</v>
      </c>
      <c r="AB64" s="305">
        <f t="shared" si="50"/>
        <v>0.88006272796227247</v>
      </c>
      <c r="AC64" s="305">
        <f t="shared" si="50"/>
        <v>0.64231184378282558</v>
      </c>
    </row>
    <row r="65" spans="1:88">
      <c r="A65" t="s">
        <v>298</v>
      </c>
      <c r="B65" t="s">
        <v>336</v>
      </c>
      <c r="C65" s="305">
        <f t="shared" si="51"/>
        <v>1.214216695359136E-2</v>
      </c>
      <c r="D65" s="305">
        <f t="shared" si="50"/>
        <v>5.244564356444866E-3</v>
      </c>
      <c r="E65" s="305">
        <f t="shared" si="50"/>
        <v>2.5318479036608464E-2</v>
      </c>
      <c r="F65" s="305">
        <f t="shared" si="50"/>
        <v>1.0199545943263343E-2</v>
      </c>
      <c r="G65" s="305">
        <f t="shared" si="50"/>
        <v>5.4465670112681473E-3</v>
      </c>
      <c r="H65" s="305">
        <f t="shared" si="50"/>
        <v>7.3305854058422536E-3</v>
      </c>
      <c r="I65" s="305">
        <f t="shared" si="50"/>
        <v>6.327365203104513E-3</v>
      </c>
      <c r="J65" s="305">
        <f t="shared" si="50"/>
        <v>1.4553702960433654E-2</v>
      </c>
      <c r="K65" s="305">
        <f t="shared" si="50"/>
        <v>1.4378136289327563E-2</v>
      </c>
      <c r="L65" s="305">
        <f t="shared" si="50"/>
        <v>4.7655125577413509E-3</v>
      </c>
      <c r="M65" s="305">
        <f t="shared" si="50"/>
        <v>8.6002260738130814E-3</v>
      </c>
      <c r="N65" s="305">
        <f t="shared" si="50"/>
        <v>4.4354589246647135E-3</v>
      </c>
      <c r="O65" s="305">
        <f t="shared" si="50"/>
        <v>6.592434448494537E-3</v>
      </c>
      <c r="P65" s="305">
        <f t="shared" si="50"/>
        <v>7.3526877521562662E-3</v>
      </c>
      <c r="Q65" s="305">
        <f t="shared" si="50"/>
        <v>9.0159384819168999E-3</v>
      </c>
      <c r="R65" s="305">
        <f t="shared" si="50"/>
        <v>6.9712334769449829E-3</v>
      </c>
      <c r="S65" s="305">
        <f t="shared" si="50"/>
        <v>9.4394919428535985E-3</v>
      </c>
      <c r="T65" s="305">
        <f t="shared" si="50"/>
        <v>3.6138078846859318E-3</v>
      </c>
      <c r="U65" s="305">
        <f t="shared" si="50"/>
        <v>6.3123502546919919E-3</v>
      </c>
      <c r="V65" s="305">
        <f t="shared" si="50"/>
        <v>9.5979099500525071E-3</v>
      </c>
      <c r="W65" s="305">
        <f t="shared" si="50"/>
        <v>5.8735122381989901E-3</v>
      </c>
      <c r="X65" s="305">
        <f t="shared" si="50"/>
        <v>5.0103707288089395E-3</v>
      </c>
      <c r="Y65" s="305">
        <f t="shared" si="50"/>
        <v>4.3449135578945168E-3</v>
      </c>
      <c r="Z65" s="305">
        <f t="shared" si="50"/>
        <v>6.2553697184935773E-3</v>
      </c>
      <c r="AA65" s="305">
        <f t="shared" si="50"/>
        <v>6.8237115745591239E-3</v>
      </c>
      <c r="AB65" s="305">
        <f t="shared" si="50"/>
        <v>7.9379260453763534E-3</v>
      </c>
      <c r="AC65" s="305">
        <f t="shared" si="50"/>
        <v>2.7483693665086213E-3</v>
      </c>
    </row>
    <row r="66" spans="1:88">
      <c r="B66" t="s">
        <v>558</v>
      </c>
      <c r="C66" s="305">
        <f t="shared" si="51"/>
        <v>0.1626965950818042</v>
      </c>
      <c r="D66" s="305">
        <f t="shared" si="50"/>
        <v>0.13109626623170204</v>
      </c>
      <c r="E66" s="305">
        <f t="shared" si="50"/>
        <v>0.23916819504950479</v>
      </c>
      <c r="F66" s="305">
        <f t="shared" si="50"/>
        <v>0.15479346868381608</v>
      </c>
      <c r="G66" s="305">
        <f t="shared" si="50"/>
        <v>0.20800029152740038</v>
      </c>
      <c r="H66" s="305">
        <f t="shared" si="50"/>
        <v>0.12724978858051844</v>
      </c>
      <c r="I66" s="305">
        <f t="shared" si="50"/>
        <v>0.14827744084788594</v>
      </c>
      <c r="J66" s="305">
        <f t="shared" si="50"/>
        <v>0.14551722418000443</v>
      </c>
      <c r="K66" s="305">
        <f t="shared" si="50"/>
        <v>0.11766218454461841</v>
      </c>
      <c r="L66" s="305">
        <f t="shared" si="50"/>
        <v>0.17371900154534914</v>
      </c>
      <c r="M66" s="305">
        <f t="shared" si="50"/>
        <v>0.11196687123703571</v>
      </c>
      <c r="N66" s="305">
        <f t="shared" si="50"/>
        <v>0.12599020808803368</v>
      </c>
      <c r="O66" s="305">
        <f t="shared" si="50"/>
        <v>0.13241927644257739</v>
      </c>
      <c r="P66" s="305">
        <f t="shared" si="50"/>
        <v>0.11487011188674058</v>
      </c>
      <c r="Q66" s="305">
        <f t="shared" si="50"/>
        <v>0.11670831913312733</v>
      </c>
      <c r="R66" s="305">
        <f t="shared" si="50"/>
        <v>0.2178213998684824</v>
      </c>
      <c r="S66" s="305">
        <f t="shared" si="50"/>
        <v>0.12016236232976817</v>
      </c>
      <c r="T66" s="305">
        <f t="shared" si="50"/>
        <v>0.14679096653005977</v>
      </c>
      <c r="U66" s="305">
        <f t="shared" si="50"/>
        <v>0.10758223700696061</v>
      </c>
      <c r="V66" s="305">
        <f t="shared" si="50"/>
        <v>0.1657308225029282</v>
      </c>
      <c r="W66" s="305">
        <f t="shared" si="50"/>
        <v>0.12234818626194599</v>
      </c>
      <c r="X66" s="305">
        <f t="shared" si="50"/>
        <v>0.18501691930313938</v>
      </c>
      <c r="Y66" s="305">
        <f t="shared" si="50"/>
        <v>0.10860805699514527</v>
      </c>
      <c r="Z66" s="305">
        <f t="shared" si="50"/>
        <v>0.13030246782805119</v>
      </c>
      <c r="AA66" s="305">
        <f t="shared" si="50"/>
        <v>5.0925275195199252E-2</v>
      </c>
      <c r="AB66" s="305">
        <f t="shared" si="50"/>
        <v>9.1008381034736394E-3</v>
      </c>
      <c r="AC66" s="305">
        <f t="shared" si="50"/>
        <v>0.28624951607603277</v>
      </c>
    </row>
    <row r="67" spans="1:88">
      <c r="B67" t="s">
        <v>545</v>
      </c>
      <c r="C67" s="305">
        <f t="shared" si="51"/>
        <v>0</v>
      </c>
      <c r="D67" s="305">
        <f t="shared" si="50"/>
        <v>0</v>
      </c>
      <c r="E67" s="305">
        <f t="shared" si="50"/>
        <v>0</v>
      </c>
      <c r="F67" s="305">
        <f t="shared" si="50"/>
        <v>0</v>
      </c>
      <c r="G67" s="305">
        <f t="shared" si="50"/>
        <v>0</v>
      </c>
      <c r="H67" s="305">
        <f t="shared" si="50"/>
        <v>0</v>
      </c>
      <c r="I67" s="305">
        <f t="shared" si="50"/>
        <v>0</v>
      </c>
      <c r="J67" s="305">
        <f t="shared" si="50"/>
        <v>0</v>
      </c>
      <c r="K67" s="305">
        <f t="shared" si="50"/>
        <v>0</v>
      </c>
      <c r="L67" s="305">
        <f t="shared" si="50"/>
        <v>0</v>
      </c>
      <c r="M67" s="305">
        <f t="shared" si="50"/>
        <v>0</v>
      </c>
      <c r="N67" s="305">
        <f t="shared" si="50"/>
        <v>0</v>
      </c>
      <c r="O67" s="305">
        <f t="shared" si="50"/>
        <v>0</v>
      </c>
      <c r="P67" s="305">
        <f t="shared" si="50"/>
        <v>0</v>
      </c>
      <c r="Q67" s="305">
        <f t="shared" si="50"/>
        <v>0</v>
      </c>
      <c r="R67" s="305">
        <f t="shared" si="50"/>
        <v>0</v>
      </c>
      <c r="S67" s="305">
        <f t="shared" si="50"/>
        <v>0</v>
      </c>
      <c r="T67" s="305">
        <f t="shared" si="50"/>
        <v>0</v>
      </c>
      <c r="U67" s="305">
        <f t="shared" si="50"/>
        <v>0</v>
      </c>
      <c r="V67" s="305">
        <f t="shared" si="50"/>
        <v>0</v>
      </c>
      <c r="W67" s="305">
        <f t="shared" si="50"/>
        <v>0</v>
      </c>
      <c r="X67" s="305">
        <f t="shared" si="50"/>
        <v>0</v>
      </c>
      <c r="Y67" s="305">
        <f t="shared" si="50"/>
        <v>0</v>
      </c>
      <c r="Z67" s="305">
        <f t="shared" si="50"/>
        <v>0</v>
      </c>
      <c r="AA67" s="305">
        <f t="shared" si="50"/>
        <v>0</v>
      </c>
      <c r="AB67" s="305">
        <f t="shared" si="50"/>
        <v>0</v>
      </c>
      <c r="AC67" s="305">
        <f t="shared" si="50"/>
        <v>0</v>
      </c>
    </row>
    <row r="68" spans="1:88">
      <c r="B68" t="s">
        <v>338</v>
      </c>
      <c r="C68" s="305">
        <f t="shared" si="51"/>
        <v>8.4074838493522847E-2</v>
      </c>
      <c r="D68" s="305">
        <f t="shared" si="50"/>
        <v>7.2940360290157685E-2</v>
      </c>
      <c r="E68" s="305">
        <f t="shared" si="50"/>
        <v>9.6900168790040125E-2</v>
      </c>
      <c r="F68" s="305">
        <f t="shared" si="50"/>
        <v>7.91995412085085E-2</v>
      </c>
      <c r="G68" s="305">
        <f t="shared" si="50"/>
        <v>7.3350678459075919E-2</v>
      </c>
      <c r="H68" s="305">
        <f t="shared" si="50"/>
        <v>8.426286570298451E-2</v>
      </c>
      <c r="I68" s="305">
        <f t="shared" si="50"/>
        <v>7.8971697728025606E-2</v>
      </c>
      <c r="J68" s="305">
        <f t="shared" si="50"/>
        <v>9.1644108987707917E-2</v>
      </c>
      <c r="K68" s="305">
        <f t="shared" si="50"/>
        <v>8.1556381609468237E-2</v>
      </c>
      <c r="L68" s="305">
        <f t="shared" si="50"/>
        <v>7.5632388860092645E-2</v>
      </c>
      <c r="M68" s="305">
        <f t="shared" si="50"/>
        <v>7.7708207344464181E-2</v>
      </c>
      <c r="N68" s="305">
        <f t="shared" si="50"/>
        <v>7.3740069944264783E-2</v>
      </c>
      <c r="O68" s="305">
        <f t="shared" si="50"/>
        <v>8.1917381458864319E-2</v>
      </c>
      <c r="P68" s="305">
        <f t="shared" si="50"/>
        <v>7.6219960425357156E-2</v>
      </c>
      <c r="Q68" s="305">
        <f t="shared" si="50"/>
        <v>8.5404192532583911E-2</v>
      </c>
      <c r="R68" s="305">
        <f t="shared" si="50"/>
        <v>6.987313824182402E-2</v>
      </c>
      <c r="S68" s="305">
        <f t="shared" si="50"/>
        <v>8.3227436019752521E-2</v>
      </c>
      <c r="T68" s="305">
        <f t="shared" si="50"/>
        <v>7.0427469521239974E-2</v>
      </c>
      <c r="U68" s="305">
        <f t="shared" si="50"/>
        <v>8.1430456922674907E-2</v>
      </c>
      <c r="V68" s="305">
        <f t="shared" si="50"/>
        <v>7.9612717838730945E-2</v>
      </c>
      <c r="W68" s="305">
        <f t="shared" si="50"/>
        <v>7.6629394715590618E-2</v>
      </c>
      <c r="X68" s="305">
        <f t="shared" si="50"/>
        <v>7.2607758830443E-2</v>
      </c>
      <c r="Y68" s="305">
        <f t="shared" si="50"/>
        <v>6.8507648625875522E-2</v>
      </c>
      <c r="Z68" s="305">
        <f t="shared" si="50"/>
        <v>8.3453986180072076E-2</v>
      </c>
      <c r="AA68" s="305">
        <f t="shared" si="50"/>
        <v>9.070115859164736E-2</v>
      </c>
      <c r="AB68" s="305">
        <f t="shared" si="50"/>
        <v>0.10289850788887757</v>
      </c>
      <c r="AC68" s="305">
        <f t="shared" si="50"/>
        <v>6.8690270774633036E-2</v>
      </c>
    </row>
    <row r="69" spans="1:88">
      <c r="A69" s="79"/>
      <c r="B69" s="107" t="s">
        <v>16</v>
      </c>
      <c r="C69" s="99">
        <f>SUM(C61:C68)</f>
        <v>1.0000000000000002</v>
      </c>
      <c r="D69" s="99">
        <f>SUM(D61:D68)</f>
        <v>1</v>
      </c>
      <c r="E69" s="99">
        <f t="shared" ref="E69" si="52">SUM(E61:E68)</f>
        <v>1</v>
      </c>
      <c r="F69" s="99">
        <f t="shared" ref="F69" si="53">SUM(F61:F68)</f>
        <v>1</v>
      </c>
      <c r="G69" s="99">
        <f t="shared" ref="G69" si="54">SUM(G61:G68)</f>
        <v>1</v>
      </c>
      <c r="H69" s="99">
        <f t="shared" ref="H69" si="55">SUM(H61:H68)</f>
        <v>1</v>
      </c>
      <c r="I69" s="99">
        <f t="shared" ref="I69" si="56">SUM(I61:I68)</f>
        <v>0.99999999999999989</v>
      </c>
      <c r="J69" s="99">
        <f t="shared" ref="J69" si="57">SUM(J61:J68)</f>
        <v>1.0000000000000002</v>
      </c>
      <c r="K69" s="99">
        <f t="shared" ref="K69" si="58">SUM(K61:K68)</f>
        <v>0.99999999999999978</v>
      </c>
      <c r="L69" s="99">
        <f t="shared" ref="L69" si="59">SUM(L61:L68)</f>
        <v>0.99999999999999989</v>
      </c>
      <c r="M69" s="99">
        <f t="shared" ref="M69" si="60">SUM(M61:M68)</f>
        <v>1</v>
      </c>
      <c r="N69" s="99">
        <f t="shared" ref="N69" si="61">SUM(N61:N68)</f>
        <v>1</v>
      </c>
      <c r="O69" s="99">
        <f t="shared" ref="O69" si="62">SUM(O61:O68)</f>
        <v>1</v>
      </c>
      <c r="P69" s="99">
        <f t="shared" ref="P69" si="63">SUM(P61:P68)</f>
        <v>1</v>
      </c>
      <c r="Q69" s="99">
        <f t="shared" ref="Q69" si="64">SUM(Q61:Q68)</f>
        <v>1</v>
      </c>
      <c r="R69" s="99">
        <f t="shared" ref="R69" si="65">SUM(R61:R68)</f>
        <v>1</v>
      </c>
      <c r="S69" s="99">
        <f t="shared" ref="S69" si="66">SUM(S61:S68)</f>
        <v>1.0000000000000002</v>
      </c>
      <c r="T69" s="99">
        <f t="shared" ref="T69" si="67">SUM(T61:T68)</f>
        <v>1</v>
      </c>
      <c r="U69" s="99">
        <f t="shared" ref="U69" si="68">SUM(U61:U68)</f>
        <v>1</v>
      </c>
      <c r="V69" s="99">
        <f t="shared" ref="V69" si="69">SUM(V61:V68)</f>
        <v>1</v>
      </c>
      <c r="W69" s="99">
        <f t="shared" ref="W69" si="70">SUM(W61:W68)</f>
        <v>1.0000000000000002</v>
      </c>
      <c r="X69" s="99">
        <f t="shared" ref="X69" si="71">SUM(X61:X68)</f>
        <v>0.99999999999999989</v>
      </c>
      <c r="Y69" s="99">
        <f t="shared" ref="Y69" si="72">SUM(Y61:Y68)</f>
        <v>1.0000000000000002</v>
      </c>
      <c r="Z69" s="99">
        <f t="shared" ref="Z69" si="73">SUM(Z61:Z68)</f>
        <v>1.0000000000000002</v>
      </c>
      <c r="AA69" s="99">
        <f t="shared" ref="AA69" si="74">SUM(AA61:AA68)</f>
        <v>0.99999999999999989</v>
      </c>
      <c r="AB69" s="99">
        <f t="shared" ref="AB69" si="75">SUM(AB61:AB68)</f>
        <v>1</v>
      </c>
      <c r="AC69" s="99">
        <f t="shared" ref="AC69" si="76">SUM(AC61:AC68)</f>
        <v>1</v>
      </c>
    </row>
    <row r="71" spans="1:88">
      <c r="C71" s="98"/>
      <c r="D71" s="9"/>
      <c r="E71" s="98"/>
      <c r="F71" s="98"/>
      <c r="G71" s="98"/>
      <c r="H71" s="98"/>
      <c r="I71" s="98"/>
      <c r="J71" s="98"/>
      <c r="K71" s="98"/>
      <c r="L71" s="98"/>
      <c r="M71" s="98"/>
      <c r="N71" s="98"/>
      <c r="O71" s="98"/>
      <c r="P71" s="98"/>
      <c r="Q71" s="98"/>
      <c r="R71" s="98"/>
      <c r="S71" s="98"/>
      <c r="T71" s="98"/>
      <c r="U71" s="98"/>
      <c r="V71" s="98"/>
      <c r="W71" s="98"/>
      <c r="X71" s="98"/>
      <c r="Y71" s="98"/>
      <c r="Z71" s="98"/>
      <c r="AA71" s="98"/>
      <c r="AB71" s="98"/>
      <c r="AC71" s="98"/>
    </row>
    <row r="73" spans="1:88">
      <c r="AC73" s="7"/>
    </row>
    <row r="74" spans="1:88">
      <c r="AC74" s="7"/>
    </row>
    <row r="75" spans="1:88" s="190" customFormat="1" ht="18.5">
      <c r="A75" s="192" t="s">
        <v>21</v>
      </c>
      <c r="AC75" s="191"/>
    </row>
    <row r="76" spans="1:88">
      <c r="AC76" s="7"/>
    </row>
    <row r="78" spans="1:88" ht="15.5">
      <c r="A78" s="101" t="s">
        <v>433</v>
      </c>
    </row>
    <row r="79" spans="1:88" s="33" customFormat="1">
      <c r="A79" s="81" t="s">
        <v>55</v>
      </c>
      <c r="B79" s="81" t="s">
        <v>56</v>
      </c>
      <c r="C79" s="80" t="str">
        <f>Regions!C3</f>
        <v>IE</v>
      </c>
      <c r="D79" s="80" t="str">
        <f>Regions!E3</f>
        <v>IE-CW</v>
      </c>
      <c r="E79" s="80" t="str">
        <f>Regions!F3</f>
        <v>IE-D</v>
      </c>
      <c r="F79" s="80" t="str">
        <f>Regions!G3</f>
        <v>IE-KE</v>
      </c>
      <c r="G79" s="80" t="str">
        <f>Regions!H3</f>
        <v>IE-KK</v>
      </c>
      <c r="H79" s="80" t="str">
        <f>Regions!I3</f>
        <v>IE-LS</v>
      </c>
      <c r="I79" s="80" t="str">
        <f>Regions!J3</f>
        <v>IE-LD</v>
      </c>
      <c r="J79" s="80" t="str">
        <f>Regions!K3</f>
        <v>IE-LH</v>
      </c>
      <c r="K79" s="80" t="str">
        <f>Regions!L3</f>
        <v>IE-MH</v>
      </c>
      <c r="L79" s="80" t="str">
        <f>Regions!M3</f>
        <v>IE-OY</v>
      </c>
      <c r="M79" s="80" t="str">
        <f>Regions!N3</f>
        <v>IE-WH</v>
      </c>
      <c r="N79" s="80" t="str">
        <f>Regions!O3</f>
        <v>IE-WX</v>
      </c>
      <c r="O79" s="80" t="str">
        <f>Regions!P3</f>
        <v>IE-WW</v>
      </c>
      <c r="P79" s="80" t="str">
        <f>Regions!Q3</f>
        <v>IE-CE</v>
      </c>
      <c r="Q79" s="80" t="str">
        <f>Regions!R3</f>
        <v>IE-CO</v>
      </c>
      <c r="R79" s="80" t="str">
        <f>Regions!S3</f>
        <v>IE-KY</v>
      </c>
      <c r="S79" s="80" t="str">
        <f>Regions!T3</f>
        <v>IE-LK</v>
      </c>
      <c r="T79" s="80" t="str">
        <f>Regions!U3</f>
        <v>IE-TA</v>
      </c>
      <c r="U79" s="80" t="str">
        <f>Regions!V3</f>
        <v>IE-WD</v>
      </c>
      <c r="V79" s="80" t="str">
        <f>Regions!W3</f>
        <v>IE-G</v>
      </c>
      <c r="W79" s="80" t="str">
        <f>Regions!X3</f>
        <v>IE-LM</v>
      </c>
      <c r="X79" s="80" t="str">
        <f>Regions!Y3</f>
        <v>IE-MO</v>
      </c>
      <c r="Y79" s="80" t="str">
        <f>Regions!Z3</f>
        <v>IE-RN</v>
      </c>
      <c r="Z79" s="80" t="str">
        <f>Regions!AA3</f>
        <v>IE-SO</v>
      </c>
      <c r="AA79" s="80" t="str">
        <f>Regions!AB3</f>
        <v>IE-CN</v>
      </c>
      <c r="AB79" s="80" t="str">
        <f>Regions!AC3</f>
        <v>IE-DL</v>
      </c>
      <c r="AC79" s="80" t="str">
        <f>Regions!AD3</f>
        <v>IE-MN</v>
      </c>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row>
    <row r="80" spans="1:88" s="33" customFormat="1">
      <c r="A80" t="s">
        <v>507</v>
      </c>
      <c r="B80" t="s">
        <v>20</v>
      </c>
      <c r="C80" s="30">
        <f>SUM(D80:AC80)</f>
        <v>109</v>
      </c>
      <c r="D80" s="30">
        <v>1</v>
      </c>
      <c r="E80" s="30">
        <v>34</v>
      </c>
      <c r="F80" s="30">
        <v>6</v>
      </c>
      <c r="G80" s="30">
        <v>2</v>
      </c>
      <c r="H80" s="30">
        <v>1</v>
      </c>
      <c r="I80" s="30">
        <v>1</v>
      </c>
      <c r="J80" s="30">
        <v>2</v>
      </c>
      <c r="K80" s="30">
        <v>5</v>
      </c>
      <c r="L80" s="30">
        <v>2</v>
      </c>
      <c r="M80" s="30">
        <v>2</v>
      </c>
      <c r="N80" s="30">
        <v>4</v>
      </c>
      <c r="O80" s="30">
        <v>4</v>
      </c>
      <c r="P80" s="30">
        <v>3</v>
      </c>
      <c r="Q80" s="30">
        <v>15</v>
      </c>
      <c r="R80" s="30">
        <v>3</v>
      </c>
      <c r="S80" s="30">
        <v>4</v>
      </c>
      <c r="T80" s="30">
        <v>4</v>
      </c>
      <c r="U80" s="30">
        <v>3</v>
      </c>
      <c r="V80" s="30">
        <v>4</v>
      </c>
      <c r="W80" s="30">
        <v>1</v>
      </c>
      <c r="X80" s="30">
        <v>2</v>
      </c>
      <c r="Y80" s="30">
        <v>1</v>
      </c>
      <c r="Z80" s="30">
        <v>1</v>
      </c>
      <c r="AA80" s="30">
        <v>1</v>
      </c>
      <c r="AB80" s="30">
        <v>2</v>
      </c>
      <c r="AC80" s="30">
        <v>1</v>
      </c>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row>
    <row r="81" spans="1:88">
      <c r="A81" s="108" t="s">
        <v>532</v>
      </c>
      <c r="B81" s="108" t="s">
        <v>20</v>
      </c>
      <c r="C81" s="30">
        <f t="shared" ref="C81:C86" si="77">SUM(D81:AC81)</f>
        <v>12136</v>
      </c>
      <c r="D81" s="148">
        <v>146</v>
      </c>
      <c r="E81" s="148">
        <v>3300</v>
      </c>
      <c r="F81" s="148">
        <v>602</v>
      </c>
      <c r="G81" s="148">
        <v>239</v>
      </c>
      <c r="H81" s="148">
        <v>175</v>
      </c>
      <c r="I81" s="148">
        <v>81</v>
      </c>
      <c r="J81" s="148">
        <v>273</v>
      </c>
      <c r="K81" s="148">
        <v>477</v>
      </c>
      <c r="L81" s="148">
        <v>173</v>
      </c>
      <c r="M81" s="148">
        <v>200</v>
      </c>
      <c r="N81" s="148">
        <v>408</v>
      </c>
      <c r="O81" s="148">
        <v>441</v>
      </c>
      <c r="P81" s="148">
        <v>342</v>
      </c>
      <c r="Q81" s="148">
        <v>1584</v>
      </c>
      <c r="R81" s="148">
        <v>441</v>
      </c>
      <c r="S81" s="148">
        <v>541</v>
      </c>
      <c r="T81" s="148">
        <v>439</v>
      </c>
      <c r="U81" s="148">
        <v>357</v>
      </c>
      <c r="V81" s="148">
        <v>621</v>
      </c>
      <c r="W81" s="148">
        <v>72</v>
      </c>
      <c r="X81" s="148">
        <v>313</v>
      </c>
      <c r="Y81" s="148">
        <v>184</v>
      </c>
      <c r="Z81" s="148">
        <v>158</v>
      </c>
      <c r="AA81" s="148">
        <v>150</v>
      </c>
      <c r="AB81" s="148">
        <v>311</v>
      </c>
      <c r="AC81" s="148">
        <v>108</v>
      </c>
    </row>
    <row r="82" spans="1:88">
      <c r="A82" s="108"/>
      <c r="B82" s="108" t="s">
        <v>19</v>
      </c>
      <c r="C82" s="30">
        <f t="shared" si="77"/>
        <v>23286</v>
      </c>
      <c r="D82" s="148">
        <v>378</v>
      </c>
      <c r="E82" s="148">
        <v>4087</v>
      </c>
      <c r="F82" s="148">
        <v>1188</v>
      </c>
      <c r="G82" s="148">
        <v>580</v>
      </c>
      <c r="H82" s="148">
        <v>492</v>
      </c>
      <c r="I82" s="148">
        <v>256</v>
      </c>
      <c r="J82" s="148">
        <v>617</v>
      </c>
      <c r="K82" s="148">
        <v>1111</v>
      </c>
      <c r="L82" s="148">
        <v>480</v>
      </c>
      <c r="M82" s="148">
        <v>575</v>
      </c>
      <c r="N82" s="148">
        <v>963</v>
      </c>
      <c r="O82" s="148">
        <v>698</v>
      </c>
      <c r="P82" s="148">
        <v>718</v>
      </c>
      <c r="Q82" s="148">
        <v>2655</v>
      </c>
      <c r="R82" s="148">
        <v>824</v>
      </c>
      <c r="S82" s="148">
        <v>1023</v>
      </c>
      <c r="T82" s="148">
        <v>1063</v>
      </c>
      <c r="U82" s="148">
        <v>616</v>
      </c>
      <c r="V82" s="148">
        <v>1419</v>
      </c>
      <c r="W82" s="148">
        <v>211</v>
      </c>
      <c r="X82" s="148">
        <v>815</v>
      </c>
      <c r="Y82" s="148">
        <v>472</v>
      </c>
      <c r="Z82" s="148">
        <v>362</v>
      </c>
      <c r="AA82" s="148">
        <v>457</v>
      </c>
      <c r="AB82" s="148">
        <v>845</v>
      </c>
      <c r="AC82" s="148">
        <v>381</v>
      </c>
    </row>
    <row r="83" spans="1:88">
      <c r="A83" s="108"/>
      <c r="B83" s="108" t="s">
        <v>533</v>
      </c>
      <c r="C83" s="30">
        <f t="shared" si="77"/>
        <v>555</v>
      </c>
      <c r="D83" s="148">
        <v>5</v>
      </c>
      <c r="E83" s="148">
        <v>224</v>
      </c>
      <c r="F83" s="148">
        <v>30</v>
      </c>
      <c r="G83" s="148">
        <v>8</v>
      </c>
      <c r="H83" s="148">
        <v>6</v>
      </c>
      <c r="I83" s="148">
        <v>3</v>
      </c>
      <c r="J83" s="148">
        <v>12</v>
      </c>
      <c r="K83" s="148">
        <v>24</v>
      </c>
      <c r="L83" s="148">
        <v>6</v>
      </c>
      <c r="M83" s="148">
        <v>10</v>
      </c>
      <c r="N83" s="148">
        <v>14</v>
      </c>
      <c r="O83" s="148">
        <v>22</v>
      </c>
      <c r="P83" s="148">
        <v>11</v>
      </c>
      <c r="Q83" s="148">
        <v>59</v>
      </c>
      <c r="R83" s="148">
        <v>13</v>
      </c>
      <c r="S83" s="148">
        <v>16</v>
      </c>
      <c r="T83" s="148">
        <v>11</v>
      </c>
      <c r="U83" s="148">
        <v>11</v>
      </c>
      <c r="V83" s="148">
        <v>30</v>
      </c>
      <c r="W83" s="148">
        <v>2</v>
      </c>
      <c r="X83" s="148">
        <v>8</v>
      </c>
      <c r="Y83" s="148">
        <v>5</v>
      </c>
      <c r="Z83" s="148">
        <v>5</v>
      </c>
      <c r="AA83" s="148">
        <v>6</v>
      </c>
      <c r="AB83" s="148">
        <v>11</v>
      </c>
      <c r="AC83" s="148">
        <v>3</v>
      </c>
    </row>
    <row r="84" spans="1:88">
      <c r="A84" s="108" t="s">
        <v>530</v>
      </c>
      <c r="B84" s="108" t="s">
        <v>20</v>
      </c>
      <c r="C84" s="30">
        <f t="shared" si="77"/>
        <v>89</v>
      </c>
      <c r="D84" s="148">
        <v>0</v>
      </c>
      <c r="E84" s="148">
        <v>56</v>
      </c>
      <c r="F84" s="148">
        <v>3</v>
      </c>
      <c r="G84" s="148">
        <v>0</v>
      </c>
      <c r="H84" s="148">
        <v>0</v>
      </c>
      <c r="I84" s="148">
        <v>0</v>
      </c>
      <c r="J84" s="148">
        <v>2</v>
      </c>
      <c r="K84" s="148">
        <v>4</v>
      </c>
      <c r="L84" s="148">
        <v>0</v>
      </c>
      <c r="M84" s="148">
        <v>1</v>
      </c>
      <c r="N84" s="148">
        <v>1</v>
      </c>
      <c r="O84" s="148">
        <v>1</v>
      </c>
      <c r="P84" s="148">
        <v>2</v>
      </c>
      <c r="Q84" s="148">
        <v>6</v>
      </c>
      <c r="R84" s="148">
        <v>1</v>
      </c>
      <c r="S84" s="148">
        <v>5</v>
      </c>
      <c r="T84" s="148">
        <v>0</v>
      </c>
      <c r="U84" s="148">
        <v>1</v>
      </c>
      <c r="V84" s="148">
        <v>4</v>
      </c>
      <c r="W84" s="148">
        <v>0</v>
      </c>
      <c r="X84" s="148">
        <v>1</v>
      </c>
      <c r="Y84" s="148">
        <v>0</v>
      </c>
      <c r="Z84" s="148">
        <v>0</v>
      </c>
      <c r="AA84" s="148">
        <v>0</v>
      </c>
      <c r="AB84" s="148">
        <v>1</v>
      </c>
      <c r="AC84" s="148">
        <v>0</v>
      </c>
    </row>
    <row r="85" spans="1:88">
      <c r="A85" s="108"/>
      <c r="B85" s="108" t="s">
        <v>19</v>
      </c>
      <c r="C85" s="30">
        <f t="shared" si="77"/>
        <v>696</v>
      </c>
      <c r="D85" s="148">
        <v>5</v>
      </c>
      <c r="E85" s="148">
        <v>331</v>
      </c>
      <c r="F85" s="148">
        <v>30</v>
      </c>
      <c r="G85" s="148">
        <v>9</v>
      </c>
      <c r="H85" s="148">
        <v>8</v>
      </c>
      <c r="I85" s="148">
        <v>4</v>
      </c>
      <c r="J85" s="148">
        <v>22</v>
      </c>
      <c r="K85" s="148">
        <v>36</v>
      </c>
      <c r="L85" s="148">
        <v>6</v>
      </c>
      <c r="M85" s="148">
        <v>11</v>
      </c>
      <c r="N85" s="148">
        <v>10</v>
      </c>
      <c r="O85" s="148">
        <v>12</v>
      </c>
      <c r="P85" s="148">
        <v>12</v>
      </c>
      <c r="Q85" s="148">
        <v>62</v>
      </c>
      <c r="R85" s="148">
        <v>17</v>
      </c>
      <c r="S85" s="148">
        <v>20</v>
      </c>
      <c r="T85" s="148">
        <v>10</v>
      </c>
      <c r="U85" s="148">
        <v>10</v>
      </c>
      <c r="V85" s="148">
        <v>33</v>
      </c>
      <c r="W85" s="148">
        <v>3</v>
      </c>
      <c r="X85" s="148">
        <v>10</v>
      </c>
      <c r="Y85" s="148">
        <v>5</v>
      </c>
      <c r="Z85" s="148">
        <v>6</v>
      </c>
      <c r="AA85" s="268">
        <v>7</v>
      </c>
      <c r="AB85" s="268">
        <v>14</v>
      </c>
      <c r="AC85" s="148">
        <v>3</v>
      </c>
    </row>
    <row r="86" spans="1:88">
      <c r="A86" s="108"/>
      <c r="B86" s="108" t="s">
        <v>533</v>
      </c>
      <c r="C86" s="30">
        <f t="shared" si="77"/>
        <v>55</v>
      </c>
      <c r="D86" s="148">
        <v>0</v>
      </c>
      <c r="E86" s="148">
        <v>43</v>
      </c>
      <c r="F86" s="148">
        <v>2</v>
      </c>
      <c r="G86" s="148">
        <v>0</v>
      </c>
      <c r="H86" s="148">
        <v>1</v>
      </c>
      <c r="I86" s="148">
        <v>0</v>
      </c>
      <c r="J86" s="148">
        <v>1</v>
      </c>
      <c r="K86" s="148">
        <v>2</v>
      </c>
      <c r="L86" s="148">
        <v>0</v>
      </c>
      <c r="M86" s="148">
        <v>0</v>
      </c>
      <c r="N86" s="148">
        <v>0</v>
      </c>
      <c r="O86" s="148">
        <v>1</v>
      </c>
      <c r="P86" s="148">
        <v>0</v>
      </c>
      <c r="Q86" s="148">
        <v>2</v>
      </c>
      <c r="R86" s="148">
        <v>0</v>
      </c>
      <c r="S86" s="148">
        <v>2</v>
      </c>
      <c r="T86" s="148">
        <v>0</v>
      </c>
      <c r="U86" s="148">
        <v>0</v>
      </c>
      <c r="V86" s="148">
        <v>1</v>
      </c>
      <c r="W86" s="148">
        <v>0</v>
      </c>
      <c r="X86" s="148">
        <v>0</v>
      </c>
      <c r="Y86" s="148">
        <v>0</v>
      </c>
      <c r="Z86" s="148">
        <v>0</v>
      </c>
      <c r="AA86" s="148">
        <v>0</v>
      </c>
      <c r="AB86" s="148">
        <v>0</v>
      </c>
      <c r="AC86" s="267">
        <v>0</v>
      </c>
    </row>
    <row r="87" spans="1:88">
      <c r="A87" s="108" t="s">
        <v>531</v>
      </c>
      <c r="B87" s="108" t="s">
        <v>19</v>
      </c>
      <c r="C87" s="30">
        <f>SUM(D87:AC87)</f>
        <v>360.22233201581031</v>
      </c>
      <c r="D87" s="31">
        <v>4</v>
      </c>
      <c r="E87" s="31">
        <v>130</v>
      </c>
      <c r="F87" s="31">
        <v>17</v>
      </c>
      <c r="G87" s="31">
        <v>11</v>
      </c>
      <c r="H87" s="31">
        <v>5</v>
      </c>
      <c r="I87" s="31">
        <v>3</v>
      </c>
      <c r="J87" s="31">
        <v>8</v>
      </c>
      <c r="K87" s="31">
        <v>11</v>
      </c>
      <c r="L87" s="31">
        <v>7</v>
      </c>
      <c r="M87" s="31">
        <v>5</v>
      </c>
      <c r="N87" s="31">
        <v>10</v>
      </c>
      <c r="O87" s="31">
        <v>9</v>
      </c>
      <c r="P87" s="31">
        <v>7</v>
      </c>
      <c r="Q87" s="31">
        <v>29</v>
      </c>
      <c r="R87" s="31">
        <v>18</v>
      </c>
      <c r="S87" s="31">
        <v>11</v>
      </c>
      <c r="T87" s="31">
        <v>13</v>
      </c>
      <c r="U87" s="31">
        <v>6</v>
      </c>
      <c r="V87" s="31">
        <v>21</v>
      </c>
      <c r="W87" s="31">
        <v>2</v>
      </c>
      <c r="X87" s="31">
        <v>13</v>
      </c>
      <c r="Y87" s="31">
        <v>4</v>
      </c>
      <c r="Z87" s="31">
        <v>4</v>
      </c>
      <c r="AA87" s="31">
        <v>1.6719367588933101</v>
      </c>
      <c r="AB87" s="31">
        <v>0.55039525691700697</v>
      </c>
      <c r="AC87" s="31">
        <v>10</v>
      </c>
    </row>
    <row r="88" spans="1:88">
      <c r="A88" s="108" t="s">
        <v>751</v>
      </c>
      <c r="B88" s="108" t="s">
        <v>105</v>
      </c>
      <c r="C88" s="30">
        <f>(B126+C126)/1000000</f>
        <v>4.0654789999999998</v>
      </c>
      <c r="D88" s="31">
        <v>0</v>
      </c>
      <c r="E88" s="31">
        <f>C88</f>
        <v>4.0654789999999998</v>
      </c>
      <c r="F88" s="31">
        <v>0</v>
      </c>
      <c r="G88" s="31">
        <v>0</v>
      </c>
      <c r="H88" s="31">
        <v>0</v>
      </c>
      <c r="I88" s="31">
        <v>0</v>
      </c>
      <c r="J88" s="31">
        <v>0</v>
      </c>
      <c r="K88" s="31">
        <v>0</v>
      </c>
      <c r="L88" s="31">
        <v>0</v>
      </c>
      <c r="M88" s="31">
        <v>0</v>
      </c>
      <c r="N88" s="31">
        <v>0</v>
      </c>
      <c r="O88" s="31">
        <v>0</v>
      </c>
      <c r="P88" s="31">
        <v>0</v>
      </c>
      <c r="Q88" s="31">
        <v>0</v>
      </c>
      <c r="R88" s="31">
        <v>0</v>
      </c>
      <c r="S88" s="31">
        <v>0</v>
      </c>
      <c r="T88" s="31">
        <v>0</v>
      </c>
      <c r="U88" s="31">
        <v>0</v>
      </c>
      <c r="V88" s="31">
        <v>0</v>
      </c>
      <c r="W88" s="31">
        <v>0</v>
      </c>
      <c r="X88" s="31">
        <v>0</v>
      </c>
      <c r="Y88" s="31">
        <v>0</v>
      </c>
      <c r="Z88" s="31">
        <v>0</v>
      </c>
      <c r="AA88" s="31">
        <v>0</v>
      </c>
      <c r="AB88" s="31">
        <v>0</v>
      </c>
      <c r="AC88" s="31">
        <v>0</v>
      </c>
    </row>
    <row r="89" spans="1:88" s="52" customFormat="1">
      <c r="A89" s="768" t="s">
        <v>16</v>
      </c>
      <c r="B89" s="768"/>
      <c r="C89" s="100">
        <f>SUM(C81:C88)</f>
        <v>37181.287811015805</v>
      </c>
      <c r="D89" s="100">
        <f t="shared" ref="D89:AC89" si="78">SUM(D81:D88)</f>
        <v>538</v>
      </c>
      <c r="E89" s="100">
        <f>SUM(E81:E88)</f>
        <v>8175.0654789999999</v>
      </c>
      <c r="F89" s="100">
        <f t="shared" si="78"/>
        <v>1872</v>
      </c>
      <c r="G89" s="100">
        <f t="shared" si="78"/>
        <v>847</v>
      </c>
      <c r="H89" s="100">
        <f t="shared" si="78"/>
        <v>687</v>
      </c>
      <c r="I89" s="100">
        <f t="shared" si="78"/>
        <v>347</v>
      </c>
      <c r="J89" s="100">
        <f t="shared" si="78"/>
        <v>935</v>
      </c>
      <c r="K89" s="100">
        <f t="shared" si="78"/>
        <v>1665</v>
      </c>
      <c r="L89" s="100">
        <f t="shared" si="78"/>
        <v>672</v>
      </c>
      <c r="M89" s="100">
        <f t="shared" si="78"/>
        <v>802</v>
      </c>
      <c r="N89" s="100">
        <f t="shared" si="78"/>
        <v>1406</v>
      </c>
      <c r="O89" s="100">
        <f t="shared" si="78"/>
        <v>1184</v>
      </c>
      <c r="P89" s="100">
        <f t="shared" si="78"/>
        <v>1092</v>
      </c>
      <c r="Q89" s="100">
        <f t="shared" si="78"/>
        <v>4397</v>
      </c>
      <c r="R89" s="100">
        <f t="shared" si="78"/>
        <v>1314</v>
      </c>
      <c r="S89" s="100">
        <f t="shared" si="78"/>
        <v>1618</v>
      </c>
      <c r="T89" s="100">
        <f t="shared" si="78"/>
        <v>1536</v>
      </c>
      <c r="U89" s="100">
        <f t="shared" si="78"/>
        <v>1001</v>
      </c>
      <c r="V89" s="100">
        <f t="shared" si="78"/>
        <v>2129</v>
      </c>
      <c r="W89" s="100">
        <f t="shared" si="78"/>
        <v>290</v>
      </c>
      <c r="X89" s="100">
        <f t="shared" si="78"/>
        <v>1160</v>
      </c>
      <c r="Y89" s="100">
        <f t="shared" si="78"/>
        <v>670</v>
      </c>
      <c r="Z89" s="100">
        <f t="shared" si="78"/>
        <v>535</v>
      </c>
      <c r="AA89" s="100">
        <f t="shared" si="78"/>
        <v>621.67193675889337</v>
      </c>
      <c r="AB89" s="100">
        <f t="shared" si="78"/>
        <v>1182.550395256917</v>
      </c>
      <c r="AC89" s="100">
        <f t="shared" si="78"/>
        <v>505</v>
      </c>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row>
    <row r="90" spans="1:88">
      <c r="A90" s="108" t="s">
        <v>534</v>
      </c>
    </row>
    <row r="91" spans="1:88">
      <c r="A91" s="108"/>
    </row>
    <row r="92" spans="1:88">
      <c r="B92" s="8"/>
      <c r="D92" s="9"/>
    </row>
    <row r="93" spans="1:88">
      <c r="B93" s="8"/>
      <c r="E93" s="29"/>
    </row>
    <row r="94" spans="1:88" ht="15.5">
      <c r="A94" s="101" t="s">
        <v>535</v>
      </c>
    </row>
    <row r="95" spans="1:88">
      <c r="A95" s="81" t="s">
        <v>537</v>
      </c>
      <c r="B95" s="81" t="s">
        <v>538</v>
      </c>
      <c r="C95" s="80" t="str">
        <f>Regions!C3</f>
        <v>IE</v>
      </c>
      <c r="D95" s="80" t="str">
        <f>Regions!E3</f>
        <v>IE-CW</v>
      </c>
      <c r="E95" s="80" t="str">
        <f>Regions!F3</f>
        <v>IE-D</v>
      </c>
      <c r="F95" s="80" t="str">
        <f>Regions!G3</f>
        <v>IE-KE</v>
      </c>
      <c r="G95" s="80" t="str">
        <f>Regions!H3</f>
        <v>IE-KK</v>
      </c>
      <c r="H95" s="80" t="str">
        <f>Regions!I3</f>
        <v>IE-LS</v>
      </c>
      <c r="I95" s="80" t="str">
        <f>Regions!J3</f>
        <v>IE-LD</v>
      </c>
      <c r="J95" s="80" t="str">
        <f>Regions!K3</f>
        <v>IE-LH</v>
      </c>
      <c r="K95" s="80" t="str">
        <f>Regions!L3</f>
        <v>IE-MH</v>
      </c>
      <c r="L95" s="80" t="str">
        <f>Regions!M3</f>
        <v>IE-OY</v>
      </c>
      <c r="M95" s="80" t="str">
        <f>Regions!N3</f>
        <v>IE-WH</v>
      </c>
      <c r="N95" s="80" t="str">
        <f>Regions!O3</f>
        <v>IE-WX</v>
      </c>
      <c r="O95" s="80" t="str">
        <f>Regions!P3</f>
        <v>IE-WW</v>
      </c>
      <c r="P95" s="80" t="str">
        <f>Regions!Q3</f>
        <v>IE-CE</v>
      </c>
      <c r="Q95" s="80" t="str">
        <f>Regions!R3</f>
        <v>IE-CO</v>
      </c>
      <c r="R95" s="80" t="str">
        <f>Regions!S3</f>
        <v>IE-KY</v>
      </c>
      <c r="S95" s="80" t="str">
        <f>Regions!T3</f>
        <v>IE-LK</v>
      </c>
      <c r="T95" s="80" t="str">
        <f>Regions!U3</f>
        <v>IE-TA</v>
      </c>
      <c r="U95" s="80" t="str">
        <f>Regions!V3</f>
        <v>IE-WD</v>
      </c>
      <c r="V95" s="80" t="str">
        <f>Regions!W3</f>
        <v>IE-G</v>
      </c>
      <c r="W95" s="80" t="str">
        <f>Regions!X3</f>
        <v>IE-LM</v>
      </c>
      <c r="X95" s="80" t="str">
        <f>Regions!Y3</f>
        <v>IE-MO</v>
      </c>
      <c r="Y95" s="80" t="str">
        <f>Regions!Z3</f>
        <v>IE-RN</v>
      </c>
      <c r="Z95" s="80" t="str">
        <f>Regions!AA3</f>
        <v>IE-SO</v>
      </c>
      <c r="AA95" s="80" t="str">
        <f>Regions!AB3</f>
        <v>IE-CN</v>
      </c>
      <c r="AB95" s="80" t="str">
        <f>Regions!AC3</f>
        <v>IE-DL</v>
      </c>
      <c r="AC95" s="80" t="str">
        <f>Regions!AD3</f>
        <v>IE-MN</v>
      </c>
    </row>
    <row r="96" spans="1:88" ht="16.5">
      <c r="A96" t="s">
        <v>548</v>
      </c>
      <c r="B96" t="s">
        <v>332</v>
      </c>
      <c r="C96" s="148">
        <f>C89*B194*I194/H194</f>
        <v>4713.1209901287639</v>
      </c>
      <c r="D96" s="148">
        <f t="shared" ref="D96:AC96" si="79">$C$96*C139</f>
        <v>56.349225400134316</v>
      </c>
      <c r="E96" s="148">
        <f>$C$96*D139</f>
        <v>1333.5669919535535</v>
      </c>
      <c r="F96" s="148">
        <f t="shared" si="79"/>
        <v>220.22637617563907</v>
      </c>
      <c r="G96" s="148">
        <f t="shared" si="79"/>
        <v>98.216228744926028</v>
      </c>
      <c r="H96" s="148">
        <f t="shared" si="79"/>
        <v>83.830013765811429</v>
      </c>
      <c r="I96" s="148">
        <f t="shared" si="79"/>
        <v>40.454610584200275</v>
      </c>
      <c r="J96" s="148">
        <f t="shared" si="79"/>
        <v>127.56470116052328</v>
      </c>
      <c r="K96" s="148">
        <f t="shared" si="79"/>
        <v>193.04746573006037</v>
      </c>
      <c r="L96" s="148">
        <f t="shared" si="79"/>
        <v>77.162965668163267</v>
      </c>
      <c r="M96" s="148">
        <f t="shared" si="79"/>
        <v>87.861321203715363</v>
      </c>
      <c r="N96" s="148">
        <f t="shared" si="79"/>
        <v>148.18939656711356</v>
      </c>
      <c r="O96" s="148">
        <f t="shared" si="79"/>
        <v>140.96709104921888</v>
      </c>
      <c r="P96" s="148">
        <f t="shared" si="79"/>
        <v>117.60075026993182</v>
      </c>
      <c r="Q96" s="148">
        <f t="shared" si="79"/>
        <v>537.31102533759781</v>
      </c>
      <c r="R96" s="148">
        <f t="shared" si="79"/>
        <v>146.19502276711938</v>
      </c>
      <c r="S96" s="148">
        <f t="shared" si="79"/>
        <v>192.90394999755458</v>
      </c>
      <c r="T96" s="148">
        <f t="shared" si="79"/>
        <v>157.91976323100596</v>
      </c>
      <c r="U96" s="148">
        <f t="shared" si="79"/>
        <v>114.98678441098158</v>
      </c>
      <c r="V96" s="148">
        <f t="shared" si="79"/>
        <v>255.41643378605812</v>
      </c>
      <c r="W96" s="148">
        <f t="shared" si="79"/>
        <v>31.715987120106512</v>
      </c>
      <c r="X96" s="148">
        <f t="shared" si="79"/>
        <v>129.17108760091566</v>
      </c>
      <c r="Y96" s="148">
        <f t="shared" si="79"/>
        <v>63.883306474851913</v>
      </c>
      <c r="Z96" s="148">
        <f t="shared" si="79"/>
        <v>64.86416227425353</v>
      </c>
      <c r="AA96" s="148">
        <f t="shared" si="79"/>
        <v>75.396237512833409</v>
      </c>
      <c r="AB96" s="148">
        <f t="shared" si="79"/>
        <v>157.56245854525014</v>
      </c>
      <c r="AC96" s="148">
        <f t="shared" si="79"/>
        <v>60.757632797243112</v>
      </c>
    </row>
    <row r="97" spans="1:29">
      <c r="B97" t="s">
        <v>333</v>
      </c>
      <c r="C97" s="148">
        <f>C89*B194*K194/H194</f>
        <v>785.52016502146068</v>
      </c>
      <c r="D97" s="148">
        <f t="shared" ref="D97:AC97" si="80">$C$97*C139</f>
        <v>9.3915375666890526</v>
      </c>
      <c r="E97" s="148">
        <f t="shared" si="80"/>
        <v>222.26116532559226</v>
      </c>
      <c r="F97" s="148">
        <f t="shared" si="80"/>
        <v>36.704396029273184</v>
      </c>
      <c r="G97" s="148">
        <f t="shared" si="80"/>
        <v>16.36937145748767</v>
      </c>
      <c r="H97" s="148">
        <f t="shared" si="80"/>
        <v>13.971668960968572</v>
      </c>
      <c r="I97" s="148">
        <f t="shared" si="80"/>
        <v>6.7424350973667124</v>
      </c>
      <c r="J97" s="148">
        <f t="shared" si="80"/>
        <v>21.260783526753883</v>
      </c>
      <c r="K97" s="148">
        <f t="shared" si="80"/>
        <v>32.174577621676733</v>
      </c>
      <c r="L97" s="148">
        <f t="shared" si="80"/>
        <v>12.860494278027211</v>
      </c>
      <c r="M97" s="148">
        <f t="shared" si="80"/>
        <v>14.643553533952561</v>
      </c>
      <c r="N97" s="148">
        <f t="shared" si="80"/>
        <v>24.698232761185597</v>
      </c>
      <c r="O97" s="148">
        <f t="shared" si="80"/>
        <v>23.494515174869814</v>
      </c>
      <c r="P97" s="148">
        <f t="shared" si="80"/>
        <v>19.600125044988637</v>
      </c>
      <c r="Q97" s="148">
        <f t="shared" si="80"/>
        <v>89.551837556266307</v>
      </c>
      <c r="R97" s="148">
        <f t="shared" si="80"/>
        <v>24.365837127853229</v>
      </c>
      <c r="S97" s="148">
        <f t="shared" si="80"/>
        <v>32.150658332925765</v>
      </c>
      <c r="T97" s="148">
        <f t="shared" si="80"/>
        <v>26.319960538500993</v>
      </c>
      <c r="U97" s="148">
        <f t="shared" si="80"/>
        <v>19.164464068496933</v>
      </c>
      <c r="V97" s="148">
        <f t="shared" si="80"/>
        <v>42.569405631009687</v>
      </c>
      <c r="W97" s="148">
        <f t="shared" si="80"/>
        <v>5.2859978533510859</v>
      </c>
      <c r="X97" s="148">
        <f t="shared" si="80"/>
        <v>21.528514600152608</v>
      </c>
      <c r="Y97" s="148">
        <f t="shared" si="80"/>
        <v>10.647217745808652</v>
      </c>
      <c r="Z97" s="148">
        <f t="shared" si="80"/>
        <v>10.81069371237559</v>
      </c>
      <c r="AA97" s="148">
        <f t="shared" si="80"/>
        <v>12.566039585472234</v>
      </c>
      <c r="AB97" s="148">
        <f t="shared" si="80"/>
        <v>26.260409757541691</v>
      </c>
      <c r="AC97" s="148">
        <f t="shared" si="80"/>
        <v>10.126272132873853</v>
      </c>
    </row>
    <row r="98" spans="1:29" ht="16.5">
      <c r="A98" t="s">
        <v>549</v>
      </c>
      <c r="B98" t="s">
        <v>536</v>
      </c>
      <c r="C98" s="30">
        <f>C80*ACT2FLO!E52</f>
        <v>119.9</v>
      </c>
      <c r="D98" s="30">
        <f>D80*ACT2FLO!F52</f>
        <v>1.1000000000000001</v>
      </c>
      <c r="E98" s="30">
        <f>E80*ACT2FLO!G52</f>
        <v>37.400000000000006</v>
      </c>
      <c r="F98" s="30">
        <f>F80*ACT2FLO!H52</f>
        <v>6.6000000000000005</v>
      </c>
      <c r="G98" s="30">
        <f>G80*ACT2FLO!I52</f>
        <v>2.2000000000000002</v>
      </c>
      <c r="H98" s="30">
        <f>H80*ACT2FLO!J52</f>
        <v>1.1000000000000001</v>
      </c>
      <c r="I98" s="30">
        <f>I80*ACT2FLO!K52</f>
        <v>1.1000000000000001</v>
      </c>
      <c r="J98" s="30">
        <f>J80*ACT2FLO!L52</f>
        <v>2.2000000000000002</v>
      </c>
      <c r="K98" s="30">
        <f>K80*ACT2FLO!M52</f>
        <v>5.5</v>
      </c>
      <c r="L98" s="30">
        <f>L80*ACT2FLO!N52</f>
        <v>2.2000000000000002</v>
      </c>
      <c r="M98" s="30">
        <f>M80*ACT2FLO!O52</f>
        <v>2.2000000000000002</v>
      </c>
      <c r="N98" s="30">
        <f>N80*ACT2FLO!P52</f>
        <v>4.4000000000000004</v>
      </c>
      <c r="O98" s="30">
        <f>O80*ACT2FLO!Q52</f>
        <v>4.4000000000000004</v>
      </c>
      <c r="P98" s="30">
        <f>P80*ACT2FLO!R52</f>
        <v>3.3000000000000003</v>
      </c>
      <c r="Q98" s="30">
        <f>Q80*ACT2FLO!S52</f>
        <v>16.5</v>
      </c>
      <c r="R98" s="30">
        <f>R80*ACT2FLO!T52</f>
        <v>3.3000000000000003</v>
      </c>
      <c r="S98" s="30">
        <f>S80*ACT2FLO!U52</f>
        <v>4.4000000000000004</v>
      </c>
      <c r="T98" s="30">
        <f>T80*ACT2FLO!V52</f>
        <v>4.4000000000000004</v>
      </c>
      <c r="U98" s="30">
        <f>U80*ACT2FLO!W52</f>
        <v>3.3000000000000003</v>
      </c>
      <c r="V98" s="30">
        <f>V80*ACT2FLO!X52</f>
        <v>4.4000000000000004</v>
      </c>
      <c r="W98" s="30">
        <f>W80*ACT2FLO!Y52</f>
        <v>1.1000000000000001</v>
      </c>
      <c r="X98" s="30">
        <f>X80*ACT2FLO!Z52</f>
        <v>2.2000000000000002</v>
      </c>
      <c r="Y98" s="30">
        <f>Y80*ACT2FLO!AA52</f>
        <v>1.1000000000000001</v>
      </c>
      <c r="Z98" s="30">
        <f>Z80*ACT2FLO!AB52</f>
        <v>1.1000000000000001</v>
      </c>
      <c r="AA98" s="30">
        <f>AA80*ACT2FLO!AC52</f>
        <v>1.1000000000000001</v>
      </c>
      <c r="AB98" s="30">
        <f>AB80*ACT2FLO!AD52</f>
        <v>2.2000000000000002</v>
      </c>
      <c r="AC98" s="30">
        <f>AC80*ACT2FLO!AE52</f>
        <v>1.1000000000000001</v>
      </c>
    </row>
    <row r="99" spans="1:29" ht="16.5">
      <c r="A99" s="108" t="s">
        <v>550</v>
      </c>
      <c r="B99" s="108" t="s">
        <v>539</v>
      </c>
      <c r="C99" s="148">
        <f>C81*ACT2FLO!E53</f>
        <v>18107.051841077624</v>
      </c>
      <c r="D99" s="148">
        <f>D81*ACT2FLO!F53</f>
        <v>217.83368233333329</v>
      </c>
      <c r="E99" s="148">
        <f>E81*ACT2FLO!G53</f>
        <v>4923.638025342465</v>
      </c>
      <c r="F99" s="148">
        <f>F81*ACT2FLO!H53</f>
        <v>898.19093674429212</v>
      </c>
      <c r="G99" s="148">
        <f>G81*ACT2FLO!I53</f>
        <v>356.59075395662097</v>
      </c>
      <c r="H99" s="148">
        <f>H81*ACT2FLO!J53</f>
        <v>261.10201649543376</v>
      </c>
      <c r="I99" s="148">
        <f>I81*ACT2FLO!K53</f>
        <v>120.85293334931505</v>
      </c>
      <c r="J99" s="148">
        <f>J81*ACT2FLO!L53</f>
        <v>407.31914573287662</v>
      </c>
      <c r="K99" s="148">
        <f>K81*ACT2FLO!M53</f>
        <v>711.6894963904108</v>
      </c>
      <c r="L99" s="148">
        <f>L81*ACT2FLO!N53</f>
        <v>258.11799344977163</v>
      </c>
      <c r="M99" s="148">
        <f>M81*ACT2FLO!O53</f>
        <v>298.40230456620998</v>
      </c>
      <c r="N99" s="148">
        <f>N81*ACT2FLO!P53</f>
        <v>608.74070131506835</v>
      </c>
      <c r="O99" s="148">
        <f>O81*ACT2FLO!Q53</f>
        <v>657.97708156849308</v>
      </c>
      <c r="P99" s="148">
        <f>P81*ACT2FLO!R53</f>
        <v>510.26794080821912</v>
      </c>
      <c r="Q99" s="148">
        <f>Q81*ACT2FLO!S53</f>
        <v>2363.3462521643833</v>
      </c>
      <c r="R99" s="148">
        <f>R81*ACT2FLO!T53</f>
        <v>657.97708156849308</v>
      </c>
      <c r="S99" s="148">
        <f>S81*ACT2FLO!U53</f>
        <v>807.17823385159807</v>
      </c>
      <c r="T99" s="148">
        <f>T81*ACT2FLO!V53</f>
        <v>654.99305852283089</v>
      </c>
      <c r="U99" s="148">
        <f>U81*ACT2FLO!W53</f>
        <v>532.64811365068488</v>
      </c>
      <c r="V99" s="148">
        <f>V81*ACT2FLO!X53</f>
        <v>926.53915567808201</v>
      </c>
      <c r="W99" s="148">
        <f>W81*ACT2FLO!Y53</f>
        <v>107.42482964383559</v>
      </c>
      <c r="X99" s="148">
        <f>X81*ACT2FLO!Z53</f>
        <v>466.99960664611865</v>
      </c>
      <c r="Y99" s="148">
        <f>Y81*ACT2FLO!AA53</f>
        <v>274.53012020091319</v>
      </c>
      <c r="Z99" s="148">
        <f>Z81*ACT2FLO!AB53</f>
        <v>235.73782060730591</v>
      </c>
      <c r="AA99" s="148">
        <f>AA81*ACT2FLO!AC53</f>
        <v>223.80172842465751</v>
      </c>
      <c r="AB99" s="148">
        <f>AB81*ACT2FLO!AD53</f>
        <v>464.01558360045652</v>
      </c>
      <c r="AC99" s="148">
        <f>AC81*ACT2FLO!AE53</f>
        <v>161.13724446575341</v>
      </c>
    </row>
    <row r="100" spans="1:29">
      <c r="A100" s="108"/>
      <c r="B100" s="108" t="s">
        <v>540</v>
      </c>
      <c r="C100" s="148">
        <f>C82*ACT2FLO!E54</f>
        <v>34742.98032064383</v>
      </c>
      <c r="D100" s="148">
        <f>D82*ACT2FLO!F54</f>
        <v>563.98035563013684</v>
      </c>
      <c r="E100" s="148">
        <f>E82*ACT2FLO!G54</f>
        <v>6097.851093810501</v>
      </c>
      <c r="F100" s="148">
        <f>F82*ACT2FLO!H54</f>
        <v>1772.5096891232874</v>
      </c>
      <c r="G100" s="148">
        <f>G82*ACT2FLO!I54</f>
        <v>865.366683242009</v>
      </c>
      <c r="H100" s="148">
        <f>H82*ACT2FLO!J54</f>
        <v>734.06966923287655</v>
      </c>
      <c r="I100" s="148">
        <f>I82*ACT2FLO!K54</f>
        <v>381.9549498447488</v>
      </c>
      <c r="J100" s="148">
        <f>J82*ACT2FLO!L54</f>
        <v>920.57110958675787</v>
      </c>
      <c r="K100" s="148">
        <f>K82*ACT2FLO!M54</f>
        <v>1657.6248018652966</v>
      </c>
      <c r="L100" s="148">
        <f>L82*ACT2FLO!N54</f>
        <v>716.16553095890401</v>
      </c>
      <c r="M100" s="148">
        <f>M82*ACT2FLO!O54</f>
        <v>857.90662562785371</v>
      </c>
      <c r="N100" s="148">
        <f>N82*ACT2FLO!P54</f>
        <v>1436.8070964863011</v>
      </c>
      <c r="O100" s="148">
        <f>O82*ACT2FLO!Q54</f>
        <v>1041.424042936073</v>
      </c>
      <c r="P100" s="148">
        <f>P82*ACT2FLO!R54</f>
        <v>1071.2642733926939</v>
      </c>
      <c r="Q100" s="148">
        <f>Q82*ACT2FLO!S54</f>
        <v>3961.2905931164378</v>
      </c>
      <c r="R100" s="148">
        <f>R82*ACT2FLO!T54</f>
        <v>1229.4174948127852</v>
      </c>
      <c r="S100" s="148">
        <f>S82*ACT2FLO!U54</f>
        <v>1526.3277878561642</v>
      </c>
      <c r="T100" s="148">
        <f>T82*ACT2FLO!V54</f>
        <v>1586.0082487694062</v>
      </c>
      <c r="U100" s="148">
        <f>U82*ACT2FLO!W54</f>
        <v>919.07909806392684</v>
      </c>
      <c r="V100" s="148">
        <f>V82*ACT2FLO!X54</f>
        <v>2117.1643508972597</v>
      </c>
      <c r="W100" s="148">
        <f>W82*ACT2FLO!Y54</f>
        <v>314.81443131735153</v>
      </c>
      <c r="X100" s="148">
        <f>X82*ACT2FLO!Z54</f>
        <v>1215.9893911073057</v>
      </c>
      <c r="Y100" s="148">
        <f>Y82*ACT2FLO!AA54</f>
        <v>704.22943877625562</v>
      </c>
      <c r="Z100" s="148">
        <f>Z82*ACT2FLO!AB54</f>
        <v>540.10817126484005</v>
      </c>
      <c r="AA100" s="148">
        <f>AA82*ACT2FLO!AC54</f>
        <v>681.84926593378987</v>
      </c>
      <c r="AB100" s="148">
        <f>AB82*ACT2FLO!AD54</f>
        <v>1260.7497367922372</v>
      </c>
      <c r="AC100" s="148">
        <f>AC82*ACT2FLO!AE54</f>
        <v>568.45639019863006</v>
      </c>
    </row>
    <row r="101" spans="1:29">
      <c r="A101" s="108"/>
      <c r="B101" s="108" t="s">
        <v>541</v>
      </c>
      <c r="C101" s="148">
        <f>C83*ACT2FLO!E55</f>
        <v>828.06639517123278</v>
      </c>
      <c r="D101" s="148">
        <f>D83*ACT2FLO!F55</f>
        <v>7.4600576141552501</v>
      </c>
      <c r="E101" s="148">
        <f>E83*ACT2FLO!G55</f>
        <v>334.21058111415522</v>
      </c>
      <c r="F101" s="148">
        <f>F83*ACT2FLO!H55</f>
        <v>44.760345684931501</v>
      </c>
      <c r="G101" s="148">
        <f>G83*ACT2FLO!I55</f>
        <v>11.9360921826484</v>
      </c>
      <c r="H101" s="148">
        <f>H83*ACT2FLO!J55</f>
        <v>8.9520691369862995</v>
      </c>
      <c r="I101" s="148">
        <f>I83*ACT2FLO!K55</f>
        <v>4.4760345684931497</v>
      </c>
      <c r="J101" s="148">
        <f>J83*ACT2FLO!L55</f>
        <v>17.904138273972599</v>
      </c>
      <c r="K101" s="148">
        <f>K83*ACT2FLO!M55</f>
        <v>35.808276547945198</v>
      </c>
      <c r="L101" s="148">
        <f>L83*ACT2FLO!N55</f>
        <v>8.9520691369862995</v>
      </c>
      <c r="M101" s="148">
        <f>M83*ACT2FLO!O55</f>
        <v>14.9201152283105</v>
      </c>
      <c r="N101" s="148">
        <f>N83*ACT2FLO!P55</f>
        <v>20.888161319634701</v>
      </c>
      <c r="O101" s="148">
        <f>O83*ACT2FLO!Q55</f>
        <v>32.824253502283099</v>
      </c>
      <c r="P101" s="148">
        <f>P83*ACT2FLO!R55</f>
        <v>16.41212675114155</v>
      </c>
      <c r="Q101" s="148">
        <f>Q83*ACT2FLO!S55</f>
        <v>88.028679847031952</v>
      </c>
      <c r="R101" s="148">
        <f>R83*ACT2FLO!T55</f>
        <v>19.396149796803648</v>
      </c>
      <c r="S101" s="148">
        <f>S83*ACT2FLO!U55</f>
        <v>23.8721843652968</v>
      </c>
      <c r="T101" s="148">
        <f>T83*ACT2FLO!V55</f>
        <v>16.41212675114155</v>
      </c>
      <c r="U101" s="148">
        <f>U83*ACT2FLO!W55</f>
        <v>16.41212675114155</v>
      </c>
      <c r="V101" s="148">
        <f>V83*ACT2FLO!X55</f>
        <v>44.760345684931501</v>
      </c>
      <c r="W101" s="148">
        <f>W83*ACT2FLO!Y55</f>
        <v>2.9840230456621</v>
      </c>
      <c r="X101" s="148">
        <f>X83*ACT2FLO!Z55</f>
        <v>11.9360921826484</v>
      </c>
      <c r="Y101" s="148">
        <f>Y83*ACT2FLO!AA55</f>
        <v>7.4600576141552501</v>
      </c>
      <c r="Z101" s="148">
        <f>Z83*ACT2FLO!AB55</f>
        <v>7.4600576141552501</v>
      </c>
      <c r="AA101" s="148">
        <f>AA83*ACT2FLO!AC55</f>
        <v>8.9520691369862995</v>
      </c>
      <c r="AB101" s="148">
        <f>AB83*ACT2FLO!AD55</f>
        <v>16.41212675114155</v>
      </c>
      <c r="AC101" s="148">
        <f>AC83*ACT2FLO!AE55</f>
        <v>4.4760345684931497</v>
      </c>
    </row>
    <row r="102" spans="1:29">
      <c r="A102" s="108"/>
      <c r="B102" s="33" t="s">
        <v>556</v>
      </c>
      <c r="C102" s="148">
        <f>SUM(C99:C101)</f>
        <v>53678.098556892684</v>
      </c>
      <c r="D102" s="148">
        <f>SUM(D99:D101)</f>
        <v>789.27409557762542</v>
      </c>
      <c r="E102" s="148">
        <f>SUM(E99:E101)</f>
        <v>11355.699700267121</v>
      </c>
      <c r="F102" s="148">
        <f t="shared" ref="F102:AC102" si="81">SUM(F99:F101)</f>
        <v>2715.4609715525112</v>
      </c>
      <c r="G102" s="148">
        <f t="shared" si="81"/>
        <v>1233.8935293812785</v>
      </c>
      <c r="H102" s="148">
        <f t="shared" si="81"/>
        <v>1004.1237548652966</v>
      </c>
      <c r="I102" s="148">
        <f t="shared" si="81"/>
        <v>507.283917762557</v>
      </c>
      <c r="J102" s="148">
        <f t="shared" si="81"/>
        <v>1345.7943935936071</v>
      </c>
      <c r="K102" s="148">
        <f t="shared" si="81"/>
        <v>2405.1225748036527</v>
      </c>
      <c r="L102" s="148">
        <f t="shared" si="81"/>
        <v>983.23559354566203</v>
      </c>
      <c r="M102" s="148">
        <f t="shared" si="81"/>
        <v>1171.2290454223742</v>
      </c>
      <c r="N102" s="148">
        <f t="shared" si="81"/>
        <v>2066.4359591210041</v>
      </c>
      <c r="O102" s="148">
        <f t="shared" si="81"/>
        <v>1732.225378006849</v>
      </c>
      <c r="P102" s="148">
        <f t="shared" si="81"/>
        <v>1597.9443409520547</v>
      </c>
      <c r="Q102" s="148">
        <f t="shared" si="81"/>
        <v>6412.6655251278526</v>
      </c>
      <c r="R102" s="148">
        <f t="shared" si="81"/>
        <v>1906.790726178082</v>
      </c>
      <c r="S102" s="148">
        <f t="shared" si="81"/>
        <v>2357.3782060730591</v>
      </c>
      <c r="T102" s="148">
        <f t="shared" si="81"/>
        <v>2257.4134340433784</v>
      </c>
      <c r="U102" s="148">
        <f t="shared" si="81"/>
        <v>1468.1393384657533</v>
      </c>
      <c r="V102" s="148">
        <f t="shared" si="81"/>
        <v>3088.4638522602731</v>
      </c>
      <c r="W102" s="148">
        <f t="shared" si="81"/>
        <v>425.22328400684927</v>
      </c>
      <c r="X102" s="148">
        <f t="shared" si="81"/>
        <v>1694.9250899360729</v>
      </c>
      <c r="Y102" s="148">
        <f t="shared" si="81"/>
        <v>986.2196165913241</v>
      </c>
      <c r="Z102" s="148">
        <f t="shared" si="81"/>
        <v>783.30604948630128</v>
      </c>
      <c r="AA102" s="148">
        <f t="shared" ref="AA102" si="82">SUM(AA99:AA101)</f>
        <v>914.60306349543373</v>
      </c>
      <c r="AB102" s="148">
        <f t="shared" ref="AB102" si="83">SUM(AB99:AB101)</f>
        <v>1741.1774471438353</v>
      </c>
      <c r="AC102" s="148">
        <f t="shared" si="81"/>
        <v>734.06966923287655</v>
      </c>
    </row>
    <row r="103" spans="1:29" ht="16.5">
      <c r="A103" s="108" t="s">
        <v>551</v>
      </c>
      <c r="B103" s="108" t="s">
        <v>542</v>
      </c>
      <c r="C103" s="148">
        <f>C84*ACT2FLO!E62</f>
        <v>132.78902553196346</v>
      </c>
      <c r="D103" s="148">
        <f>D84*ACT2FLO!F62</f>
        <v>0</v>
      </c>
      <c r="E103" s="148">
        <f>E84*ACT2FLO!G62</f>
        <v>83.552645278538805</v>
      </c>
      <c r="F103" s="148">
        <f>F84*ACT2FLO!H62</f>
        <v>4.4760345684931497</v>
      </c>
      <c r="G103" s="148">
        <f>G84*ACT2FLO!I62</f>
        <v>0</v>
      </c>
      <c r="H103" s="148">
        <f>H84*ACT2FLO!J62</f>
        <v>0</v>
      </c>
      <c r="I103" s="148">
        <f>I84*ACT2FLO!K62</f>
        <v>0</v>
      </c>
      <c r="J103" s="148">
        <f>J84*ACT2FLO!L62</f>
        <v>2.9840230456621</v>
      </c>
      <c r="K103" s="148">
        <f>K84*ACT2FLO!M62</f>
        <v>5.9680460913241999</v>
      </c>
      <c r="L103" s="148">
        <f>L84*ACT2FLO!N62</f>
        <v>0</v>
      </c>
      <c r="M103" s="148">
        <f>M84*ACT2FLO!O62</f>
        <v>1.49201152283105</v>
      </c>
      <c r="N103" s="148">
        <f>N84*ACT2FLO!P62</f>
        <v>1.49201152283105</v>
      </c>
      <c r="O103" s="148">
        <f>O84*ACT2FLO!Q62</f>
        <v>1.49201152283105</v>
      </c>
      <c r="P103" s="148">
        <f>P84*ACT2FLO!R62</f>
        <v>2.9840230456621</v>
      </c>
      <c r="Q103" s="148">
        <f>Q84*ACT2FLO!S62</f>
        <v>8.9520691369862995</v>
      </c>
      <c r="R103" s="148">
        <f>R84*ACT2FLO!T62</f>
        <v>1.49201152283105</v>
      </c>
      <c r="S103" s="148">
        <f>S84*ACT2FLO!U62</f>
        <v>7.4600576141552501</v>
      </c>
      <c r="T103" s="148">
        <f>T84*ACT2FLO!V62</f>
        <v>0</v>
      </c>
      <c r="U103" s="148">
        <f>U84*ACT2FLO!W62</f>
        <v>1.49201152283105</v>
      </c>
      <c r="V103" s="148">
        <f>V84*ACT2FLO!X62</f>
        <v>5.9680460913241999</v>
      </c>
      <c r="W103" s="148">
        <f>W84*ACT2FLO!Y62</f>
        <v>0</v>
      </c>
      <c r="X103" s="148">
        <f>X84*ACT2FLO!Z62</f>
        <v>1.49201152283105</v>
      </c>
      <c r="Y103" s="148">
        <f>Y84*ACT2FLO!AA62</f>
        <v>0</v>
      </c>
      <c r="Z103" s="148">
        <f>Z84*ACT2FLO!AB62</f>
        <v>0</v>
      </c>
      <c r="AA103" s="148">
        <f>AA84*ACT2FLO!AC62</f>
        <v>0</v>
      </c>
      <c r="AB103" s="148">
        <f>AB84*ACT2FLO!AD62</f>
        <v>1.49201152283105</v>
      </c>
      <c r="AC103" s="148">
        <f>AC84*ACT2FLO!AE62</f>
        <v>0</v>
      </c>
    </row>
    <row r="104" spans="1:29">
      <c r="A104" s="108"/>
      <c r="B104" s="108" t="s">
        <v>543</v>
      </c>
      <c r="C104" s="148">
        <f>C85*ACT2FLO!E63</f>
        <v>1038.4400198904109</v>
      </c>
      <c r="D104" s="148">
        <f>D85*ACT2FLO!F63</f>
        <v>7.4600576141552501</v>
      </c>
      <c r="E104" s="148">
        <f>E85*ACT2FLO!G63</f>
        <v>493.85581405707757</v>
      </c>
      <c r="F104" s="148">
        <f>F85*ACT2FLO!H63</f>
        <v>44.760345684931501</v>
      </c>
      <c r="G104" s="148">
        <f>G85*ACT2FLO!I63</f>
        <v>13.428103705479449</v>
      </c>
      <c r="H104" s="148">
        <f>H85*ACT2FLO!J63</f>
        <v>11.9360921826484</v>
      </c>
      <c r="I104" s="148">
        <f>I85*ACT2FLO!K63</f>
        <v>5.9680460913241999</v>
      </c>
      <c r="J104" s="148">
        <f>J85*ACT2FLO!L63</f>
        <v>32.824253502283099</v>
      </c>
      <c r="K104" s="148">
        <f>K85*ACT2FLO!M63</f>
        <v>53.712414821917797</v>
      </c>
      <c r="L104" s="148">
        <f>L85*ACT2FLO!N63</f>
        <v>8.9520691369862995</v>
      </c>
      <c r="M104" s="148">
        <f>M85*ACT2FLO!O63</f>
        <v>16.41212675114155</v>
      </c>
      <c r="N104" s="148">
        <f>N85*ACT2FLO!P63</f>
        <v>14.9201152283105</v>
      </c>
      <c r="O104" s="148">
        <f>O85*ACT2FLO!Q63</f>
        <v>17.904138273972599</v>
      </c>
      <c r="P104" s="148">
        <f>P85*ACT2FLO!R63</f>
        <v>17.904138273972599</v>
      </c>
      <c r="Q104" s="148">
        <f>Q85*ACT2FLO!S63</f>
        <v>92.5047144155251</v>
      </c>
      <c r="R104" s="148">
        <f>R85*ACT2FLO!T63</f>
        <v>25.364195888127849</v>
      </c>
      <c r="S104" s="148">
        <f>S85*ACT2FLO!U63</f>
        <v>29.840230456621001</v>
      </c>
      <c r="T104" s="148">
        <f>T85*ACT2FLO!V63</f>
        <v>14.9201152283105</v>
      </c>
      <c r="U104" s="148">
        <f>U85*ACT2FLO!W63</f>
        <v>14.9201152283105</v>
      </c>
      <c r="V104" s="148">
        <f>V85*ACT2FLO!X63</f>
        <v>49.236380253424649</v>
      </c>
      <c r="W104" s="148">
        <f>W85*ACT2FLO!Y63</f>
        <v>4.4760345684931497</v>
      </c>
      <c r="X104" s="148">
        <f>X85*ACT2FLO!Z63</f>
        <v>14.9201152283105</v>
      </c>
      <c r="Y104" s="148">
        <f>Y85*ACT2FLO!AA63</f>
        <v>7.4600576141552501</v>
      </c>
      <c r="Z104" s="148">
        <f>Z85*ACT2FLO!AB63</f>
        <v>8.9520691369862995</v>
      </c>
      <c r="AA104" s="148">
        <f>AA85*ACT2FLO!AC63</f>
        <v>10.444080659817351</v>
      </c>
      <c r="AB104" s="148">
        <f>AB85*ACT2FLO!AD63</f>
        <v>20.888161319634701</v>
      </c>
      <c r="AC104" s="148">
        <f>AC85*ACT2FLO!AE63</f>
        <v>4.4760345684931497</v>
      </c>
    </row>
    <row r="105" spans="1:29">
      <c r="A105" s="108"/>
      <c r="B105" s="108" t="s">
        <v>544</v>
      </c>
      <c r="C105" s="148">
        <f>C86*ACT2FLO!E64</f>
        <v>82.060633755707755</v>
      </c>
      <c r="D105" s="148">
        <f>D86*ACT2FLO!F64</f>
        <v>0</v>
      </c>
      <c r="E105" s="148">
        <f>E86*ACT2FLO!G64</f>
        <v>64.156495481735149</v>
      </c>
      <c r="F105" s="148">
        <f>F86*ACT2FLO!H64</f>
        <v>2.9840230456621</v>
      </c>
      <c r="G105" s="148">
        <f>G86*ACT2FLO!I64</f>
        <v>0</v>
      </c>
      <c r="H105" s="148">
        <f>H86*ACT2FLO!J64</f>
        <v>1.49201152283105</v>
      </c>
      <c r="I105" s="148">
        <f>I86*ACT2FLO!K64</f>
        <v>0</v>
      </c>
      <c r="J105" s="148">
        <f>J86*ACT2FLO!L64</f>
        <v>1.49201152283105</v>
      </c>
      <c r="K105" s="148">
        <f>K86*ACT2FLO!M64</f>
        <v>2.9840230456621</v>
      </c>
      <c r="L105" s="148">
        <f>L86*ACT2FLO!N64</f>
        <v>0</v>
      </c>
      <c r="M105" s="148">
        <f>M86*ACT2FLO!O64</f>
        <v>0</v>
      </c>
      <c r="N105" s="148">
        <f>N86*ACT2FLO!P64</f>
        <v>0</v>
      </c>
      <c r="O105" s="148">
        <f>O86*ACT2FLO!Q64</f>
        <v>1.49201152283105</v>
      </c>
      <c r="P105" s="148">
        <f>P86*ACT2FLO!R64</f>
        <v>0</v>
      </c>
      <c r="Q105" s="148">
        <f>Q86*ACT2FLO!S64</f>
        <v>2.9840230456621</v>
      </c>
      <c r="R105" s="148">
        <f>R86*ACT2FLO!T64</f>
        <v>0</v>
      </c>
      <c r="S105" s="148">
        <f>S86*ACT2FLO!U64</f>
        <v>2.9840230456621</v>
      </c>
      <c r="T105" s="148">
        <f>T86*ACT2FLO!V64</f>
        <v>0</v>
      </c>
      <c r="U105" s="148">
        <f>U86*ACT2FLO!W64</f>
        <v>0</v>
      </c>
      <c r="V105" s="148">
        <f>V86*ACT2FLO!X64</f>
        <v>1.49201152283105</v>
      </c>
      <c r="W105" s="148">
        <f>W86*ACT2FLO!Y64</f>
        <v>0</v>
      </c>
      <c r="X105" s="148">
        <f>X86*ACT2FLO!Z64</f>
        <v>0</v>
      </c>
      <c r="Y105" s="148">
        <f>Y86*ACT2FLO!AA64</f>
        <v>0</v>
      </c>
      <c r="Z105" s="148">
        <f>Z86*ACT2FLO!AB64</f>
        <v>0</v>
      </c>
      <c r="AA105" s="148">
        <f>AA86*ACT2FLO!AC64</f>
        <v>0</v>
      </c>
      <c r="AB105" s="148">
        <f>AB86*ACT2FLO!AD64</f>
        <v>0</v>
      </c>
      <c r="AC105" s="148">
        <f>AC86*ACT2FLO!AE64</f>
        <v>0</v>
      </c>
    </row>
    <row r="106" spans="1:29">
      <c r="A106" s="108"/>
      <c r="B106" s="33" t="s">
        <v>557</v>
      </c>
      <c r="C106" s="148">
        <f>SUM(C103:C105)</f>
        <v>1253.2896791780822</v>
      </c>
      <c r="D106" s="148">
        <f t="shared" ref="D106:AC106" si="84">SUM(D103:D105)</f>
        <v>7.4600576141552501</v>
      </c>
      <c r="E106" s="148">
        <f t="shared" si="84"/>
        <v>641.56495481735158</v>
      </c>
      <c r="F106" s="148">
        <f t="shared" si="84"/>
        <v>52.220403299086747</v>
      </c>
      <c r="G106" s="148">
        <f t="shared" si="84"/>
        <v>13.428103705479449</v>
      </c>
      <c r="H106" s="148">
        <f t="shared" si="84"/>
        <v>13.428103705479449</v>
      </c>
      <c r="I106" s="148">
        <f t="shared" si="84"/>
        <v>5.9680460913241999</v>
      </c>
      <c r="J106" s="148">
        <f t="shared" si="84"/>
        <v>37.300288070776247</v>
      </c>
      <c r="K106" s="148">
        <f t="shared" si="84"/>
        <v>62.664483958904093</v>
      </c>
      <c r="L106" s="148">
        <f t="shared" si="84"/>
        <v>8.9520691369862995</v>
      </c>
      <c r="M106" s="148">
        <f t="shared" si="84"/>
        <v>17.904138273972599</v>
      </c>
      <c r="N106" s="148">
        <f t="shared" si="84"/>
        <v>16.41212675114155</v>
      </c>
      <c r="O106" s="148">
        <f t="shared" si="84"/>
        <v>20.888161319634698</v>
      </c>
      <c r="P106" s="148">
        <f t="shared" si="84"/>
        <v>20.888161319634698</v>
      </c>
      <c r="Q106" s="148">
        <f t="shared" si="84"/>
        <v>104.44080659817349</v>
      </c>
      <c r="R106" s="148">
        <f t="shared" si="84"/>
        <v>26.856207410958898</v>
      </c>
      <c r="S106" s="148">
        <f t="shared" si="84"/>
        <v>40.284311116438346</v>
      </c>
      <c r="T106" s="148">
        <f t="shared" si="84"/>
        <v>14.9201152283105</v>
      </c>
      <c r="U106" s="148">
        <f t="shared" si="84"/>
        <v>16.41212675114155</v>
      </c>
      <c r="V106" s="148">
        <f t="shared" si="84"/>
        <v>56.696437867579895</v>
      </c>
      <c r="W106" s="148">
        <f t="shared" si="84"/>
        <v>4.4760345684931497</v>
      </c>
      <c r="X106" s="148">
        <f t="shared" si="84"/>
        <v>16.41212675114155</v>
      </c>
      <c r="Y106" s="148">
        <f t="shared" si="84"/>
        <v>7.4600576141552501</v>
      </c>
      <c r="Z106" s="148">
        <f t="shared" si="84"/>
        <v>8.9520691369862995</v>
      </c>
      <c r="AA106" s="148">
        <f t="shared" si="84"/>
        <v>10.444080659817351</v>
      </c>
      <c r="AB106" s="148">
        <f t="shared" si="84"/>
        <v>22.38017284246575</v>
      </c>
      <c r="AC106" s="148">
        <f t="shared" si="84"/>
        <v>4.4760345684931497</v>
      </c>
    </row>
    <row r="107" spans="1:29" ht="16.5">
      <c r="A107" s="108" t="s">
        <v>531</v>
      </c>
      <c r="B107" s="108" t="s">
        <v>553</v>
      </c>
      <c r="C107" s="9">
        <f>C87*ACT2FLO!E65</f>
        <v>9816.0585474308318</v>
      </c>
      <c r="D107" s="9">
        <f>D87*ACT2FLO!F65</f>
        <v>109</v>
      </c>
      <c r="E107" s="9">
        <f>E87*ACT2FLO!G65</f>
        <v>3542.5</v>
      </c>
      <c r="F107" s="9">
        <f>F87*ACT2FLO!H65</f>
        <v>463.25</v>
      </c>
      <c r="G107" s="9">
        <f>G87*ACT2FLO!I65</f>
        <v>299.75</v>
      </c>
      <c r="H107" s="9">
        <f>H87*ACT2FLO!J65</f>
        <v>136.25</v>
      </c>
      <c r="I107" s="9">
        <f>I87*ACT2FLO!K65</f>
        <v>81.75</v>
      </c>
      <c r="J107" s="9">
        <f>J87*ACT2FLO!L65</f>
        <v>218</v>
      </c>
      <c r="K107" s="9">
        <f>K87*ACT2FLO!M65</f>
        <v>299.75</v>
      </c>
      <c r="L107" s="9">
        <f>L87*ACT2FLO!N65</f>
        <v>190.75</v>
      </c>
      <c r="M107" s="9">
        <f>M87*ACT2FLO!O65</f>
        <v>136.25</v>
      </c>
      <c r="N107" s="9">
        <f>N87*ACT2FLO!P65</f>
        <v>272.5</v>
      </c>
      <c r="O107" s="9">
        <f>O87*ACT2FLO!Q65</f>
        <v>245.25</v>
      </c>
      <c r="P107" s="9">
        <f>P87*ACT2FLO!R65</f>
        <v>190.75</v>
      </c>
      <c r="Q107" s="9">
        <f>Q87*ACT2FLO!S65</f>
        <v>790.25</v>
      </c>
      <c r="R107" s="9">
        <f>R87*ACT2FLO!T65</f>
        <v>490.5</v>
      </c>
      <c r="S107" s="9">
        <f>S87*ACT2FLO!U65</f>
        <v>299.75</v>
      </c>
      <c r="T107" s="9">
        <f>T87*ACT2FLO!V65</f>
        <v>354.25</v>
      </c>
      <c r="U107" s="9">
        <f>U87*ACT2FLO!W65</f>
        <v>163.5</v>
      </c>
      <c r="V107" s="9">
        <f>V87*ACT2FLO!X65</f>
        <v>572.25</v>
      </c>
      <c r="W107" s="9">
        <f>W87*ACT2FLO!Y65</f>
        <v>54.5</v>
      </c>
      <c r="X107" s="9">
        <f>X87*ACT2FLO!Z65</f>
        <v>354.25</v>
      </c>
      <c r="Y107" s="9">
        <f>Y87*ACT2FLO!AA65</f>
        <v>109</v>
      </c>
      <c r="Z107" s="9">
        <f>Z87*ACT2FLO!AB65</f>
        <v>109</v>
      </c>
      <c r="AA107" s="9">
        <f>AA87*ACT2FLO!AC65</f>
        <v>45.560276679842701</v>
      </c>
      <c r="AB107" s="9">
        <f>AB87*ACT2FLO!AD65</f>
        <v>14.998270750988439</v>
      </c>
      <c r="AC107" s="9">
        <f>AC87*ACT2FLO!AE65</f>
        <v>272.5</v>
      </c>
    </row>
    <row r="108" spans="1:29" ht="16.5">
      <c r="A108" s="108"/>
      <c r="B108" s="108" t="s">
        <v>554</v>
      </c>
      <c r="C108" s="9">
        <f>SUM(B127:C127)/1000000</f>
        <v>317.18623700000001</v>
      </c>
      <c r="D108" s="9">
        <f>C643*0</f>
        <v>0</v>
      </c>
      <c r="E108" s="9">
        <f>$C$108*1</f>
        <v>317.18623700000001</v>
      </c>
      <c r="F108" s="9">
        <f t="shared" ref="F108:AC108" si="85">E643*0</f>
        <v>0</v>
      </c>
      <c r="G108" s="9">
        <f t="shared" si="85"/>
        <v>0</v>
      </c>
      <c r="H108" s="9">
        <f>G643*0</f>
        <v>0</v>
      </c>
      <c r="I108" s="9">
        <f>H643*0</f>
        <v>0</v>
      </c>
      <c r="J108" s="9">
        <f>I643*0</f>
        <v>0</v>
      </c>
      <c r="K108" s="9">
        <f>J643*0</f>
        <v>0</v>
      </c>
      <c r="L108" s="9">
        <f>K643*0</f>
        <v>0</v>
      </c>
      <c r="M108" s="9">
        <f t="shared" si="85"/>
        <v>0</v>
      </c>
      <c r="N108" s="9">
        <f t="shared" si="85"/>
        <v>0</v>
      </c>
      <c r="O108" s="9">
        <f t="shared" si="85"/>
        <v>0</v>
      </c>
      <c r="P108" s="9">
        <f t="shared" si="85"/>
        <v>0</v>
      </c>
      <c r="Q108" s="9">
        <f t="shared" si="85"/>
        <v>0</v>
      </c>
      <c r="R108" s="9">
        <f t="shared" si="85"/>
        <v>0</v>
      </c>
      <c r="S108" s="9">
        <f t="shared" si="85"/>
        <v>0</v>
      </c>
      <c r="T108" s="9">
        <f t="shared" si="85"/>
        <v>0</v>
      </c>
      <c r="U108" s="9">
        <f t="shared" si="85"/>
        <v>0</v>
      </c>
      <c r="V108" s="9">
        <f t="shared" si="85"/>
        <v>0</v>
      </c>
      <c r="W108" s="9">
        <f t="shared" si="85"/>
        <v>0</v>
      </c>
      <c r="X108" s="9">
        <f t="shared" si="85"/>
        <v>0</v>
      </c>
      <c r="Y108" s="9">
        <f t="shared" si="85"/>
        <v>0</v>
      </c>
      <c r="Z108" s="9">
        <f t="shared" si="85"/>
        <v>0</v>
      </c>
      <c r="AA108" s="9">
        <f t="shared" si="85"/>
        <v>0</v>
      </c>
      <c r="AB108" s="9">
        <f t="shared" si="85"/>
        <v>0</v>
      </c>
      <c r="AC108" s="9">
        <f t="shared" si="85"/>
        <v>0</v>
      </c>
    </row>
    <row r="109" spans="1:29" ht="16.5">
      <c r="A109" s="108"/>
      <c r="B109" s="152" t="s">
        <v>571</v>
      </c>
      <c r="C109" s="9">
        <f>K126/1000</f>
        <v>2281.0830000000001</v>
      </c>
      <c r="D109" s="9">
        <f>$C$109*C139</f>
        <v>27.272217367775003</v>
      </c>
      <c r="E109" s="9">
        <f>$C$109*D139</f>
        <v>645.42730837539557</v>
      </c>
      <c r="F109" s="9">
        <f t="shared" ref="F109:AC109" si="86">$C$109*E139</f>
        <v>106.58640928123741</v>
      </c>
      <c r="G109" s="9">
        <f t="shared" si="86"/>
        <v>47.535246853071193</v>
      </c>
      <c r="H109" s="9">
        <f t="shared" si="86"/>
        <v>40.572525019293884</v>
      </c>
      <c r="I109" s="9">
        <f t="shared" si="86"/>
        <v>19.579451634811139</v>
      </c>
      <c r="J109" s="9">
        <f t="shared" si="86"/>
        <v>61.739486812834848</v>
      </c>
      <c r="K109" s="9">
        <f t="shared" si="86"/>
        <v>93.43220621584183</v>
      </c>
      <c r="L109" s="9">
        <f t="shared" si="86"/>
        <v>37.345769307403692</v>
      </c>
      <c r="M109" s="9">
        <f t="shared" si="86"/>
        <v>42.523620033327248</v>
      </c>
      <c r="N109" s="9">
        <f t="shared" si="86"/>
        <v>71.721543749350261</v>
      </c>
      <c r="O109" s="9">
        <f t="shared" si="86"/>
        <v>68.226051405279179</v>
      </c>
      <c r="P109" s="9">
        <f t="shared" si="86"/>
        <v>56.917077407906312</v>
      </c>
      <c r="Q109" s="9">
        <f t="shared" si="86"/>
        <v>260.0508342937062</v>
      </c>
      <c r="R109" s="9">
        <f t="shared" si="86"/>
        <v>70.756295418076704</v>
      </c>
      <c r="S109" s="9">
        <f t="shared" si="86"/>
        <v>93.362746658504534</v>
      </c>
      <c r="T109" s="9">
        <f t="shared" si="86"/>
        <v>76.430901736819465</v>
      </c>
      <c r="U109" s="9">
        <f t="shared" si="86"/>
        <v>55.651955401507564</v>
      </c>
      <c r="V109" s="9">
        <f t="shared" si="86"/>
        <v>123.6178927403443</v>
      </c>
      <c r="W109" s="9">
        <f t="shared" si="86"/>
        <v>15.35008314011421</v>
      </c>
      <c r="X109" s="9">
        <f t="shared" si="86"/>
        <v>62.516954823582736</v>
      </c>
      <c r="Y109" s="9">
        <f t="shared" si="86"/>
        <v>30.918604612268489</v>
      </c>
      <c r="Z109" s="9">
        <f t="shared" si="86"/>
        <v>31.393324759311717</v>
      </c>
      <c r="AA109" s="9">
        <f t="shared" si="86"/>
        <v>36.490698205009984</v>
      </c>
      <c r="AB109" s="9">
        <f t="shared" si="86"/>
        <v>76.257971390621051</v>
      </c>
      <c r="AC109" s="9">
        <f t="shared" si="86"/>
        <v>29.405823356605008</v>
      </c>
    </row>
    <row r="110" spans="1:29">
      <c r="A110" s="767" t="s">
        <v>16</v>
      </c>
      <c r="B110" s="767"/>
      <c r="C110" s="100">
        <f>SUM(C96:C109)-C102-C106</f>
        <v>72964.257175651815</v>
      </c>
      <c r="D110" s="100">
        <f t="shared" ref="D110:AC110" si="87">SUM(D96:D109)-D102-D106</f>
        <v>999.84713352637891</v>
      </c>
      <c r="E110" s="100">
        <f t="shared" si="87"/>
        <v>18095.606357739016</v>
      </c>
      <c r="F110" s="100">
        <f t="shared" si="87"/>
        <v>3601.0485563377479</v>
      </c>
      <c r="G110" s="100">
        <f t="shared" si="87"/>
        <v>1711.3924801422427</v>
      </c>
      <c r="H110" s="100">
        <f t="shared" si="87"/>
        <v>1293.2760663168494</v>
      </c>
      <c r="I110" s="100">
        <f t="shared" si="87"/>
        <v>662.87846117025913</v>
      </c>
      <c r="J110" s="100">
        <f t="shared" si="87"/>
        <v>1813.8596531644955</v>
      </c>
      <c r="K110" s="100">
        <f t="shared" si="87"/>
        <v>3091.6913083301361</v>
      </c>
      <c r="L110" s="100">
        <f t="shared" si="87"/>
        <v>1312.506891936242</v>
      </c>
      <c r="M110" s="100">
        <f t="shared" si="87"/>
        <v>1472.6116784673418</v>
      </c>
      <c r="N110" s="100">
        <f t="shared" si="87"/>
        <v>2604.3572589497958</v>
      </c>
      <c r="O110" s="100">
        <f t="shared" si="87"/>
        <v>2235.4511969558516</v>
      </c>
      <c r="P110" s="100">
        <f t="shared" si="87"/>
        <v>2007.0004549945156</v>
      </c>
      <c r="Q110" s="100">
        <f t="shared" si="87"/>
        <v>8210.7700289135973</v>
      </c>
      <c r="R110" s="100">
        <f t="shared" si="87"/>
        <v>2668.7640889020909</v>
      </c>
      <c r="S110" s="100">
        <f t="shared" si="87"/>
        <v>3020.2298721784828</v>
      </c>
      <c r="T110" s="100">
        <f t="shared" si="87"/>
        <v>2891.6541747780157</v>
      </c>
      <c r="U110" s="100">
        <f t="shared" si="87"/>
        <v>1841.1546690978807</v>
      </c>
      <c r="V110" s="100">
        <f t="shared" si="87"/>
        <v>4143.4140222852657</v>
      </c>
      <c r="W110" s="100">
        <f t="shared" si="87"/>
        <v>537.65138668891404</v>
      </c>
      <c r="X110" s="100">
        <f t="shared" si="87"/>
        <v>2281.0037737118651</v>
      </c>
      <c r="Y110" s="100">
        <f t="shared" si="87"/>
        <v>1209.2288030384084</v>
      </c>
      <c r="Z110" s="100">
        <f t="shared" si="87"/>
        <v>1009.4262993692282</v>
      </c>
      <c r="AA110" s="100">
        <f t="shared" si="87"/>
        <v>1096.1603961384094</v>
      </c>
      <c r="AB110" s="100">
        <f t="shared" si="87"/>
        <v>2040.8367304307019</v>
      </c>
      <c r="AC110" s="100">
        <f t="shared" si="87"/>
        <v>1112.4354320880916</v>
      </c>
    </row>
    <row r="111" spans="1:29">
      <c r="A111" s="108" t="s">
        <v>547</v>
      </c>
      <c r="B111" s="149"/>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c r="AA111" s="150"/>
      <c r="AB111" s="150"/>
      <c r="AC111" s="150"/>
    </row>
    <row r="112" spans="1:29">
      <c r="A112" s="108" t="s">
        <v>552</v>
      </c>
      <c r="B112" s="149"/>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c r="AA112" s="150"/>
      <c r="AB112" s="150"/>
      <c r="AC112" s="150"/>
    </row>
    <row r="113" spans="1:29">
      <c r="A113" s="108" t="s">
        <v>570</v>
      </c>
      <c r="B113" s="149"/>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c r="AA113" s="150"/>
      <c r="AB113" s="150"/>
      <c r="AC113" s="150"/>
    </row>
    <row r="114" spans="1:29">
      <c r="A114" s="152" t="s">
        <v>555</v>
      </c>
      <c r="B114" s="149"/>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c r="AA114" s="150"/>
      <c r="AB114" s="150"/>
      <c r="AC114" s="150"/>
    </row>
    <row r="115" spans="1:29">
      <c r="A115" s="152"/>
      <c r="B115" s="149"/>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c r="AA115" s="150"/>
      <c r="AB115" s="150"/>
      <c r="AC115" s="150"/>
    </row>
    <row r="116" spans="1:29">
      <c r="A116" s="108"/>
      <c r="B116" s="149"/>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c r="AA116" s="150"/>
      <c r="AB116" s="150"/>
      <c r="AC116" s="150"/>
    </row>
    <row r="117" spans="1:29" s="52" customFormat="1">
      <c r="A117" s="108"/>
      <c r="B117" s="138"/>
      <c r="C117" s="138"/>
      <c r="D117" s="138"/>
      <c r="E117" s="138"/>
      <c r="F117" s="138"/>
      <c r="G117" s="138"/>
      <c r="H117" s="138"/>
      <c r="I117" s="138"/>
      <c r="J117" s="138"/>
      <c r="K117" s="138"/>
      <c r="L117" s="138"/>
      <c r="M117" s="138"/>
      <c r="Z117" s="138"/>
      <c r="AA117" s="138"/>
      <c r="AB117" s="138"/>
    </row>
    <row r="118" spans="1:29" s="52" customFormat="1" ht="15.5">
      <c r="A118" s="101" t="s">
        <v>309</v>
      </c>
      <c r="B118" s="101"/>
      <c r="C118" s="101"/>
      <c r="D118" s="138"/>
      <c r="E118" s="138"/>
      <c r="F118" s="138"/>
      <c r="G118" s="101" t="s">
        <v>546</v>
      </c>
      <c r="H118" s="85"/>
      <c r="I118" s="85"/>
      <c r="J118" s="85"/>
      <c r="K118" s="137" t="s">
        <v>25</v>
      </c>
      <c r="Z118" s="138"/>
      <c r="AA118" s="138"/>
      <c r="AB118" s="138"/>
    </row>
    <row r="119" spans="1:29" s="52" customFormat="1">
      <c r="A119" s="157"/>
      <c r="B119" s="174" t="s">
        <v>29</v>
      </c>
      <c r="C119" s="175" t="s">
        <v>30</v>
      </c>
      <c r="D119" s="138"/>
      <c r="E119" s="138"/>
      <c r="F119" s="138"/>
      <c r="G119" s="158"/>
      <c r="H119" s="158">
        <v>2015</v>
      </c>
      <c r="I119" s="158">
        <v>2016</v>
      </c>
      <c r="J119" s="158">
        <v>2017</v>
      </c>
      <c r="K119" s="158">
        <v>2018</v>
      </c>
      <c r="M119" s="17"/>
      <c r="Z119" s="138"/>
      <c r="AA119" s="138"/>
      <c r="AB119" s="138"/>
    </row>
    <row r="120" spans="1:29" s="52" customFormat="1">
      <c r="A120" s="78" t="s">
        <v>523</v>
      </c>
      <c r="B120" s="159" t="s">
        <v>522</v>
      </c>
      <c r="C120" s="160" t="s">
        <v>521</v>
      </c>
      <c r="D120" s="138"/>
      <c r="E120" s="138"/>
      <c r="F120" s="138"/>
      <c r="G120" s="78" t="s">
        <v>21</v>
      </c>
      <c r="H120" s="83"/>
      <c r="I120" s="83"/>
      <c r="J120" s="83"/>
      <c r="K120" s="83"/>
      <c r="Z120" s="138"/>
      <c r="AA120" s="138"/>
      <c r="AB120" s="138"/>
    </row>
    <row r="121" spans="1:29" s="52" customFormat="1">
      <c r="A121" s="78" t="s">
        <v>520</v>
      </c>
      <c r="B121" s="160" t="s">
        <v>519</v>
      </c>
      <c r="C121" s="160" t="s">
        <v>518</v>
      </c>
      <c r="D121" s="138"/>
      <c r="E121" s="138"/>
      <c r="F121" s="138"/>
      <c r="G121" s="161" t="s">
        <v>37</v>
      </c>
      <c r="H121" s="162">
        <v>10490</v>
      </c>
      <c r="I121" s="162">
        <v>10771.652254326058</v>
      </c>
      <c r="J121" s="162">
        <v>11557.033844917567</v>
      </c>
      <c r="K121" s="162">
        <v>12438</v>
      </c>
      <c r="Z121" s="138"/>
      <c r="AA121" s="138"/>
      <c r="AB121" s="138"/>
    </row>
    <row r="122" spans="1:29" s="52" customFormat="1">
      <c r="A122" s="78" t="s">
        <v>31</v>
      </c>
      <c r="B122" s="160">
        <v>40</v>
      </c>
      <c r="C122" s="160">
        <v>33</v>
      </c>
      <c r="D122" s="138"/>
      <c r="E122" s="138"/>
      <c r="F122" s="138"/>
      <c r="G122" s="161" t="s">
        <v>38</v>
      </c>
      <c r="H122" s="162">
        <v>10962</v>
      </c>
      <c r="I122" s="162">
        <v>11953.521212477279</v>
      </c>
      <c r="J122" s="162">
        <v>12695.598551411398</v>
      </c>
      <c r="K122" s="162">
        <v>13299</v>
      </c>
      <c r="Z122" s="138"/>
      <c r="AA122" s="138"/>
      <c r="AB122" s="138"/>
    </row>
    <row r="123" spans="1:29" s="52" customFormat="1">
      <c r="A123" s="78" t="s">
        <v>517</v>
      </c>
      <c r="B123" s="160" t="s">
        <v>516</v>
      </c>
      <c r="C123" s="160" t="s">
        <v>515</v>
      </c>
      <c r="D123" s="138"/>
      <c r="E123" s="138"/>
      <c r="F123" s="138"/>
      <c r="G123" s="161" t="s">
        <v>39</v>
      </c>
      <c r="H123" s="162">
        <v>17150</v>
      </c>
      <c r="I123" s="162">
        <v>18986.617545944344</v>
      </c>
      <c r="J123" s="162">
        <v>20077.245353236714</v>
      </c>
      <c r="K123" s="162">
        <v>20934</v>
      </c>
      <c r="Z123" s="138"/>
      <c r="AA123" s="138"/>
      <c r="AB123" s="138"/>
    </row>
    <row r="124" spans="1:29" s="52" customFormat="1">
      <c r="A124" s="78" t="s">
        <v>32</v>
      </c>
      <c r="B124" s="160">
        <v>262</v>
      </c>
      <c r="C124" s="160" t="s">
        <v>514</v>
      </c>
      <c r="D124" s="138"/>
      <c r="E124" s="138"/>
      <c r="F124" s="138"/>
      <c r="G124" s="161" t="s">
        <v>40</v>
      </c>
      <c r="H124" s="162">
        <v>1058</v>
      </c>
      <c r="I124" s="162">
        <v>1102.8053175033033</v>
      </c>
      <c r="J124" s="162">
        <v>1175.0163992303337</v>
      </c>
      <c r="K124" s="162">
        <v>1290</v>
      </c>
      <c r="Z124" s="138"/>
      <c r="AA124" s="138"/>
      <c r="AB124" s="138"/>
    </row>
    <row r="125" spans="1:29" s="52" customFormat="1">
      <c r="A125" s="78" t="s">
        <v>33</v>
      </c>
      <c r="B125" s="163">
        <v>21837268</v>
      </c>
      <c r="C125" s="163">
        <v>19999700</v>
      </c>
      <c r="D125" s="138"/>
      <c r="E125" s="138"/>
      <c r="F125" s="138"/>
      <c r="G125" s="78" t="s">
        <v>1</v>
      </c>
      <c r="H125" s="162">
        <v>39660</v>
      </c>
      <c r="I125" s="162">
        <v>42815</v>
      </c>
      <c r="J125" s="162">
        <v>45505</v>
      </c>
      <c r="K125" s="162">
        <v>47960</v>
      </c>
      <c r="Z125" s="138"/>
      <c r="AA125" s="138"/>
      <c r="AB125" s="138"/>
    </row>
    <row r="126" spans="1:29" s="52" customFormat="1">
      <c r="A126" s="78" t="s">
        <v>26</v>
      </c>
      <c r="B126" s="163">
        <v>2119703</v>
      </c>
      <c r="C126" s="163">
        <v>1945776</v>
      </c>
      <c r="D126" s="138"/>
      <c r="E126" s="138"/>
      <c r="F126" s="138"/>
      <c r="G126" s="78" t="s">
        <v>34</v>
      </c>
      <c r="H126" s="162">
        <v>1916722</v>
      </c>
      <c r="I126" s="162">
        <v>1989798</v>
      </c>
      <c r="J126" s="162">
        <v>2120987</v>
      </c>
      <c r="K126" s="162">
        <v>2281083</v>
      </c>
      <c r="Z126" s="138"/>
      <c r="AA126" s="138"/>
      <c r="AB126" s="138"/>
    </row>
    <row r="127" spans="1:29" s="52" customFormat="1">
      <c r="A127" s="78" t="s">
        <v>34</v>
      </c>
      <c r="B127" s="164">
        <v>112040329</v>
      </c>
      <c r="C127" s="165">
        <v>205145908</v>
      </c>
      <c r="D127" s="138"/>
      <c r="E127" s="138"/>
      <c r="F127" s="138"/>
      <c r="G127" s="78" t="s">
        <v>41</v>
      </c>
      <c r="H127" s="162">
        <v>540</v>
      </c>
      <c r="I127" s="162">
        <v>581</v>
      </c>
      <c r="J127" s="162">
        <v>546</v>
      </c>
      <c r="K127" s="162">
        <v>516</v>
      </c>
      <c r="Z127" s="138"/>
      <c r="AA127" s="138"/>
      <c r="AB127" s="138"/>
    </row>
    <row r="128" spans="1:29" s="52" customFormat="1">
      <c r="A128" s="78" t="s">
        <v>568</v>
      </c>
      <c r="B128" s="166">
        <f>B127/(B127+C127)</f>
        <v>0.35323200041620972</v>
      </c>
      <c r="C128" s="167">
        <f>C127/(B127+C127)</f>
        <v>0.64676799958379028</v>
      </c>
      <c r="D128" s="138"/>
      <c r="E128" s="138"/>
      <c r="F128" s="138"/>
      <c r="G128" s="168" t="s">
        <v>42</v>
      </c>
      <c r="H128" s="169">
        <v>96406</v>
      </c>
      <c r="I128" s="169">
        <v>101480</v>
      </c>
      <c r="J128" s="169">
        <v>100399</v>
      </c>
      <c r="K128" s="169">
        <v>88551</v>
      </c>
      <c r="Z128" s="138"/>
      <c r="AA128" s="138"/>
      <c r="AB128" s="138"/>
    </row>
    <row r="129" spans="1:29" s="52" customFormat="1">
      <c r="A129" s="78" t="s">
        <v>110</v>
      </c>
      <c r="B129" s="170">
        <v>4.45</v>
      </c>
      <c r="C129" s="171">
        <v>8.1</v>
      </c>
      <c r="D129" s="255"/>
      <c r="E129" s="138"/>
      <c r="F129" s="138"/>
      <c r="G129" s="78" t="s">
        <v>752</v>
      </c>
      <c r="H129" s="78"/>
      <c r="I129" s="78"/>
      <c r="J129" s="78"/>
      <c r="Z129" s="138"/>
      <c r="AA129" s="138"/>
      <c r="AB129" s="138"/>
    </row>
    <row r="130" spans="1:29" s="52" customFormat="1">
      <c r="A130" s="78" t="s">
        <v>35</v>
      </c>
      <c r="B130" s="160">
        <v>7</v>
      </c>
      <c r="C130" s="160">
        <v>7</v>
      </c>
      <c r="D130" s="138"/>
      <c r="E130" s="138"/>
      <c r="F130" s="138"/>
      <c r="G130" s="769"/>
      <c r="H130" s="769"/>
      <c r="I130" s="172"/>
      <c r="J130" s="172"/>
      <c r="Z130" s="138"/>
      <c r="AA130" s="138"/>
      <c r="AB130" s="138"/>
    </row>
    <row r="131" spans="1:29" s="52" customFormat="1">
      <c r="A131" s="168" t="s">
        <v>36</v>
      </c>
      <c r="B131" s="173">
        <v>0.97050000000000003</v>
      </c>
      <c r="C131" s="173">
        <v>0.97640000000000005</v>
      </c>
      <c r="D131" s="138"/>
      <c r="E131" s="138"/>
      <c r="F131" s="138"/>
      <c r="G131" s="769"/>
      <c r="H131" s="769"/>
      <c r="I131" s="172"/>
      <c r="J131" s="172"/>
      <c r="Z131" s="138"/>
      <c r="AA131" s="138"/>
      <c r="AB131" s="138"/>
    </row>
    <row r="132" spans="1:29" s="52" customFormat="1">
      <c r="A132" s="172" t="s">
        <v>569</v>
      </c>
      <c r="B132" s="172"/>
      <c r="C132" s="172"/>
      <c r="D132" s="138"/>
      <c r="E132" s="138"/>
      <c r="F132" s="138"/>
      <c r="G132" s="78"/>
      <c r="H132" s="78"/>
      <c r="I132" s="78"/>
      <c r="J132" s="78"/>
      <c r="K132" s="78"/>
      <c r="Z132" s="138"/>
      <c r="AA132" s="138"/>
      <c r="AB132" s="138"/>
    </row>
    <row r="133" spans="1:29" s="52" customFormat="1">
      <c r="A133" s="172"/>
      <c r="B133" s="172"/>
      <c r="C133" s="172"/>
      <c r="D133" s="138"/>
      <c r="E133" s="138"/>
      <c r="F133" s="138"/>
      <c r="G133" s="78"/>
      <c r="H133" s="78"/>
      <c r="I133" s="78"/>
      <c r="J133" s="78"/>
      <c r="K133" s="78"/>
      <c r="Z133" s="138"/>
      <c r="AA133" s="138"/>
      <c r="AB133" s="138"/>
    </row>
    <row r="134" spans="1:29" s="52" customFormat="1">
      <c r="A134" s="156"/>
      <c r="B134"/>
      <c r="C134"/>
      <c r="D134" s="138"/>
      <c r="E134" s="138"/>
      <c r="F134" s="138"/>
      <c r="Z134" s="138"/>
      <c r="AA134" s="138"/>
      <c r="AB134" s="138"/>
    </row>
    <row r="136" spans="1:29" ht="15.5">
      <c r="A136" s="101" t="s">
        <v>404</v>
      </c>
    </row>
    <row r="137" spans="1:29">
      <c r="A137" s="80"/>
      <c r="B137" s="80" t="str">
        <f>Regions!C3</f>
        <v>IE</v>
      </c>
      <c r="C137" s="80" t="str">
        <f>Regions!E3</f>
        <v>IE-CW</v>
      </c>
      <c r="D137" s="80" t="str">
        <f>Regions!F3</f>
        <v>IE-D</v>
      </c>
      <c r="E137" s="80" t="str">
        <f>Regions!G3</f>
        <v>IE-KE</v>
      </c>
      <c r="F137" s="80" t="str">
        <f>Regions!H3</f>
        <v>IE-KK</v>
      </c>
      <c r="G137" s="80" t="str">
        <f>Regions!I3</f>
        <v>IE-LS</v>
      </c>
      <c r="H137" s="80" t="str">
        <f>Regions!J3</f>
        <v>IE-LD</v>
      </c>
      <c r="I137" s="80" t="str">
        <f>Regions!K3</f>
        <v>IE-LH</v>
      </c>
      <c r="J137" s="80" t="str">
        <f>Regions!L3</f>
        <v>IE-MH</v>
      </c>
      <c r="K137" s="80" t="str">
        <f>Regions!M3</f>
        <v>IE-OY</v>
      </c>
      <c r="L137" s="80" t="str">
        <f>Regions!N3</f>
        <v>IE-WH</v>
      </c>
      <c r="M137" s="80" t="str">
        <f>Regions!O3</f>
        <v>IE-WX</v>
      </c>
      <c r="N137" s="80" t="str">
        <f>Regions!P3</f>
        <v>IE-WW</v>
      </c>
      <c r="O137" s="80" t="str">
        <f>Regions!Q3</f>
        <v>IE-CE</v>
      </c>
      <c r="P137" s="80" t="str">
        <f>Regions!R3</f>
        <v>IE-CO</v>
      </c>
      <c r="Q137" s="80" t="str">
        <f>Regions!S3</f>
        <v>IE-KY</v>
      </c>
      <c r="R137" s="80" t="str">
        <f>Regions!T3</f>
        <v>IE-LK</v>
      </c>
      <c r="S137" s="80" t="str">
        <f>Regions!U3</f>
        <v>IE-TA</v>
      </c>
      <c r="T137" s="80" t="str">
        <f>Regions!V3</f>
        <v>IE-WD</v>
      </c>
      <c r="U137" s="80" t="str">
        <f>Regions!W3</f>
        <v>IE-G</v>
      </c>
      <c r="V137" s="80" t="str">
        <f>Regions!X3</f>
        <v>IE-LM</v>
      </c>
      <c r="W137" s="80" t="str">
        <f>Regions!Y3</f>
        <v>IE-MO</v>
      </c>
      <c r="X137" s="80" t="str">
        <f>Regions!Z3</f>
        <v>IE-RN</v>
      </c>
      <c r="Y137" s="80" t="str">
        <f>Regions!AA3</f>
        <v>IE-SO</v>
      </c>
      <c r="Z137" s="80" t="str">
        <f>Regions!AB3</f>
        <v>IE-CN</v>
      </c>
      <c r="AA137" s="80" t="str">
        <f>Regions!AC3</f>
        <v>IE-DL</v>
      </c>
      <c r="AB137" s="80" t="str">
        <f>Regions!AD3</f>
        <v>IE-MN</v>
      </c>
      <c r="AC137" t="s">
        <v>372</v>
      </c>
    </row>
    <row r="138" spans="1:29">
      <c r="A138" s="103" t="s">
        <v>370</v>
      </c>
      <c r="B138" s="96">
        <f>SUM(C138:AB138)</f>
        <v>4857000.0000000037</v>
      </c>
      <c r="C138" s="96">
        <v>58069.41691963128</v>
      </c>
      <c r="D138" s="96">
        <v>1374277.23444491</v>
      </c>
      <c r="E138" s="96">
        <v>226949.29990665423</v>
      </c>
      <c r="F138" s="96">
        <v>101214.50818114332</v>
      </c>
      <c r="G138" s="96">
        <v>86389.120439155668</v>
      </c>
      <c r="H138" s="96">
        <v>41689.581918009018</v>
      </c>
      <c r="I138" s="96">
        <v>131458.91116190821</v>
      </c>
      <c r="J138" s="96">
        <v>198940.68983476012</v>
      </c>
      <c r="K138" s="96">
        <v>79518.545149851998</v>
      </c>
      <c r="L138" s="96">
        <v>90543.492938166033</v>
      </c>
      <c r="M138" s="96">
        <v>152713.2234954162</v>
      </c>
      <c r="N138" s="96">
        <v>145270.44025817615</v>
      </c>
      <c r="O138" s="96">
        <v>121190.78743307506</v>
      </c>
      <c r="P138" s="96">
        <v>553713.69746937393</v>
      </c>
      <c r="Q138" s="96">
        <v>150657.96678402266</v>
      </c>
      <c r="R138" s="96">
        <v>198792.79294982113</v>
      </c>
      <c r="S138" s="96">
        <v>162740.63229427967</v>
      </c>
      <c r="T138" s="96">
        <v>118497.02417015182</v>
      </c>
      <c r="U138" s="96">
        <v>263213.61609369441</v>
      </c>
      <c r="V138" s="96">
        <v>32684.191592999803</v>
      </c>
      <c r="W138" s="96">
        <v>133114.33629470808</v>
      </c>
      <c r="X138" s="96">
        <v>65833.493389669806</v>
      </c>
      <c r="Y138" s="96">
        <v>66844.292099839033</v>
      </c>
      <c r="Z138" s="96">
        <v>77697.883497327202</v>
      </c>
      <c r="AA138" s="96">
        <v>162372.42004970741</v>
      </c>
      <c r="AB138" s="96">
        <v>62612.401233550299</v>
      </c>
      <c r="AC138">
        <f>SUM(C138:AB138)</f>
        <v>4857000.0000000037</v>
      </c>
    </row>
    <row r="139" spans="1:29">
      <c r="A139" s="97" t="s">
        <v>373</v>
      </c>
      <c r="B139" s="151">
        <f>SUM(C139:AB139)</f>
        <v>0.99999999999999956</v>
      </c>
      <c r="C139" s="97">
        <f t="shared" ref="C139:AB139" si="88">C138/$AC$138</f>
        <v>1.1955819831095581E-2</v>
      </c>
      <c r="D139" s="97">
        <f t="shared" si="88"/>
        <v>0.28294775261373462</v>
      </c>
      <c r="E139" s="97">
        <f t="shared" si="88"/>
        <v>4.6726230164021831E-2</v>
      </c>
      <c r="F139" s="97">
        <f t="shared" si="88"/>
        <v>2.0838894004764925E-2</v>
      </c>
      <c r="G139" s="97">
        <f t="shared" si="88"/>
        <v>1.7786518517429607E-2</v>
      </c>
      <c r="H139" s="97">
        <f t="shared" si="88"/>
        <v>8.5834016714039507E-3</v>
      </c>
      <c r="I139" s="97">
        <f t="shared" si="88"/>
        <v>2.7065865999981082E-2</v>
      </c>
      <c r="J139" s="97">
        <f t="shared" si="88"/>
        <v>4.0959582012509772E-2</v>
      </c>
      <c r="K139" s="97">
        <f t="shared" si="88"/>
        <v>1.6371946705754981E-2</v>
      </c>
      <c r="L139" s="97">
        <f t="shared" si="88"/>
        <v>1.8641855659494742E-2</v>
      </c>
      <c r="M139" s="97">
        <f t="shared" si="88"/>
        <v>3.1441882539719183E-2</v>
      </c>
      <c r="N139" s="97">
        <f t="shared" si="88"/>
        <v>2.9909499744322842E-2</v>
      </c>
      <c r="O139" s="97">
        <f t="shared" si="88"/>
        <v>2.4951778347349182E-2</v>
      </c>
      <c r="P139" s="97">
        <f t="shared" si="88"/>
        <v>0.11400323192698651</v>
      </c>
      <c r="Q139" s="97">
        <f t="shared" si="88"/>
        <v>3.1018729006387184E-2</v>
      </c>
      <c r="R139" s="97">
        <f t="shared" si="88"/>
        <v>4.0929131758250151E-2</v>
      </c>
      <c r="S139" s="97">
        <f t="shared" si="88"/>
        <v>3.350640977852163E-2</v>
      </c>
      <c r="T139" s="97">
        <f t="shared" si="88"/>
        <v>2.4397163716317012E-2</v>
      </c>
      <c r="U139" s="97">
        <f t="shared" si="88"/>
        <v>5.4192632508481407E-2</v>
      </c>
      <c r="V139" s="97">
        <f t="shared" si="88"/>
        <v>6.7292961896231783E-3</v>
      </c>
      <c r="W139" s="97">
        <f t="shared" si="88"/>
        <v>2.7406698845935346E-2</v>
      </c>
      <c r="X139" s="97">
        <f t="shared" si="88"/>
        <v>1.3554353178849033E-2</v>
      </c>
      <c r="Y139" s="97">
        <f t="shared" si="88"/>
        <v>1.3762464916582043E-2</v>
      </c>
      <c r="Z139" s="97">
        <f t="shared" si="88"/>
        <v>1.5997093575731345E-2</v>
      </c>
      <c r="AA139" s="97">
        <f t="shared" si="88"/>
        <v>3.3430599145502837E-2</v>
      </c>
      <c r="AB139" s="97">
        <f t="shared" si="88"/>
        <v>1.2891167641249795E-2</v>
      </c>
      <c r="AC139">
        <f>SUM(C139:AB139)</f>
        <v>0.99999999999999956</v>
      </c>
    </row>
    <row r="140" spans="1:29">
      <c r="A140" s="52" t="s">
        <v>374</v>
      </c>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9"/>
    </row>
    <row r="141" spans="1:29">
      <c r="A141" s="52"/>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9"/>
    </row>
    <row r="142" spans="1:29">
      <c r="A142" s="52"/>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9"/>
    </row>
    <row r="143" spans="1:29">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9"/>
    </row>
    <row r="144" spans="1:29" ht="15.5">
      <c r="A144" s="101" t="s">
        <v>391</v>
      </c>
      <c r="B144" s="101"/>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9"/>
    </row>
    <row r="145" spans="1:33">
      <c r="A145" s="82" t="s">
        <v>388</v>
      </c>
      <c r="B145" s="80" t="s">
        <v>335</v>
      </c>
      <c r="C145" s="80" t="s">
        <v>332</v>
      </c>
      <c r="D145" s="80" t="s">
        <v>378</v>
      </c>
      <c r="E145" s="80" t="s">
        <v>379</v>
      </c>
      <c r="F145" s="80" t="s">
        <v>24</v>
      </c>
      <c r="G145" s="80" t="s">
        <v>380</v>
      </c>
      <c r="H145" s="80" t="s">
        <v>13</v>
      </c>
      <c r="I145" s="80" t="s">
        <v>1</v>
      </c>
      <c r="K145" s="106" t="s">
        <v>414</v>
      </c>
      <c r="L145" s="28"/>
      <c r="M145" s="105" t="s">
        <v>413</v>
      </c>
      <c r="O145" s="28"/>
      <c r="P145" s="28"/>
      <c r="Q145" s="28"/>
      <c r="R145" s="28"/>
      <c r="S145" s="28"/>
      <c r="T145" s="28"/>
      <c r="U145" s="28"/>
      <c r="V145" s="28"/>
      <c r="W145" s="28"/>
      <c r="X145" s="28"/>
      <c r="Y145" s="28"/>
      <c r="Z145" s="28"/>
      <c r="AA145" s="28"/>
      <c r="AB145" s="9"/>
    </row>
    <row r="146" spans="1:33">
      <c r="A146" t="s">
        <v>371</v>
      </c>
      <c r="B146" s="86">
        <v>0.71</v>
      </c>
      <c r="C146" s="86">
        <v>0.18</v>
      </c>
      <c r="D146" s="86">
        <v>0.05</v>
      </c>
      <c r="E146" s="86">
        <v>0.03</v>
      </c>
      <c r="F146" s="86">
        <v>0.01</v>
      </c>
      <c r="G146" s="86">
        <v>1.7999999999999999E-2</v>
      </c>
      <c r="H146" s="86">
        <v>4.0000000000000001E-3</v>
      </c>
      <c r="I146" s="4">
        <f t="shared" ref="I146:I152" si="89">SUM(B146:H146)</f>
        <v>1.002</v>
      </c>
      <c r="K146" s="27">
        <f>SUM(K148:K152)</f>
        <v>1</v>
      </c>
      <c r="L146" s="28"/>
      <c r="M146" s="28" t="s">
        <v>390</v>
      </c>
      <c r="O146" s="28"/>
      <c r="P146" s="28"/>
      <c r="Q146" s="28"/>
      <c r="R146" s="28"/>
      <c r="S146" s="28"/>
      <c r="T146" s="28"/>
      <c r="U146" s="28"/>
      <c r="V146" s="28"/>
      <c r="W146" s="28"/>
      <c r="X146" s="28"/>
      <c r="Y146" s="28"/>
      <c r="Z146" s="28"/>
      <c r="AA146" s="28"/>
      <c r="AB146" s="9"/>
    </row>
    <row r="147" spans="1:33">
      <c r="A147" t="s">
        <v>375</v>
      </c>
      <c r="B147" s="4">
        <v>0.42</v>
      </c>
      <c r="C147" s="4">
        <v>0.28999999999999998</v>
      </c>
      <c r="D147" s="4">
        <v>0.16</v>
      </c>
      <c r="E147" s="4">
        <v>0.09</v>
      </c>
      <c r="F147" s="4">
        <v>0.02</v>
      </c>
      <c r="G147" s="4">
        <v>0.01</v>
      </c>
      <c r="H147" s="4">
        <v>6.0000000000000001E-3</v>
      </c>
      <c r="I147" s="4">
        <f t="shared" si="89"/>
        <v>0.996</v>
      </c>
      <c r="K147" s="93">
        <f>SUM(D160:G160)/$B$159</f>
        <v>0.27670776050980028</v>
      </c>
      <c r="L147" s="28"/>
      <c r="M147" t="s">
        <v>382</v>
      </c>
      <c r="O147" s="28"/>
      <c r="P147" s="28"/>
      <c r="Q147" s="28"/>
      <c r="R147" s="28"/>
      <c r="S147" s="28"/>
      <c r="T147" s="28"/>
      <c r="U147" s="28"/>
      <c r="V147" s="28"/>
      <c r="W147" s="28"/>
      <c r="X147" s="28"/>
      <c r="Y147" s="28"/>
      <c r="Z147" s="28"/>
      <c r="AA147" s="28"/>
      <c r="AB147" s="9"/>
    </row>
    <row r="148" spans="1:33">
      <c r="A148" t="s">
        <v>381</v>
      </c>
      <c r="B148" s="4">
        <v>0.63</v>
      </c>
      <c r="C148" s="4">
        <v>0.2</v>
      </c>
      <c r="D148" s="4">
        <v>0.09</v>
      </c>
      <c r="E148" s="4">
        <v>0.05</v>
      </c>
      <c r="F148" s="4">
        <v>0.02</v>
      </c>
      <c r="G148" s="4">
        <v>8.9999999999999993E-3</v>
      </c>
      <c r="H148" s="4">
        <v>1E-3</v>
      </c>
      <c r="I148" s="4">
        <f t="shared" si="89"/>
        <v>1</v>
      </c>
      <c r="K148" s="93">
        <f>(D160+E160+F160+G160+H160+M160+Q160)/B159</f>
        <v>0.35174369705987046</v>
      </c>
      <c r="L148" s="28"/>
      <c r="M148" t="s">
        <v>383</v>
      </c>
      <c r="O148" s="28"/>
      <c r="P148" s="28"/>
      <c r="Q148" s="28"/>
      <c r="R148" s="28"/>
      <c r="S148" s="28"/>
      <c r="T148" s="28"/>
      <c r="U148" s="28"/>
      <c r="V148" s="28"/>
      <c r="W148" s="28"/>
      <c r="X148" s="28"/>
      <c r="Y148" s="28"/>
      <c r="Z148" s="28"/>
      <c r="AA148" s="28"/>
      <c r="AB148" s="9"/>
    </row>
    <row r="149" spans="1:33">
      <c r="A149" t="s">
        <v>376</v>
      </c>
      <c r="B149" s="4">
        <v>0.62</v>
      </c>
      <c r="C149" s="4">
        <v>0.27</v>
      </c>
      <c r="D149" s="4">
        <v>0.05</v>
      </c>
      <c r="E149" s="4">
        <v>0.05</v>
      </c>
      <c r="F149" s="4">
        <v>0</v>
      </c>
      <c r="G149" s="4">
        <v>8.9999999999999993E-3</v>
      </c>
      <c r="H149" s="4">
        <v>1E-3</v>
      </c>
      <c r="I149" s="4">
        <f t="shared" si="89"/>
        <v>1</v>
      </c>
      <c r="K149" s="93">
        <f>(S160+V160+X160+Y160)/$B$159</f>
        <v>7.9993447945290341E-2</v>
      </c>
      <c r="L149" s="28"/>
      <c r="M149" t="s">
        <v>384</v>
      </c>
      <c r="O149" s="28"/>
      <c r="P149" s="28"/>
      <c r="Q149" s="28"/>
      <c r="R149" s="28"/>
      <c r="S149" s="28"/>
      <c r="T149" s="28"/>
      <c r="U149" s="28"/>
      <c r="V149" s="28"/>
      <c r="W149" s="28"/>
      <c r="X149" s="28"/>
      <c r="Y149" s="28"/>
      <c r="Z149" s="28"/>
      <c r="AA149" s="28"/>
      <c r="AB149" s="9"/>
    </row>
    <row r="150" spans="1:33">
      <c r="A150" t="s">
        <v>377</v>
      </c>
      <c r="B150" s="4">
        <v>0.76</v>
      </c>
      <c r="C150" s="4">
        <v>0.18</v>
      </c>
      <c r="D150" s="4">
        <v>0.03</v>
      </c>
      <c r="E150" s="4">
        <v>0.01</v>
      </c>
      <c r="F150" s="4">
        <v>0</v>
      </c>
      <c r="G150" s="4">
        <v>0.01</v>
      </c>
      <c r="H150" s="4">
        <v>0.01</v>
      </c>
      <c r="I150" s="4">
        <f t="shared" si="89"/>
        <v>1</v>
      </c>
      <c r="K150" s="93">
        <f>(C160+I160+J160+K160+L160+N160+O160+P160+R160+T160+U160+W160+Z160+AA160+AB160+AC160+AD160+AE160+AF160+AG160)/B159</f>
        <v>0.19528210060554005</v>
      </c>
      <c r="L150" s="28"/>
      <c r="M150" t="s">
        <v>392</v>
      </c>
      <c r="O150" s="28"/>
      <c r="P150" s="28"/>
      <c r="Q150" s="28"/>
      <c r="R150" s="28"/>
      <c r="S150" s="28"/>
      <c r="T150" s="28"/>
      <c r="U150" s="28"/>
      <c r="V150" s="28"/>
      <c r="W150" s="28"/>
      <c r="X150" s="28"/>
      <c r="Y150" s="28"/>
      <c r="Z150" s="28"/>
      <c r="AA150" s="28"/>
      <c r="AB150" s="9"/>
    </row>
    <row r="151" spans="1:33">
      <c r="A151" t="s">
        <v>387</v>
      </c>
      <c r="B151" s="4">
        <v>0.64</v>
      </c>
      <c r="C151" s="4">
        <v>0.28999999999999998</v>
      </c>
      <c r="D151" s="4">
        <v>0.03</v>
      </c>
      <c r="E151" s="4">
        <v>0.02</v>
      </c>
      <c r="F151" s="4">
        <v>0</v>
      </c>
      <c r="G151" s="4">
        <v>0.01</v>
      </c>
      <c r="H151" s="4">
        <v>0.01</v>
      </c>
      <c r="I151" s="4">
        <f t="shared" si="89"/>
        <v>1</v>
      </c>
      <c r="K151">
        <v>0</v>
      </c>
      <c r="L151" s="28"/>
      <c r="M151" t="s">
        <v>385</v>
      </c>
      <c r="O151" s="28"/>
      <c r="P151" s="28"/>
      <c r="Q151" s="28"/>
      <c r="R151" s="28"/>
      <c r="S151" s="28"/>
      <c r="T151" s="28"/>
      <c r="U151" s="28"/>
      <c r="V151" s="28"/>
      <c r="W151" s="28"/>
      <c r="X151" s="28"/>
      <c r="Y151" s="28"/>
      <c r="Z151" s="28"/>
      <c r="AA151" s="28"/>
      <c r="AB151" s="9"/>
    </row>
    <row r="152" spans="1:33">
      <c r="A152" s="79" t="s">
        <v>111</v>
      </c>
      <c r="B152" s="102">
        <v>0.81</v>
      </c>
      <c r="C152" s="102">
        <v>0.11</v>
      </c>
      <c r="D152" s="102">
        <v>0.04</v>
      </c>
      <c r="E152" s="102">
        <v>0.01</v>
      </c>
      <c r="F152" s="102">
        <v>0</v>
      </c>
      <c r="G152" s="102">
        <v>0.02</v>
      </c>
      <c r="H152" s="102">
        <v>0.01</v>
      </c>
      <c r="I152" s="102">
        <f t="shared" si="89"/>
        <v>1</v>
      </c>
      <c r="K152" s="93">
        <f>B161/B159</f>
        <v>0.37298075438929917</v>
      </c>
      <c r="L152" s="28"/>
      <c r="M152" t="s">
        <v>386</v>
      </c>
      <c r="O152" s="28"/>
      <c r="P152" s="28"/>
      <c r="Q152" s="28"/>
      <c r="R152" s="28"/>
      <c r="S152" s="28"/>
      <c r="T152" s="28"/>
      <c r="U152" s="28"/>
      <c r="V152" s="28"/>
      <c r="W152" s="28"/>
      <c r="X152" s="28"/>
      <c r="Y152" s="28"/>
      <c r="Z152" s="28"/>
      <c r="AA152" s="28"/>
      <c r="AB152" s="9"/>
    </row>
    <row r="153" spans="1:33">
      <c r="A153" t="s">
        <v>389</v>
      </c>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9"/>
    </row>
    <row r="154" spans="1:33">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9"/>
    </row>
    <row r="155" spans="1:33">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9"/>
    </row>
    <row r="156" spans="1:33">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9"/>
    </row>
    <row r="157" spans="1:33" ht="15.5">
      <c r="A157" s="101" t="s">
        <v>405</v>
      </c>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9"/>
      <c r="AB157" s="9"/>
      <c r="AC157" s="9"/>
      <c r="AD157" s="9"/>
    </row>
    <row r="158" spans="1:33">
      <c r="A158" s="82"/>
      <c r="B158" s="82" t="s">
        <v>371</v>
      </c>
      <c r="C158" s="82" t="s">
        <v>344</v>
      </c>
      <c r="D158" s="82" t="s">
        <v>393</v>
      </c>
      <c r="E158" s="82" t="s">
        <v>394</v>
      </c>
      <c r="F158" s="82" t="s">
        <v>395</v>
      </c>
      <c r="G158" s="82" t="s">
        <v>396</v>
      </c>
      <c r="H158" s="82" t="s">
        <v>346</v>
      </c>
      <c r="I158" s="82" t="s">
        <v>347</v>
      </c>
      <c r="J158" s="82" t="s">
        <v>348</v>
      </c>
      <c r="K158" s="82" t="s">
        <v>349</v>
      </c>
      <c r="L158" s="82" t="s">
        <v>350</v>
      </c>
      <c r="M158" s="82" t="s">
        <v>351</v>
      </c>
      <c r="N158" s="82" t="s">
        <v>352</v>
      </c>
      <c r="O158" s="82" t="s">
        <v>353</v>
      </c>
      <c r="P158" s="82" t="s">
        <v>354</v>
      </c>
      <c r="Q158" s="82" t="s">
        <v>355</v>
      </c>
      <c r="R158" s="82" t="s">
        <v>356</v>
      </c>
      <c r="S158" s="82" t="s">
        <v>397</v>
      </c>
      <c r="T158" s="82" t="s">
        <v>398</v>
      </c>
      <c r="U158" s="82" t="s">
        <v>358</v>
      </c>
      <c r="V158" s="82" t="s">
        <v>399</v>
      </c>
      <c r="W158" s="82" t="s">
        <v>360</v>
      </c>
      <c r="X158" s="82" t="s">
        <v>400</v>
      </c>
      <c r="Y158" s="82" t="s">
        <v>401</v>
      </c>
      <c r="Z158" s="82" t="s">
        <v>402</v>
      </c>
      <c r="AA158" s="82" t="s">
        <v>363</v>
      </c>
      <c r="AB158" s="82" t="s">
        <v>364</v>
      </c>
      <c r="AC158" s="82" t="s">
        <v>365</v>
      </c>
      <c r="AD158" s="82" t="s">
        <v>366</v>
      </c>
      <c r="AE158" s="82" t="s">
        <v>367</v>
      </c>
      <c r="AF158" s="82" t="s">
        <v>368</v>
      </c>
      <c r="AG158" s="82" t="s">
        <v>369</v>
      </c>
    </row>
    <row r="159" spans="1:33">
      <c r="A159" t="s">
        <v>403</v>
      </c>
      <c r="B159" s="30">
        <v>4761865</v>
      </c>
      <c r="C159" s="30">
        <v>56932</v>
      </c>
      <c r="D159" s="30">
        <v>554554</v>
      </c>
      <c r="E159" s="30">
        <v>218018</v>
      </c>
      <c r="F159" s="30">
        <v>296020</v>
      </c>
      <c r="G159" s="30">
        <v>278767</v>
      </c>
      <c r="H159" s="30">
        <v>222504</v>
      </c>
      <c r="I159" s="30">
        <v>99232</v>
      </c>
      <c r="J159" s="30">
        <v>84697</v>
      </c>
      <c r="K159" s="30">
        <v>40873</v>
      </c>
      <c r="L159" s="30">
        <v>128884</v>
      </c>
      <c r="M159" s="30">
        <v>195044</v>
      </c>
      <c r="N159" s="30">
        <v>77961</v>
      </c>
      <c r="O159" s="30">
        <v>88770</v>
      </c>
      <c r="P159" s="30">
        <v>149722</v>
      </c>
      <c r="Q159" s="30">
        <v>142425</v>
      </c>
      <c r="R159" s="30">
        <v>118817</v>
      </c>
      <c r="S159" s="30">
        <v>125657</v>
      </c>
      <c r="T159" s="30">
        <v>417211</v>
      </c>
      <c r="U159" s="30">
        <v>147707</v>
      </c>
      <c r="V159" s="30">
        <v>194899</v>
      </c>
      <c r="W159" s="30">
        <v>159553</v>
      </c>
      <c r="X159" s="30">
        <v>116176</v>
      </c>
      <c r="Y159" s="30">
        <v>78668</v>
      </c>
      <c r="Z159" s="30">
        <v>179390</v>
      </c>
      <c r="AA159" s="30">
        <v>32044</v>
      </c>
      <c r="AB159" s="30">
        <v>130507</v>
      </c>
      <c r="AC159" s="30">
        <v>64544</v>
      </c>
      <c r="AD159" s="30">
        <v>65535</v>
      </c>
      <c r="AE159" s="30">
        <v>76176</v>
      </c>
      <c r="AF159" s="30">
        <v>159192</v>
      </c>
      <c r="AG159" s="30">
        <v>61386</v>
      </c>
    </row>
    <row r="160" spans="1:33">
      <c r="A160" t="s">
        <v>406</v>
      </c>
      <c r="B160" s="30">
        <v>2985781</v>
      </c>
      <c r="C160" s="30">
        <v>28004</v>
      </c>
      <c r="D160" s="30">
        <v>554554</v>
      </c>
      <c r="E160" s="30">
        <v>215453</v>
      </c>
      <c r="F160" s="30">
        <v>274423</v>
      </c>
      <c r="G160" s="30">
        <v>273215</v>
      </c>
      <c r="H160" s="30">
        <v>150338</v>
      </c>
      <c r="I160" s="30">
        <v>38438</v>
      </c>
      <c r="J160" s="30">
        <v>40979</v>
      </c>
      <c r="K160" s="30">
        <v>13957</v>
      </c>
      <c r="L160" s="30">
        <v>85224</v>
      </c>
      <c r="M160" s="30">
        <v>114380</v>
      </c>
      <c r="N160" s="30">
        <v>33421</v>
      </c>
      <c r="O160" s="30">
        <v>43435</v>
      </c>
      <c r="P160" s="30">
        <v>57753</v>
      </c>
      <c r="Q160" s="30">
        <v>92593</v>
      </c>
      <c r="R160" s="30">
        <v>46654</v>
      </c>
      <c r="S160" s="30">
        <v>125657</v>
      </c>
      <c r="T160" s="30">
        <v>214995</v>
      </c>
      <c r="U160" s="30">
        <v>52126</v>
      </c>
      <c r="V160" s="30">
        <v>105047</v>
      </c>
      <c r="W160" s="30">
        <v>66244</v>
      </c>
      <c r="X160" s="30">
        <v>71546</v>
      </c>
      <c r="Y160" s="30">
        <v>78668</v>
      </c>
      <c r="Z160" s="30">
        <v>39913</v>
      </c>
      <c r="AA160" s="30">
        <v>3422</v>
      </c>
      <c r="AB160" s="30">
        <v>37276</v>
      </c>
      <c r="AC160" s="30">
        <v>17300</v>
      </c>
      <c r="AD160" s="30">
        <v>26097</v>
      </c>
      <c r="AE160" s="30">
        <v>23258</v>
      </c>
      <c r="AF160" s="30">
        <v>43414</v>
      </c>
      <c r="AG160" s="30">
        <v>17997</v>
      </c>
    </row>
    <row r="161" spans="1:33">
      <c r="A161" t="s">
        <v>407</v>
      </c>
      <c r="B161" s="30">
        <v>1776084</v>
      </c>
      <c r="C161" s="30">
        <v>28928</v>
      </c>
      <c r="D161" s="30">
        <v>0</v>
      </c>
      <c r="E161" s="30">
        <v>2565</v>
      </c>
      <c r="F161" s="30">
        <v>21597</v>
      </c>
      <c r="G161" s="30">
        <v>5552</v>
      </c>
      <c r="H161" s="30">
        <v>72166</v>
      </c>
      <c r="I161" s="30">
        <v>60794</v>
      </c>
      <c r="J161" s="30">
        <v>43718</v>
      </c>
      <c r="K161" s="30">
        <v>26916</v>
      </c>
      <c r="L161" s="30">
        <v>43660</v>
      </c>
      <c r="M161" s="30">
        <v>80664</v>
      </c>
      <c r="N161" s="30">
        <v>44540</v>
      </c>
      <c r="O161" s="30">
        <v>45335</v>
      </c>
      <c r="P161" s="30">
        <v>91969</v>
      </c>
      <c r="Q161" s="30">
        <v>49832</v>
      </c>
      <c r="R161" s="30">
        <v>72163</v>
      </c>
      <c r="S161" s="30">
        <v>0</v>
      </c>
      <c r="T161" s="30">
        <v>202216</v>
      </c>
      <c r="U161" s="30">
        <v>95581</v>
      </c>
      <c r="V161" s="30">
        <v>89852</v>
      </c>
      <c r="W161" s="30">
        <v>93309</v>
      </c>
      <c r="X161" s="30">
        <v>44630</v>
      </c>
      <c r="Y161" s="30">
        <v>0</v>
      </c>
      <c r="Z161" s="30">
        <v>139477</v>
      </c>
      <c r="AA161" s="30">
        <v>28622</v>
      </c>
      <c r="AB161" s="30">
        <v>93231</v>
      </c>
      <c r="AC161" s="30">
        <v>47244</v>
      </c>
      <c r="AD161" s="30">
        <v>39438</v>
      </c>
      <c r="AE161" s="30">
        <v>52918</v>
      </c>
      <c r="AF161" s="30">
        <v>115778</v>
      </c>
      <c r="AG161" s="30">
        <v>43389</v>
      </c>
    </row>
    <row r="162" spans="1:33">
      <c r="A162" t="s">
        <v>408</v>
      </c>
      <c r="B162" s="86">
        <f>B160/B159</f>
        <v>0.62701924561070088</v>
      </c>
      <c r="C162" s="86">
        <f t="shared" ref="C162:AG162" si="90">C160/C159</f>
        <v>0.49188505585610903</v>
      </c>
      <c r="D162" s="86">
        <f t="shared" si="90"/>
        <v>1</v>
      </c>
      <c r="E162" s="86">
        <f t="shared" si="90"/>
        <v>0.98823491638305094</v>
      </c>
      <c r="F162" s="86">
        <f t="shared" si="90"/>
        <v>0.92704209175055741</v>
      </c>
      <c r="G162" s="86">
        <f t="shared" si="90"/>
        <v>0.98008372583555448</v>
      </c>
      <c r="H162" s="86">
        <f>H160/H159</f>
        <v>0.67566425772120953</v>
      </c>
      <c r="I162" s="86">
        <f t="shared" si="90"/>
        <v>0.38735488552079972</v>
      </c>
      <c r="J162" s="86">
        <f t="shared" si="90"/>
        <v>0.48383059612501034</v>
      </c>
      <c r="K162" s="86">
        <f t="shared" si="90"/>
        <v>0.34147236562033617</v>
      </c>
      <c r="L162" s="86">
        <f t="shared" si="90"/>
        <v>0.66124577139132867</v>
      </c>
      <c r="M162" s="86">
        <f t="shared" si="90"/>
        <v>0.58643177949590863</v>
      </c>
      <c r="N162" s="86">
        <f t="shared" si="90"/>
        <v>0.42868870332602199</v>
      </c>
      <c r="O162" s="86">
        <f t="shared" si="90"/>
        <v>0.48929818632420863</v>
      </c>
      <c r="P162" s="86">
        <f t="shared" si="90"/>
        <v>0.38573489533936228</v>
      </c>
      <c r="Q162" s="86">
        <f t="shared" si="90"/>
        <v>0.65011760575741617</v>
      </c>
      <c r="R162" s="86">
        <f t="shared" si="90"/>
        <v>0.39265424981273722</v>
      </c>
      <c r="S162" s="86">
        <f t="shared" si="90"/>
        <v>1</v>
      </c>
      <c r="T162" s="86">
        <f t="shared" si="90"/>
        <v>0.51531479275474523</v>
      </c>
      <c r="U162" s="86">
        <f t="shared" si="90"/>
        <v>0.35290135200092076</v>
      </c>
      <c r="V162" s="86">
        <f t="shared" si="90"/>
        <v>0.53898172899809649</v>
      </c>
      <c r="W162" s="86">
        <f t="shared" si="90"/>
        <v>0.41518492287829123</v>
      </c>
      <c r="X162" s="86">
        <f t="shared" si="90"/>
        <v>0.6158414818895469</v>
      </c>
      <c r="Y162" s="86">
        <f t="shared" si="90"/>
        <v>1</v>
      </c>
      <c r="Z162" s="86">
        <f t="shared" si="90"/>
        <v>0.22249289258041138</v>
      </c>
      <c r="AA162" s="86">
        <f t="shared" si="90"/>
        <v>0.10679066283859692</v>
      </c>
      <c r="AB162" s="86">
        <f t="shared" si="90"/>
        <v>0.28562452588750031</v>
      </c>
      <c r="AC162" s="86">
        <f t="shared" si="90"/>
        <v>0.26803420922161625</v>
      </c>
      <c r="AD162" s="86">
        <f t="shared" si="90"/>
        <v>0.39821469443808649</v>
      </c>
      <c r="AE162" s="86">
        <f t="shared" si="90"/>
        <v>0.3053192606595253</v>
      </c>
      <c r="AF162" s="86">
        <f t="shared" si="90"/>
        <v>0.27271470928187347</v>
      </c>
      <c r="AG162" s="86">
        <f t="shared" si="90"/>
        <v>0.29317759749780081</v>
      </c>
    </row>
    <row r="163" spans="1:33">
      <c r="A163" t="s">
        <v>409</v>
      </c>
      <c r="B163" s="86">
        <f>B161/B159</f>
        <v>0.37298075438929917</v>
      </c>
      <c r="C163" s="86">
        <f t="shared" ref="C163:AG163" si="91">C161/C159</f>
        <v>0.50811494414389091</v>
      </c>
      <c r="D163" s="86">
        <f t="shared" si="91"/>
        <v>0</v>
      </c>
      <c r="E163" s="86">
        <f t="shared" si="91"/>
        <v>1.1765083616949059E-2</v>
      </c>
      <c r="F163" s="86">
        <f t="shared" si="91"/>
        <v>7.2957908249442607E-2</v>
      </c>
      <c r="G163" s="86">
        <f t="shared" si="91"/>
        <v>1.9916274164445576E-2</v>
      </c>
      <c r="H163" s="86">
        <f t="shared" si="91"/>
        <v>0.32433574227879047</v>
      </c>
      <c r="I163" s="86">
        <f t="shared" si="91"/>
        <v>0.61264511447920023</v>
      </c>
      <c r="J163" s="86">
        <f t="shared" si="91"/>
        <v>0.51616940387498966</v>
      </c>
      <c r="K163" s="86">
        <f t="shared" si="91"/>
        <v>0.65852763437966388</v>
      </c>
      <c r="L163" s="86">
        <f t="shared" si="91"/>
        <v>0.33875422860867138</v>
      </c>
      <c r="M163" s="86">
        <f t="shared" si="91"/>
        <v>0.41356822050409137</v>
      </c>
      <c r="N163" s="86">
        <f t="shared" si="91"/>
        <v>0.57131129667397806</v>
      </c>
      <c r="O163" s="86">
        <f t="shared" si="91"/>
        <v>0.51070181367579137</v>
      </c>
      <c r="P163" s="86">
        <f t="shared" si="91"/>
        <v>0.61426510466063766</v>
      </c>
      <c r="Q163" s="86">
        <f t="shared" si="91"/>
        <v>0.34988239424258383</v>
      </c>
      <c r="R163" s="86">
        <f t="shared" si="91"/>
        <v>0.60734575018726278</v>
      </c>
      <c r="S163" s="86">
        <f t="shared" si="91"/>
        <v>0</v>
      </c>
      <c r="T163" s="86">
        <f t="shared" si="91"/>
        <v>0.48468520724525482</v>
      </c>
      <c r="U163" s="86">
        <f t="shared" si="91"/>
        <v>0.64709864799907924</v>
      </c>
      <c r="V163" s="86">
        <f t="shared" si="91"/>
        <v>0.46101827100190357</v>
      </c>
      <c r="W163" s="86">
        <f t="shared" si="91"/>
        <v>0.58481507712170877</v>
      </c>
      <c r="X163" s="86">
        <f t="shared" si="91"/>
        <v>0.3841585181104531</v>
      </c>
      <c r="Y163" s="86">
        <f t="shared" si="91"/>
        <v>0</v>
      </c>
      <c r="Z163" s="86">
        <f t="shared" si="91"/>
        <v>0.77750710741958862</v>
      </c>
      <c r="AA163" s="86">
        <f t="shared" si="91"/>
        <v>0.89320933716140305</v>
      </c>
      <c r="AB163" s="86">
        <f t="shared" si="91"/>
        <v>0.71437547411249969</v>
      </c>
      <c r="AC163" s="86">
        <f t="shared" si="91"/>
        <v>0.73196579077838375</v>
      </c>
      <c r="AD163" s="86">
        <f t="shared" si="91"/>
        <v>0.60178530556191345</v>
      </c>
      <c r="AE163" s="86">
        <f t="shared" si="91"/>
        <v>0.6946807393404747</v>
      </c>
      <c r="AF163" s="86">
        <f t="shared" si="91"/>
        <v>0.72728529071812653</v>
      </c>
      <c r="AG163" s="86">
        <f t="shared" si="91"/>
        <v>0.70682240250219919</v>
      </c>
    </row>
    <row r="164" spans="1:33">
      <c r="A164" s="79" t="s">
        <v>16</v>
      </c>
      <c r="B164" s="104">
        <f>SUM(B162:B163)</f>
        <v>1</v>
      </c>
      <c r="C164" s="104">
        <f t="shared" ref="C164:AG164" si="92">SUM(C162:C163)</f>
        <v>1</v>
      </c>
      <c r="D164" s="104">
        <f t="shared" si="92"/>
        <v>1</v>
      </c>
      <c r="E164" s="104">
        <f t="shared" si="92"/>
        <v>1</v>
      </c>
      <c r="F164" s="104">
        <f t="shared" si="92"/>
        <v>1</v>
      </c>
      <c r="G164" s="104">
        <f t="shared" si="92"/>
        <v>1</v>
      </c>
      <c r="H164" s="104">
        <f t="shared" si="92"/>
        <v>1</v>
      </c>
      <c r="I164" s="104">
        <f t="shared" si="92"/>
        <v>1</v>
      </c>
      <c r="J164" s="104">
        <f t="shared" si="92"/>
        <v>1</v>
      </c>
      <c r="K164" s="104">
        <f t="shared" si="92"/>
        <v>1</v>
      </c>
      <c r="L164" s="104">
        <f t="shared" si="92"/>
        <v>1</v>
      </c>
      <c r="M164" s="104">
        <f t="shared" si="92"/>
        <v>1</v>
      </c>
      <c r="N164" s="104">
        <f t="shared" si="92"/>
        <v>1</v>
      </c>
      <c r="O164" s="104">
        <f t="shared" si="92"/>
        <v>1</v>
      </c>
      <c r="P164" s="104">
        <f t="shared" si="92"/>
        <v>1</v>
      </c>
      <c r="Q164" s="104">
        <f t="shared" si="92"/>
        <v>1</v>
      </c>
      <c r="R164" s="104">
        <f t="shared" si="92"/>
        <v>1</v>
      </c>
      <c r="S164" s="104">
        <f t="shared" si="92"/>
        <v>1</v>
      </c>
      <c r="T164" s="104">
        <f t="shared" si="92"/>
        <v>1</v>
      </c>
      <c r="U164" s="104">
        <f t="shared" si="92"/>
        <v>1</v>
      </c>
      <c r="V164" s="104">
        <f t="shared" si="92"/>
        <v>1</v>
      </c>
      <c r="W164" s="104">
        <f t="shared" si="92"/>
        <v>1</v>
      </c>
      <c r="X164" s="104">
        <f t="shared" si="92"/>
        <v>1</v>
      </c>
      <c r="Y164" s="104">
        <f t="shared" si="92"/>
        <v>1</v>
      </c>
      <c r="Z164" s="104">
        <f t="shared" si="92"/>
        <v>1</v>
      </c>
      <c r="AA164" s="104">
        <f t="shared" si="92"/>
        <v>1</v>
      </c>
      <c r="AB164" s="104">
        <f t="shared" si="92"/>
        <v>1</v>
      </c>
      <c r="AC164" s="104">
        <f t="shared" si="92"/>
        <v>1</v>
      </c>
      <c r="AD164" s="104">
        <f t="shared" si="92"/>
        <v>1</v>
      </c>
      <c r="AE164" s="104">
        <f t="shared" si="92"/>
        <v>1</v>
      </c>
      <c r="AF164" s="104">
        <f t="shared" si="92"/>
        <v>1</v>
      </c>
      <c r="AG164" s="104">
        <f t="shared" si="92"/>
        <v>1</v>
      </c>
    </row>
    <row r="165" spans="1:33">
      <c r="A165" s="52" t="s">
        <v>410</v>
      </c>
    </row>
    <row r="166" spans="1:33">
      <c r="A166" s="52"/>
    </row>
    <row r="167" spans="1:33">
      <c r="A167" s="52"/>
    </row>
    <row r="168" spans="1:33">
      <c r="A168" s="52"/>
    </row>
    <row r="169" spans="1:33" ht="15.5">
      <c r="A169" s="101" t="s">
        <v>411</v>
      </c>
      <c r="B169" s="101"/>
      <c r="C169" s="101"/>
    </row>
    <row r="170" spans="1:33">
      <c r="A170" s="82" t="s">
        <v>388</v>
      </c>
      <c r="B170" s="82" t="str">
        <f>Regions!C3</f>
        <v>IE</v>
      </c>
      <c r="C170" s="82" t="str">
        <f>Regions!E3</f>
        <v>IE-CW</v>
      </c>
      <c r="D170" s="82" t="str">
        <f>Regions!F3</f>
        <v>IE-D</v>
      </c>
      <c r="E170" s="82" t="str">
        <f>Regions!G3</f>
        <v>IE-KE</v>
      </c>
      <c r="F170" s="82" t="str">
        <f>Regions!H3</f>
        <v>IE-KK</v>
      </c>
      <c r="G170" s="82" t="str">
        <f>Regions!I3</f>
        <v>IE-LS</v>
      </c>
      <c r="H170" s="82" t="str">
        <f>Regions!J3</f>
        <v>IE-LD</v>
      </c>
      <c r="I170" s="82" t="str">
        <f>Regions!K3</f>
        <v>IE-LH</v>
      </c>
      <c r="J170" s="82" t="str">
        <f>Regions!L3</f>
        <v>IE-MH</v>
      </c>
      <c r="K170" s="82" t="str">
        <f>Regions!M3</f>
        <v>IE-OY</v>
      </c>
      <c r="L170" s="82" t="str">
        <f>Regions!N3</f>
        <v>IE-WH</v>
      </c>
      <c r="M170" s="82" t="str">
        <f>Regions!O3</f>
        <v>IE-WX</v>
      </c>
      <c r="N170" s="82" t="str">
        <f>Regions!P3</f>
        <v>IE-WW</v>
      </c>
      <c r="O170" s="82" t="str">
        <f>Regions!Q3</f>
        <v>IE-CE</v>
      </c>
      <c r="P170" s="82" t="str">
        <f>Regions!R3</f>
        <v>IE-CO</v>
      </c>
      <c r="Q170" s="82" t="str">
        <f>Regions!S3</f>
        <v>IE-KY</v>
      </c>
      <c r="R170" s="82" t="str">
        <f>Regions!T3</f>
        <v>IE-LK</v>
      </c>
      <c r="S170" s="82" t="str">
        <f>Regions!U3</f>
        <v>IE-TA</v>
      </c>
      <c r="T170" s="82" t="str">
        <f>Regions!V3</f>
        <v>IE-WD</v>
      </c>
      <c r="U170" s="82" t="str">
        <f>Regions!W3</f>
        <v>IE-G</v>
      </c>
      <c r="V170" s="82" t="str">
        <f>Regions!X3</f>
        <v>IE-LM</v>
      </c>
      <c r="W170" s="82" t="str">
        <f>Regions!Y3</f>
        <v>IE-MO</v>
      </c>
      <c r="X170" s="82" t="str">
        <f>Regions!Z3</f>
        <v>IE-RN</v>
      </c>
      <c r="Y170" s="82" t="str">
        <f>Regions!AA3</f>
        <v>IE-SO</v>
      </c>
      <c r="Z170" s="82" t="str">
        <f>Regions!AB3</f>
        <v>IE-CN</v>
      </c>
      <c r="AA170" s="82" t="str">
        <f>Regions!AC3</f>
        <v>IE-DL</v>
      </c>
      <c r="AB170" s="82" t="str">
        <f>Regions!AD3</f>
        <v>IE-MN</v>
      </c>
    </row>
    <row r="171" spans="1:33">
      <c r="A171" s="52" t="s">
        <v>112</v>
      </c>
      <c r="B171" s="86">
        <f>B160/B159</f>
        <v>0.62701924561070088</v>
      </c>
      <c r="C171" s="86">
        <f>C160/C159</f>
        <v>0.49188505585610903</v>
      </c>
      <c r="D171" s="86">
        <f>SUM(D160:G160)/SUM(D159:G159)</f>
        <v>0.97794648642269799</v>
      </c>
      <c r="E171" s="86">
        <f>H160/H159</f>
        <v>0.67566425772120953</v>
      </c>
      <c r="F171" s="86">
        <f>I160/I159</f>
        <v>0.38735488552079972</v>
      </c>
      <c r="G171" s="86">
        <f t="shared" ref="G171:O171" si="93">J160/J159</f>
        <v>0.48383059612501034</v>
      </c>
      <c r="H171" s="86">
        <f t="shared" si="93"/>
        <v>0.34147236562033617</v>
      </c>
      <c r="I171" s="86">
        <f>L160/L159</f>
        <v>0.66124577139132867</v>
      </c>
      <c r="J171" s="86">
        <f>M160/M159</f>
        <v>0.58643177949590863</v>
      </c>
      <c r="K171" s="86">
        <f>N160/N159</f>
        <v>0.42868870332602199</v>
      </c>
      <c r="L171" s="86">
        <f>O160/O159</f>
        <v>0.48929818632420863</v>
      </c>
      <c r="M171" s="86">
        <f t="shared" si="93"/>
        <v>0.38573489533936228</v>
      </c>
      <c r="N171" s="86">
        <f t="shared" si="93"/>
        <v>0.65011760575741617</v>
      </c>
      <c r="O171" s="86">
        <f t="shared" si="93"/>
        <v>0.39265424981273722</v>
      </c>
      <c r="P171" s="86">
        <f>SUM(S160:T160)/SUM(S159:T159)</f>
        <v>0.62750429201942282</v>
      </c>
      <c r="Q171" s="86">
        <f>U160/U159</f>
        <v>0.35290135200092076</v>
      </c>
      <c r="R171" s="86">
        <f>V160/V159</f>
        <v>0.53898172899809649</v>
      </c>
      <c r="S171" s="86">
        <f>W160/W159</f>
        <v>0.41518492287829123</v>
      </c>
      <c r="T171" s="86">
        <f>X160/X159</f>
        <v>0.6158414818895469</v>
      </c>
      <c r="U171" s="86">
        <f>SUM(Y160:Z160)/SUM(Y159:Z159)</f>
        <v>0.45951297770268701</v>
      </c>
      <c r="V171" s="86">
        <f>AA160/AA159</f>
        <v>0.10679066283859692</v>
      </c>
      <c r="W171" s="86">
        <f t="shared" ref="W171:AB171" si="94">AB160/AB159</f>
        <v>0.28562452588750031</v>
      </c>
      <c r="X171" s="86">
        <f t="shared" si="94"/>
        <v>0.26803420922161625</v>
      </c>
      <c r="Y171" s="86">
        <f t="shared" si="94"/>
        <v>0.39821469443808649</v>
      </c>
      <c r="Z171" s="86">
        <f t="shared" si="94"/>
        <v>0.3053192606595253</v>
      </c>
      <c r="AA171" s="86">
        <f t="shared" si="94"/>
        <v>0.27271470928187347</v>
      </c>
      <c r="AB171" s="86">
        <f t="shared" si="94"/>
        <v>0.29317759749780081</v>
      </c>
    </row>
    <row r="172" spans="1:33">
      <c r="A172" s="52" t="s">
        <v>111</v>
      </c>
      <c r="B172" s="86">
        <f>B161/B159</f>
        <v>0.37298075438929917</v>
      </c>
      <c r="C172" s="86">
        <f>C161/C159</f>
        <v>0.50811494414389091</v>
      </c>
      <c r="D172" s="86">
        <f>SUM(D161:G161)/SUM(D159:G159)</f>
        <v>2.2053513577301967E-2</v>
      </c>
      <c r="E172" s="86">
        <f>H161/H159</f>
        <v>0.32433574227879047</v>
      </c>
      <c r="F172" s="86">
        <f>I161/I159</f>
        <v>0.61264511447920023</v>
      </c>
      <c r="G172" s="86">
        <f t="shared" ref="G172:O172" si="95">J161/J159</f>
        <v>0.51616940387498966</v>
      </c>
      <c r="H172" s="86">
        <f t="shared" si="95"/>
        <v>0.65852763437966388</v>
      </c>
      <c r="I172" s="86">
        <f>L161/L159</f>
        <v>0.33875422860867138</v>
      </c>
      <c r="J172" s="86">
        <f>M161/M159</f>
        <v>0.41356822050409137</v>
      </c>
      <c r="K172" s="86">
        <f>N161/N159</f>
        <v>0.57131129667397806</v>
      </c>
      <c r="L172" s="86">
        <f t="shared" si="95"/>
        <v>0.51070181367579137</v>
      </c>
      <c r="M172" s="86">
        <f t="shared" si="95"/>
        <v>0.61426510466063766</v>
      </c>
      <c r="N172" s="86">
        <f t="shared" si="95"/>
        <v>0.34988239424258383</v>
      </c>
      <c r="O172" s="86">
        <f t="shared" si="95"/>
        <v>0.60734575018726278</v>
      </c>
      <c r="P172" s="86">
        <f>SUM(S161:T161)/SUM(S159:T159)</f>
        <v>0.37249570798057724</v>
      </c>
      <c r="Q172" s="86">
        <f>U161/U159</f>
        <v>0.64709864799907924</v>
      </c>
      <c r="R172" s="86">
        <f>V161/V159</f>
        <v>0.46101827100190357</v>
      </c>
      <c r="S172" s="86">
        <f>W161/W159</f>
        <v>0.58481507712170877</v>
      </c>
      <c r="T172" s="86">
        <f>X161/X159</f>
        <v>0.3841585181104531</v>
      </c>
      <c r="U172" s="86">
        <f>SUM(Y161:Z161)/SUM(Y159:Z159)</f>
        <v>0.54048702229731305</v>
      </c>
      <c r="V172" s="86">
        <f>AA161/AA159</f>
        <v>0.89320933716140305</v>
      </c>
      <c r="W172" s="86">
        <f t="shared" ref="W172:AB172" si="96">AB161/AB159</f>
        <v>0.71437547411249969</v>
      </c>
      <c r="X172" s="86">
        <f t="shared" si="96"/>
        <v>0.73196579077838375</v>
      </c>
      <c r="Y172" s="86">
        <f>AD161/AD159</f>
        <v>0.60178530556191345</v>
      </c>
      <c r="Z172" s="86">
        <f t="shared" si="96"/>
        <v>0.6946807393404747</v>
      </c>
      <c r="AA172" s="86">
        <f t="shared" si="96"/>
        <v>0.72728529071812653</v>
      </c>
      <c r="AB172" s="86">
        <f t="shared" si="96"/>
        <v>0.70682240250219919</v>
      </c>
    </row>
    <row r="173" spans="1:33">
      <c r="A173" s="84" t="s">
        <v>16</v>
      </c>
      <c r="B173" s="102">
        <f>SUM(B171:B172)</f>
        <v>1</v>
      </c>
      <c r="C173" s="102">
        <f>SUM(C171:C172)</f>
        <v>1</v>
      </c>
      <c r="D173" s="102">
        <f>SUM(D171:D172)</f>
        <v>1</v>
      </c>
      <c r="E173" s="102">
        <f>SUM(E171:E172)</f>
        <v>1</v>
      </c>
      <c r="F173" s="102">
        <f t="shared" ref="F173:Q173" si="97">SUM(F171:F172)</f>
        <v>1</v>
      </c>
      <c r="G173" s="102">
        <f t="shared" si="97"/>
        <v>1</v>
      </c>
      <c r="H173" s="102">
        <f t="shared" si="97"/>
        <v>1</v>
      </c>
      <c r="I173" s="102">
        <f t="shared" si="97"/>
        <v>1</v>
      </c>
      <c r="J173" s="102">
        <f t="shared" si="97"/>
        <v>1</v>
      </c>
      <c r="K173" s="102">
        <f t="shared" si="97"/>
        <v>1</v>
      </c>
      <c r="L173" s="102">
        <f t="shared" si="97"/>
        <v>1</v>
      </c>
      <c r="M173" s="102">
        <f t="shared" si="97"/>
        <v>1</v>
      </c>
      <c r="N173" s="102">
        <f t="shared" si="97"/>
        <v>1</v>
      </c>
      <c r="O173" s="102">
        <f t="shared" si="97"/>
        <v>1</v>
      </c>
      <c r="P173" s="102">
        <f t="shared" si="97"/>
        <v>1</v>
      </c>
      <c r="Q173" s="102">
        <f t="shared" si="97"/>
        <v>1</v>
      </c>
      <c r="R173" s="102">
        <f t="shared" ref="R173" si="98">SUM(R171:R172)</f>
        <v>1</v>
      </c>
      <c r="S173" s="102">
        <f t="shared" ref="S173" si="99">SUM(S171:S172)</f>
        <v>1</v>
      </c>
      <c r="T173" s="102">
        <f t="shared" ref="T173" si="100">SUM(T171:T172)</f>
        <v>1</v>
      </c>
      <c r="U173" s="102">
        <f t="shared" ref="U173" si="101">SUM(U171:U172)</f>
        <v>1</v>
      </c>
      <c r="V173" s="102">
        <f t="shared" ref="V173" si="102">SUM(V171:V172)</f>
        <v>1</v>
      </c>
      <c r="W173" s="102">
        <f t="shared" ref="W173" si="103">SUM(W171:W172)</f>
        <v>1</v>
      </c>
      <c r="X173" s="102">
        <f t="shared" ref="X173" si="104">SUM(X171:X172)</f>
        <v>1</v>
      </c>
      <c r="Y173" s="102">
        <f t="shared" ref="Y173" si="105">SUM(Y171:Y172)</f>
        <v>1</v>
      </c>
      <c r="Z173" s="102">
        <f t="shared" ref="Z173" si="106">SUM(Z171:Z172)</f>
        <v>1</v>
      </c>
      <c r="AA173" s="102">
        <f t="shared" ref="AA173" si="107">SUM(AA171:AA172)</f>
        <v>1</v>
      </c>
      <c r="AB173" s="102">
        <f t="shared" ref="AB173" si="108">SUM(AB171:AB172)</f>
        <v>1</v>
      </c>
    </row>
    <row r="174" spans="1:33">
      <c r="A174" s="52" t="s">
        <v>412</v>
      </c>
    </row>
    <row r="175" spans="1:33">
      <c r="A175" s="52"/>
    </row>
    <row r="177" spans="1:30">
      <c r="AD177" s="5"/>
    </row>
    <row r="178" spans="1:30">
      <c r="A178" t="s">
        <v>421</v>
      </c>
      <c r="AD178" s="5"/>
    </row>
    <row r="179" spans="1:30">
      <c r="A179" s="82" t="s">
        <v>420</v>
      </c>
      <c r="B179" s="82" t="s">
        <v>419</v>
      </c>
      <c r="AD179" s="5"/>
    </row>
    <row r="180" spans="1:30">
      <c r="A180" t="s">
        <v>422</v>
      </c>
      <c r="B180" t="s">
        <v>341</v>
      </c>
      <c r="AD180" s="5"/>
    </row>
    <row r="181" spans="1:30">
      <c r="A181" t="s">
        <v>423</v>
      </c>
      <c r="B181" t="s">
        <v>342</v>
      </c>
      <c r="AD181" s="5"/>
    </row>
    <row r="182" spans="1:30">
      <c r="A182" s="79" t="s">
        <v>424</v>
      </c>
      <c r="B182" s="79" t="s">
        <v>343</v>
      </c>
      <c r="AD182" s="5"/>
    </row>
    <row r="183" spans="1:30">
      <c r="A183" s="52" t="s">
        <v>436</v>
      </c>
      <c r="AD183" s="5"/>
    </row>
    <row r="184" spans="1:30">
      <c r="A184" s="18" t="s">
        <v>437</v>
      </c>
      <c r="AD184" s="5"/>
    </row>
    <row r="185" spans="1:30">
      <c r="A185" s="18" t="s">
        <v>435</v>
      </c>
      <c r="AD185" s="5"/>
    </row>
    <row r="186" spans="1:30">
      <c r="A186" s="18" t="s">
        <v>438</v>
      </c>
      <c r="AD186" s="5"/>
    </row>
    <row r="187" spans="1:30">
      <c r="A187" s="18" t="s">
        <v>434</v>
      </c>
      <c r="AD187" s="5"/>
    </row>
    <row r="188" spans="1:30">
      <c r="A188" s="18" t="s">
        <v>513</v>
      </c>
      <c r="AD188" s="5"/>
    </row>
    <row r="190" spans="1:30">
      <c r="AD190" s="5"/>
    </row>
    <row r="192" spans="1:30" ht="15.5">
      <c r="A192" s="101" t="s">
        <v>415</v>
      </c>
      <c r="B192" s="101"/>
      <c r="C192" s="28"/>
      <c r="D192" s="28"/>
      <c r="G192" s="101" t="s">
        <v>391</v>
      </c>
      <c r="H192" s="101"/>
      <c r="I192" s="28"/>
      <c r="J192" s="28"/>
      <c r="K192" s="28"/>
      <c r="L192" s="28"/>
      <c r="M192" s="28"/>
      <c r="N192" s="28"/>
      <c r="O192" s="28"/>
    </row>
    <row r="193" spans="1:28">
      <c r="A193" s="82" t="s">
        <v>388</v>
      </c>
      <c r="B193" s="80" t="s">
        <v>416</v>
      </c>
      <c r="C193" s="80" t="s">
        <v>417</v>
      </c>
      <c r="D193" s="80" t="s">
        <v>418</v>
      </c>
      <c r="E193" s="80" t="s">
        <v>16</v>
      </c>
      <c r="G193" s="82" t="s">
        <v>388</v>
      </c>
      <c r="H193" s="80" t="s">
        <v>335</v>
      </c>
      <c r="I193" s="80" t="s">
        <v>332</v>
      </c>
      <c r="J193" s="80" t="s">
        <v>378</v>
      </c>
      <c r="K193" s="80" t="s">
        <v>379</v>
      </c>
      <c r="L193" s="80" t="s">
        <v>24</v>
      </c>
      <c r="M193" s="80" t="s">
        <v>380</v>
      </c>
      <c r="N193" s="80" t="s">
        <v>13</v>
      </c>
      <c r="O193" s="80" t="s">
        <v>1</v>
      </c>
    </row>
    <row r="194" spans="1:28">
      <c r="A194" t="s">
        <v>371</v>
      </c>
      <c r="B194" s="86">
        <v>0.5</v>
      </c>
      <c r="C194" s="86">
        <v>0.41</v>
      </c>
      <c r="D194" s="86">
        <v>0.09</v>
      </c>
      <c r="E194" s="86">
        <f>SUM(B194:D194)</f>
        <v>0.99999999999999989</v>
      </c>
      <c r="G194" t="s">
        <v>371</v>
      </c>
      <c r="H194" s="86">
        <v>0.71</v>
      </c>
      <c r="I194" s="86">
        <v>0.18</v>
      </c>
      <c r="J194" s="86">
        <v>0.05</v>
      </c>
      <c r="K194" s="86">
        <v>0.03</v>
      </c>
      <c r="L194" s="86">
        <v>0.01</v>
      </c>
      <c r="M194" s="86">
        <v>1.7999999999999999E-2</v>
      </c>
      <c r="N194" s="86">
        <v>4.0000000000000001E-3</v>
      </c>
      <c r="O194" s="4">
        <f>SUM(H194:N194)</f>
        <v>1.002</v>
      </c>
    </row>
    <row r="195" spans="1:28">
      <c r="A195" t="s">
        <v>375</v>
      </c>
      <c r="B195" s="4">
        <v>0.61</v>
      </c>
      <c r="C195" s="4">
        <v>0.35</v>
      </c>
      <c r="D195" s="4">
        <v>0.04</v>
      </c>
      <c r="E195" s="4">
        <f>SUM(B195:D195)</f>
        <v>1</v>
      </c>
      <c r="G195" t="s">
        <v>375</v>
      </c>
      <c r="H195" s="4">
        <v>0.42</v>
      </c>
      <c r="I195" s="4">
        <v>0.28999999999999998</v>
      </c>
      <c r="J195" s="4">
        <v>0.16</v>
      </c>
      <c r="K195" s="4">
        <v>0.09</v>
      </c>
      <c r="L195" s="4">
        <v>0.02</v>
      </c>
      <c r="M195" s="4">
        <v>0.01</v>
      </c>
      <c r="N195" s="4">
        <v>6.0000000000000001E-3</v>
      </c>
      <c r="O195" s="4">
        <f>SUM(H195:N195)</f>
        <v>0.996</v>
      </c>
    </row>
    <row r="196" spans="1:28">
      <c r="A196" t="s">
        <v>381</v>
      </c>
      <c r="B196" s="4">
        <v>0.52</v>
      </c>
      <c r="C196" s="4">
        <v>0.4</v>
      </c>
      <c r="D196" s="4">
        <v>0.08</v>
      </c>
      <c r="E196" s="4">
        <f>SUM(B196:D196)</f>
        <v>1</v>
      </c>
      <c r="G196" t="s">
        <v>381</v>
      </c>
      <c r="H196" s="4">
        <v>0.63</v>
      </c>
      <c r="I196" s="4">
        <v>0.2</v>
      </c>
      <c r="J196" s="4">
        <v>0.09</v>
      </c>
      <c r="K196" s="4">
        <v>0.05</v>
      </c>
      <c r="L196" s="4">
        <v>0.02</v>
      </c>
      <c r="M196" s="4">
        <v>8.9999999999999993E-3</v>
      </c>
      <c r="N196" s="4">
        <v>1E-3</v>
      </c>
      <c r="O196" s="4">
        <f t="shared" ref="O196:O199" si="109">SUM(H196:N196)</f>
        <v>1</v>
      </c>
    </row>
    <row r="197" spans="1:28">
      <c r="A197" t="s">
        <v>376</v>
      </c>
      <c r="B197" s="4">
        <v>0.71</v>
      </c>
      <c r="C197" s="4">
        <v>0.25</v>
      </c>
      <c r="D197" s="4">
        <v>0.04</v>
      </c>
      <c r="E197" s="4">
        <f t="shared" ref="E197:E200" si="110">SUM(B197:D197)</f>
        <v>1</v>
      </c>
      <c r="G197" t="s">
        <v>376</v>
      </c>
      <c r="H197" s="4">
        <v>0.62</v>
      </c>
      <c r="I197" s="4">
        <v>0.27</v>
      </c>
      <c r="J197" s="4">
        <v>0.05</v>
      </c>
      <c r="K197" s="4">
        <v>0.05</v>
      </c>
      <c r="L197" s="4">
        <v>0</v>
      </c>
      <c r="M197" s="4">
        <v>8.9999999999999993E-3</v>
      </c>
      <c r="N197" s="4">
        <v>1E-3</v>
      </c>
      <c r="O197" s="4">
        <f t="shared" si="109"/>
        <v>1</v>
      </c>
    </row>
    <row r="198" spans="1:28">
      <c r="A198" t="s">
        <v>377</v>
      </c>
      <c r="B198" s="4">
        <v>0.56000000000000005</v>
      </c>
      <c r="C198" s="4">
        <v>0.35</v>
      </c>
      <c r="D198" s="4">
        <v>0.09</v>
      </c>
      <c r="E198" s="4">
        <f t="shared" si="110"/>
        <v>1</v>
      </c>
      <c r="G198" t="s">
        <v>377</v>
      </c>
      <c r="H198" s="4">
        <v>0.76</v>
      </c>
      <c r="I198" s="4">
        <v>0.18</v>
      </c>
      <c r="J198" s="4">
        <v>0.03</v>
      </c>
      <c r="K198" s="4">
        <v>0.01</v>
      </c>
      <c r="L198" s="4">
        <v>0</v>
      </c>
      <c r="M198" s="4">
        <v>0.01</v>
      </c>
      <c r="N198" s="4">
        <v>0.01</v>
      </c>
      <c r="O198" s="4">
        <f t="shared" si="109"/>
        <v>1</v>
      </c>
    </row>
    <row r="199" spans="1:28">
      <c r="A199" t="s">
        <v>387</v>
      </c>
      <c r="B199" s="4">
        <v>0.7</v>
      </c>
      <c r="C199" s="4">
        <v>0.21</v>
      </c>
      <c r="D199" s="4">
        <v>0.09</v>
      </c>
      <c r="E199" s="4">
        <f t="shared" si="110"/>
        <v>0.99999999999999989</v>
      </c>
      <c r="G199" t="s">
        <v>387</v>
      </c>
      <c r="H199" s="4">
        <v>0.64</v>
      </c>
      <c r="I199" s="4">
        <v>0.28999999999999998</v>
      </c>
      <c r="J199" s="4">
        <v>0.03</v>
      </c>
      <c r="K199" s="4">
        <v>0.02</v>
      </c>
      <c r="L199" s="4">
        <v>0</v>
      </c>
      <c r="M199" s="4">
        <v>0.01</v>
      </c>
      <c r="N199" s="4">
        <v>0.01</v>
      </c>
      <c r="O199" s="4">
        <f t="shared" si="109"/>
        <v>1</v>
      </c>
    </row>
    <row r="200" spans="1:28">
      <c r="A200" s="79" t="s">
        <v>111</v>
      </c>
      <c r="B200" s="102">
        <v>0.38</v>
      </c>
      <c r="C200" s="102">
        <v>0.5</v>
      </c>
      <c r="D200" s="102">
        <v>0.12</v>
      </c>
      <c r="E200" s="102">
        <f t="shared" si="110"/>
        <v>1</v>
      </c>
      <c r="G200" s="79" t="s">
        <v>111</v>
      </c>
      <c r="H200" s="102">
        <v>0.81</v>
      </c>
      <c r="I200" s="102">
        <v>0.11</v>
      </c>
      <c r="J200" s="102">
        <v>0.04</v>
      </c>
      <c r="K200" s="102">
        <v>0.01</v>
      </c>
      <c r="L200" s="102">
        <v>0</v>
      </c>
      <c r="M200" s="102">
        <v>0.02</v>
      </c>
      <c r="N200" s="102">
        <v>0.01</v>
      </c>
      <c r="O200" s="102">
        <f>SUM(H200:N200)</f>
        <v>1</v>
      </c>
    </row>
    <row r="201" spans="1:28">
      <c r="A201" t="s">
        <v>389</v>
      </c>
      <c r="B201" s="28"/>
      <c r="C201" s="28"/>
      <c r="D201" s="28"/>
      <c r="G201" t="s">
        <v>389</v>
      </c>
      <c r="L201" s="28"/>
      <c r="M201" s="28"/>
      <c r="N201" s="28"/>
      <c r="O201" s="28"/>
    </row>
    <row r="202" spans="1:28">
      <c r="A202" t="s">
        <v>572</v>
      </c>
    </row>
    <row r="206" spans="1:28" ht="15.5">
      <c r="A206" s="101" t="s">
        <v>868</v>
      </c>
      <c r="B206" s="283"/>
      <c r="C206" s="283"/>
      <c r="I206" s="771" t="s">
        <v>863</v>
      </c>
      <c r="J206" s="771"/>
      <c r="K206" s="771"/>
      <c r="L206" s="771"/>
      <c r="M206" s="771"/>
      <c r="N206" s="771"/>
      <c r="O206" s="771"/>
      <c r="P206" s="771"/>
      <c r="Q206" s="771"/>
      <c r="R206" s="771"/>
      <c r="S206" s="771"/>
      <c r="T206" s="771"/>
      <c r="U206" s="771"/>
      <c r="V206" s="771"/>
      <c r="W206" s="771"/>
      <c r="X206" s="771"/>
      <c r="Y206" s="771"/>
      <c r="Z206" s="771"/>
      <c r="AA206" s="771"/>
      <c r="AB206" s="771"/>
    </row>
    <row r="207" spans="1:28">
      <c r="A207" s="82" t="s">
        <v>831</v>
      </c>
      <c r="B207" s="82" t="s">
        <v>419</v>
      </c>
      <c r="C207" s="82" t="s">
        <v>832</v>
      </c>
      <c r="I207" s="772" t="s">
        <v>854</v>
      </c>
      <c r="J207" s="774" t="s">
        <v>294</v>
      </c>
      <c r="K207" s="774"/>
      <c r="L207" s="774"/>
      <c r="M207" s="12"/>
      <c r="N207" s="774" t="s">
        <v>635</v>
      </c>
      <c r="O207" s="774"/>
      <c r="P207" s="774"/>
      <c r="Q207" s="12"/>
      <c r="R207" s="774" t="s">
        <v>296</v>
      </c>
      <c r="S207" s="774"/>
      <c r="T207" s="774"/>
      <c r="U207" s="12"/>
      <c r="V207" s="774" t="s">
        <v>855</v>
      </c>
      <c r="W207" s="774"/>
      <c r="X207" s="774"/>
      <c r="Y207" s="12"/>
      <c r="Z207" s="774" t="s">
        <v>530</v>
      </c>
      <c r="AA207" s="774"/>
      <c r="AB207" s="774"/>
    </row>
    <row r="208" spans="1:28" ht="21.5">
      <c r="A208" s="282"/>
      <c r="B208" s="285" t="s">
        <v>892</v>
      </c>
      <c r="C208" s="285" t="s">
        <v>833</v>
      </c>
      <c r="I208" s="773"/>
      <c r="J208" s="288" t="s">
        <v>856</v>
      </c>
      <c r="K208" s="289" t="s">
        <v>857</v>
      </c>
      <c r="L208" s="289" t="s">
        <v>858</v>
      </c>
      <c r="M208" s="290"/>
      <c r="N208" s="288" t="s">
        <v>856</v>
      </c>
      <c r="O208" s="289" t="s">
        <v>857</v>
      </c>
      <c r="P208" s="289" t="s">
        <v>858</v>
      </c>
      <c r="Q208" s="290"/>
      <c r="R208" s="288" t="s">
        <v>856</v>
      </c>
      <c r="S208" s="289" t="s">
        <v>857</v>
      </c>
      <c r="T208" s="289" t="s">
        <v>858</v>
      </c>
      <c r="U208" s="290"/>
      <c r="V208" s="288" t="s">
        <v>856</v>
      </c>
      <c r="W208" s="289" t="s">
        <v>857</v>
      </c>
      <c r="X208" s="289" t="s">
        <v>858</v>
      </c>
      <c r="Y208" s="139"/>
      <c r="Z208" s="288" t="s">
        <v>856</v>
      </c>
      <c r="AA208" s="289" t="s">
        <v>857</v>
      </c>
      <c r="AB208" s="289" t="s">
        <v>858</v>
      </c>
    </row>
    <row r="209" spans="1:28">
      <c r="A209" t="s">
        <v>834</v>
      </c>
      <c r="B209" s="285">
        <v>13.6</v>
      </c>
      <c r="C209" s="285">
        <v>20.7</v>
      </c>
      <c r="I209" s="291" t="s">
        <v>344</v>
      </c>
      <c r="J209" s="292">
        <v>28512</v>
      </c>
      <c r="K209" s="292">
        <v>529</v>
      </c>
      <c r="L209" s="292">
        <v>18540</v>
      </c>
      <c r="M209" s="85"/>
      <c r="N209" s="292">
        <v>5809</v>
      </c>
      <c r="O209" s="292">
        <v>129</v>
      </c>
      <c r="P209" s="292">
        <v>22282</v>
      </c>
      <c r="Q209" s="85"/>
      <c r="R209" s="292">
        <v>563</v>
      </c>
      <c r="S209" s="292">
        <v>1</v>
      </c>
      <c r="T209" s="292">
        <v>2637</v>
      </c>
      <c r="U209" s="85"/>
      <c r="V209" s="292">
        <v>1948</v>
      </c>
      <c r="W209" s="292">
        <v>31</v>
      </c>
      <c r="X209" s="292">
        <v>16162</v>
      </c>
      <c r="Y209" s="85"/>
      <c r="Z209" s="292">
        <v>161</v>
      </c>
      <c r="AA209" s="292">
        <v>6</v>
      </c>
      <c r="AB209" s="292">
        <v>35951</v>
      </c>
    </row>
    <row r="210" spans="1:28">
      <c r="A210" t="s">
        <v>835</v>
      </c>
      <c r="B210" s="285">
        <v>20.5</v>
      </c>
      <c r="C210" s="285">
        <v>26.5</v>
      </c>
      <c r="I210" s="291" t="s">
        <v>367</v>
      </c>
      <c r="J210" s="292">
        <v>31849</v>
      </c>
      <c r="K210" s="292">
        <v>613</v>
      </c>
      <c r="L210" s="292">
        <v>19246</v>
      </c>
      <c r="M210" s="85"/>
      <c r="N210" s="292">
        <v>8050</v>
      </c>
      <c r="O210" s="292">
        <v>178</v>
      </c>
      <c r="P210" s="292">
        <v>22174</v>
      </c>
      <c r="Q210" s="85"/>
      <c r="R210" s="292">
        <v>448</v>
      </c>
      <c r="S210" s="292">
        <v>1</v>
      </c>
      <c r="T210" s="292">
        <v>2711</v>
      </c>
      <c r="U210" s="85"/>
      <c r="V210" s="292">
        <v>2762</v>
      </c>
      <c r="W210" s="292">
        <v>47</v>
      </c>
      <c r="X210" s="292">
        <v>17159</v>
      </c>
      <c r="Y210" s="85"/>
      <c r="Z210" s="292">
        <v>166</v>
      </c>
      <c r="AA210" s="292">
        <v>7</v>
      </c>
      <c r="AB210" s="292">
        <v>43668</v>
      </c>
    </row>
    <row r="211" spans="1:28">
      <c r="A211" t="s">
        <v>332</v>
      </c>
      <c r="B211" s="285">
        <v>2.7</v>
      </c>
      <c r="C211" s="285">
        <v>19.8</v>
      </c>
      <c r="I211" s="291" t="s">
        <v>356</v>
      </c>
      <c r="J211" s="292">
        <v>57429</v>
      </c>
      <c r="K211" s="292">
        <v>1070</v>
      </c>
      <c r="L211" s="292">
        <v>18635</v>
      </c>
      <c r="M211" s="85"/>
      <c r="N211" s="292">
        <v>9436</v>
      </c>
      <c r="O211" s="292">
        <v>198</v>
      </c>
      <c r="P211" s="292">
        <v>20976</v>
      </c>
      <c r="Q211" s="85"/>
      <c r="R211" s="292">
        <v>924</v>
      </c>
      <c r="S211" s="292">
        <v>3</v>
      </c>
      <c r="T211" s="292">
        <v>2726</v>
      </c>
      <c r="U211" s="85"/>
      <c r="V211" s="292">
        <v>3308</v>
      </c>
      <c r="W211" s="292">
        <v>60</v>
      </c>
      <c r="X211" s="292">
        <v>18027</v>
      </c>
      <c r="Y211" s="85"/>
      <c r="Z211" s="292">
        <v>353</v>
      </c>
      <c r="AA211" s="292">
        <v>14</v>
      </c>
      <c r="AB211" s="292">
        <v>39666</v>
      </c>
    </row>
    <row r="212" spans="1:28">
      <c r="A212" t="s">
        <v>836</v>
      </c>
      <c r="B212" s="285">
        <v>16.3</v>
      </c>
      <c r="C212" s="285">
        <v>40</v>
      </c>
      <c r="I212" s="291" t="s">
        <v>357</v>
      </c>
      <c r="J212" s="292">
        <v>257933</v>
      </c>
      <c r="K212" s="292">
        <v>4298</v>
      </c>
      <c r="L212" s="292">
        <v>16665</v>
      </c>
      <c r="M212" s="85"/>
      <c r="N212" s="292">
        <v>41521</v>
      </c>
      <c r="O212" s="292">
        <v>879</v>
      </c>
      <c r="P212" s="292">
        <v>21168</v>
      </c>
      <c r="Q212" s="85"/>
      <c r="R212" s="292">
        <v>5452</v>
      </c>
      <c r="S212" s="292">
        <v>15</v>
      </c>
      <c r="T212" s="292">
        <v>2688</v>
      </c>
      <c r="U212" s="85"/>
      <c r="V212" s="292">
        <v>11801</v>
      </c>
      <c r="W212" s="292">
        <v>201</v>
      </c>
      <c r="X212" s="292">
        <v>16990</v>
      </c>
      <c r="Y212" s="85"/>
      <c r="Z212" s="292">
        <v>1752</v>
      </c>
      <c r="AA212" s="292">
        <v>70</v>
      </c>
      <c r="AB212" s="292">
        <v>39919</v>
      </c>
    </row>
    <row r="213" spans="1:28">
      <c r="A213" t="s">
        <v>379</v>
      </c>
      <c r="B213" s="285">
        <v>5.7</v>
      </c>
      <c r="C213" s="285">
        <v>24.7</v>
      </c>
      <c r="I213" s="291" t="s">
        <v>368</v>
      </c>
      <c r="J213" s="292">
        <v>64284</v>
      </c>
      <c r="K213" s="292">
        <v>1167</v>
      </c>
      <c r="L213" s="292">
        <v>18151</v>
      </c>
      <c r="M213" s="85"/>
      <c r="N213" s="292">
        <v>14635</v>
      </c>
      <c r="O213" s="292">
        <v>289</v>
      </c>
      <c r="P213" s="292">
        <v>19749</v>
      </c>
      <c r="Q213" s="85"/>
      <c r="R213" s="292">
        <v>736</v>
      </c>
      <c r="S213" s="292">
        <v>2</v>
      </c>
      <c r="T213" s="292">
        <v>2793</v>
      </c>
      <c r="U213" s="85"/>
      <c r="V213" s="292">
        <v>3377</v>
      </c>
      <c r="W213" s="292">
        <v>64</v>
      </c>
      <c r="X213" s="292">
        <v>18812</v>
      </c>
      <c r="Y213" s="85"/>
      <c r="Z213" s="292">
        <v>365</v>
      </c>
      <c r="AA213" s="292">
        <v>15</v>
      </c>
      <c r="AB213" s="292">
        <v>40451</v>
      </c>
    </row>
    <row r="214" spans="1:28">
      <c r="A214" t="s">
        <v>837</v>
      </c>
      <c r="B214" s="285">
        <v>32.299999999999997</v>
      </c>
      <c r="C214" s="285">
        <v>49.4</v>
      </c>
      <c r="I214" s="291" t="s">
        <v>345</v>
      </c>
      <c r="J214" s="292">
        <v>542534</v>
      </c>
      <c r="K214" s="292">
        <v>7610</v>
      </c>
      <c r="L214" s="292">
        <v>14027</v>
      </c>
      <c r="M214" s="85"/>
      <c r="N214" s="292">
        <v>74522</v>
      </c>
      <c r="O214" s="292">
        <v>1769</v>
      </c>
      <c r="P214" s="292">
        <v>23744</v>
      </c>
      <c r="Q214" s="85"/>
      <c r="R214" s="292">
        <v>12616</v>
      </c>
      <c r="S214" s="292">
        <v>35</v>
      </c>
      <c r="T214" s="292">
        <v>2798</v>
      </c>
      <c r="U214" s="85"/>
      <c r="V214" s="292">
        <v>1868</v>
      </c>
      <c r="W214" s="292">
        <v>30</v>
      </c>
      <c r="X214" s="292">
        <v>16155</v>
      </c>
      <c r="Y214" s="85"/>
      <c r="Z214" s="292">
        <v>11149</v>
      </c>
      <c r="AA214" s="292">
        <v>430</v>
      </c>
      <c r="AB214" s="292">
        <v>38571</v>
      </c>
    </row>
    <row r="215" spans="1:28">
      <c r="A215" t="s">
        <v>838</v>
      </c>
      <c r="B215" s="285">
        <v>10.5</v>
      </c>
      <c r="C215" s="285">
        <v>17.8</v>
      </c>
      <c r="I215" s="291" t="s">
        <v>362</v>
      </c>
      <c r="J215" s="292">
        <v>114292</v>
      </c>
      <c r="K215" s="292">
        <v>2070</v>
      </c>
      <c r="L215" s="292">
        <v>18109</v>
      </c>
      <c r="M215" s="85"/>
      <c r="N215" s="292">
        <v>20357</v>
      </c>
      <c r="O215" s="292">
        <v>429</v>
      </c>
      <c r="P215" s="292">
        <v>21076</v>
      </c>
      <c r="Q215" s="85"/>
      <c r="R215" s="292">
        <v>1458</v>
      </c>
      <c r="S215" s="292">
        <v>4</v>
      </c>
      <c r="T215" s="292">
        <v>2701</v>
      </c>
      <c r="U215" s="85"/>
      <c r="V215" s="292">
        <v>5556</v>
      </c>
      <c r="W215" s="292">
        <v>99</v>
      </c>
      <c r="X215" s="292">
        <v>17765</v>
      </c>
      <c r="Y215" s="85"/>
      <c r="Z215" s="292">
        <v>962</v>
      </c>
      <c r="AA215" s="292">
        <v>39</v>
      </c>
      <c r="AB215" s="292">
        <v>40203</v>
      </c>
    </row>
    <row r="216" spans="1:28">
      <c r="A216" t="s">
        <v>839</v>
      </c>
      <c r="B216" s="285">
        <v>13.7</v>
      </c>
      <c r="C216" s="285">
        <v>33.1</v>
      </c>
      <c r="I216" s="291" t="s">
        <v>358</v>
      </c>
      <c r="J216" s="292">
        <v>71897</v>
      </c>
      <c r="K216" s="292">
        <v>1277</v>
      </c>
      <c r="L216" s="292">
        <v>17764</v>
      </c>
      <c r="M216" s="85"/>
      <c r="N216" s="292">
        <v>11920</v>
      </c>
      <c r="O216" s="292">
        <v>245</v>
      </c>
      <c r="P216" s="292">
        <v>20525</v>
      </c>
      <c r="Q216" s="85"/>
      <c r="R216" s="292">
        <v>1062</v>
      </c>
      <c r="S216" s="292">
        <v>3</v>
      </c>
      <c r="T216" s="292">
        <v>2680</v>
      </c>
      <c r="U216" s="85"/>
      <c r="V216" s="292">
        <v>4371</v>
      </c>
      <c r="W216" s="292">
        <v>75</v>
      </c>
      <c r="X216" s="292">
        <v>17133</v>
      </c>
      <c r="Y216" s="85"/>
      <c r="Z216" s="292">
        <v>468</v>
      </c>
      <c r="AA216" s="292">
        <v>18</v>
      </c>
      <c r="AB216" s="292">
        <v>38700</v>
      </c>
    </row>
    <row r="217" spans="1:28">
      <c r="A217" s="84" t="s">
        <v>840</v>
      </c>
      <c r="B217" s="84">
        <v>13.7</v>
      </c>
      <c r="C217" s="84">
        <v>23.3</v>
      </c>
      <c r="I217" s="291" t="s">
        <v>346</v>
      </c>
      <c r="J217" s="292">
        <v>103517</v>
      </c>
      <c r="K217" s="292">
        <v>1821</v>
      </c>
      <c r="L217" s="292">
        <v>17589</v>
      </c>
      <c r="M217" s="85"/>
      <c r="N217" s="292">
        <v>16092</v>
      </c>
      <c r="O217" s="292">
        <v>378</v>
      </c>
      <c r="P217" s="292">
        <v>23471</v>
      </c>
      <c r="Q217" s="85"/>
      <c r="R217" s="292">
        <v>2168</v>
      </c>
      <c r="S217" s="292">
        <v>6</v>
      </c>
      <c r="T217" s="292">
        <v>2728</v>
      </c>
      <c r="U217" s="85"/>
      <c r="V217" s="292">
        <v>2584</v>
      </c>
      <c r="W217" s="292">
        <v>43</v>
      </c>
      <c r="X217" s="292">
        <v>16821</v>
      </c>
      <c r="Y217" s="85"/>
      <c r="Z217" s="292">
        <v>824</v>
      </c>
      <c r="AA217" s="292">
        <v>35</v>
      </c>
      <c r="AB217" s="292">
        <v>42400</v>
      </c>
    </row>
    <row r="218" spans="1:28">
      <c r="A218" s="284" t="s">
        <v>853</v>
      </c>
      <c r="I218" s="291" t="s">
        <v>347</v>
      </c>
      <c r="J218" s="292">
        <v>44549</v>
      </c>
      <c r="K218" s="292">
        <v>827</v>
      </c>
      <c r="L218" s="292">
        <v>18553</v>
      </c>
      <c r="M218" s="85"/>
      <c r="N218" s="292">
        <v>8221</v>
      </c>
      <c r="O218" s="292">
        <v>189</v>
      </c>
      <c r="P218" s="292">
        <v>23000</v>
      </c>
      <c r="Q218" s="85"/>
      <c r="R218" s="292">
        <v>872</v>
      </c>
      <c r="S218" s="292">
        <v>2</v>
      </c>
      <c r="T218" s="292">
        <v>2652</v>
      </c>
      <c r="U218" s="85"/>
      <c r="V218" s="292">
        <v>3877</v>
      </c>
      <c r="W218" s="292">
        <v>66</v>
      </c>
      <c r="X218" s="292">
        <v>16990</v>
      </c>
      <c r="Y218" s="85"/>
      <c r="Z218" s="292">
        <v>216</v>
      </c>
      <c r="AA218" s="292">
        <v>9</v>
      </c>
      <c r="AB218" s="292">
        <v>41699</v>
      </c>
    </row>
    <row r="219" spans="1:28">
      <c r="I219" s="291" t="s">
        <v>348</v>
      </c>
      <c r="J219" s="292">
        <v>34880</v>
      </c>
      <c r="K219" s="292">
        <v>673</v>
      </c>
      <c r="L219" s="292">
        <v>19285</v>
      </c>
      <c r="M219" s="85"/>
      <c r="N219" s="292">
        <v>6035</v>
      </c>
      <c r="O219" s="292">
        <v>140</v>
      </c>
      <c r="P219" s="292">
        <v>23257</v>
      </c>
      <c r="Q219" s="85"/>
      <c r="R219" s="292">
        <v>513</v>
      </c>
      <c r="S219" s="292">
        <v>1</v>
      </c>
      <c r="T219" s="292">
        <v>2710</v>
      </c>
      <c r="U219" s="85"/>
      <c r="V219" s="292">
        <v>3011</v>
      </c>
      <c r="W219" s="292">
        <v>49</v>
      </c>
      <c r="X219" s="292">
        <v>16425</v>
      </c>
      <c r="Y219" s="85"/>
      <c r="Z219" s="292">
        <v>228</v>
      </c>
      <c r="AA219" s="292">
        <v>9</v>
      </c>
      <c r="AB219" s="292">
        <v>41149</v>
      </c>
    </row>
    <row r="220" spans="1:28">
      <c r="I220" s="291" t="s">
        <v>363</v>
      </c>
      <c r="J220" s="292">
        <v>14548</v>
      </c>
      <c r="K220" s="292">
        <v>285</v>
      </c>
      <c r="L220" s="292">
        <v>19581</v>
      </c>
      <c r="M220" s="85"/>
      <c r="N220" s="292">
        <v>3403</v>
      </c>
      <c r="O220" s="292">
        <v>70</v>
      </c>
      <c r="P220" s="292">
        <v>20646</v>
      </c>
      <c r="Q220" s="85"/>
      <c r="R220" s="292">
        <v>160</v>
      </c>
      <c r="S220" s="292">
        <v>0</v>
      </c>
      <c r="T220" s="292">
        <v>2725</v>
      </c>
      <c r="U220" s="85"/>
      <c r="V220" s="292">
        <v>1007</v>
      </c>
      <c r="W220" s="292">
        <v>18</v>
      </c>
      <c r="X220" s="292">
        <v>18237</v>
      </c>
      <c r="Y220" s="85"/>
      <c r="Z220" s="292">
        <v>65</v>
      </c>
      <c r="AA220" s="292">
        <v>3</v>
      </c>
      <c r="AB220" s="292">
        <v>42878</v>
      </c>
    </row>
    <row r="221" spans="1:28">
      <c r="I221" s="291" t="s">
        <v>359</v>
      </c>
      <c r="J221" s="292">
        <v>89182</v>
      </c>
      <c r="K221" s="292">
        <v>1580</v>
      </c>
      <c r="L221" s="292">
        <v>17715</v>
      </c>
      <c r="M221" s="85"/>
      <c r="N221" s="292">
        <v>13649</v>
      </c>
      <c r="O221" s="292">
        <v>322</v>
      </c>
      <c r="P221" s="292">
        <v>23592</v>
      </c>
      <c r="Q221" s="85"/>
      <c r="R221" s="292">
        <v>1489</v>
      </c>
      <c r="S221" s="292">
        <v>4</v>
      </c>
      <c r="T221" s="292">
        <v>2700</v>
      </c>
      <c r="U221" s="85"/>
      <c r="V221" s="292">
        <v>3915</v>
      </c>
      <c r="W221" s="292">
        <v>67</v>
      </c>
      <c r="X221" s="292">
        <v>17096</v>
      </c>
      <c r="Y221" s="85"/>
      <c r="Z221" s="292">
        <v>654</v>
      </c>
      <c r="AA221" s="292">
        <v>26</v>
      </c>
      <c r="AB221" s="292">
        <v>39988</v>
      </c>
    </row>
    <row r="222" spans="1:28" ht="15.5">
      <c r="A222" s="101" t="s">
        <v>867</v>
      </c>
      <c r="B222" s="283"/>
      <c r="C222" s="283"/>
      <c r="D222" s="283"/>
      <c r="E222" s="283"/>
      <c r="F222" s="283"/>
      <c r="G222" s="283"/>
      <c r="I222" s="291" t="s">
        <v>349</v>
      </c>
      <c r="J222" s="292">
        <v>17299</v>
      </c>
      <c r="K222" s="292">
        <v>341</v>
      </c>
      <c r="L222" s="292">
        <v>19691</v>
      </c>
      <c r="M222" s="85"/>
      <c r="N222" s="292">
        <v>3939</v>
      </c>
      <c r="O222" s="292">
        <v>88</v>
      </c>
      <c r="P222" s="292">
        <v>22266</v>
      </c>
      <c r="Q222" s="85"/>
      <c r="R222" s="292">
        <v>213</v>
      </c>
      <c r="S222" s="292">
        <v>1</v>
      </c>
      <c r="T222" s="292">
        <v>2669</v>
      </c>
      <c r="U222" s="85"/>
      <c r="V222" s="292">
        <v>1329</v>
      </c>
      <c r="W222" s="292">
        <v>23</v>
      </c>
      <c r="X222" s="292">
        <v>17369</v>
      </c>
      <c r="Y222" s="85"/>
      <c r="Z222" s="292">
        <v>88</v>
      </c>
      <c r="AA222" s="292">
        <v>4</v>
      </c>
      <c r="AB222" s="292">
        <v>45372</v>
      </c>
    </row>
    <row r="223" spans="1:28">
      <c r="A223" s="82" t="s">
        <v>831</v>
      </c>
      <c r="B223" s="82" t="s">
        <v>841</v>
      </c>
      <c r="C223" s="82" t="s">
        <v>842</v>
      </c>
      <c r="D223" s="82" t="s">
        <v>843</v>
      </c>
      <c r="E223" s="82" t="s">
        <v>844</v>
      </c>
      <c r="F223" s="82" t="s">
        <v>845</v>
      </c>
      <c r="G223" s="82" t="s">
        <v>1</v>
      </c>
      <c r="I223" s="291" t="s">
        <v>350</v>
      </c>
      <c r="J223" s="292">
        <v>51526</v>
      </c>
      <c r="K223" s="292">
        <v>902</v>
      </c>
      <c r="L223" s="292">
        <v>17505</v>
      </c>
      <c r="M223" s="85"/>
      <c r="N223" s="292">
        <v>8143</v>
      </c>
      <c r="O223" s="292">
        <v>188</v>
      </c>
      <c r="P223" s="292">
        <v>23094</v>
      </c>
      <c r="Q223" s="85"/>
      <c r="R223" s="292">
        <v>855</v>
      </c>
      <c r="S223" s="292">
        <v>2</v>
      </c>
      <c r="T223" s="292">
        <v>2758</v>
      </c>
      <c r="U223" s="85"/>
      <c r="V223" s="292">
        <v>1202</v>
      </c>
      <c r="W223" s="292">
        <v>21</v>
      </c>
      <c r="X223" s="292">
        <v>17116</v>
      </c>
      <c r="Y223" s="85"/>
      <c r="Z223" s="292">
        <v>580</v>
      </c>
      <c r="AA223" s="292">
        <v>24</v>
      </c>
      <c r="AB223" s="292">
        <v>42174</v>
      </c>
    </row>
    <row r="224" spans="1:28">
      <c r="A224" t="s">
        <v>834</v>
      </c>
      <c r="B224" s="286">
        <v>51.5</v>
      </c>
      <c r="C224" s="286">
        <v>66.099999999999994</v>
      </c>
      <c r="D224" s="286">
        <v>70.5</v>
      </c>
      <c r="E224" s="286">
        <v>70.599999999999994</v>
      </c>
      <c r="F224" s="286">
        <v>71.900000000000006</v>
      </c>
      <c r="G224" s="286">
        <v>64.900000000000006</v>
      </c>
      <c r="I224" s="291" t="s">
        <v>364</v>
      </c>
      <c r="J224" s="292">
        <v>60960</v>
      </c>
      <c r="K224" s="292">
        <v>1136</v>
      </c>
      <c r="L224" s="292">
        <v>18636</v>
      </c>
      <c r="M224" s="85"/>
      <c r="N224" s="292">
        <v>13362</v>
      </c>
      <c r="O224" s="292">
        <v>271</v>
      </c>
      <c r="P224" s="292">
        <v>20262</v>
      </c>
      <c r="Q224" s="85"/>
      <c r="R224" s="292">
        <v>605</v>
      </c>
      <c r="S224" s="292">
        <v>2</v>
      </c>
      <c r="T224" s="292">
        <v>2718</v>
      </c>
      <c r="U224" s="85"/>
      <c r="V224" s="292">
        <v>5011</v>
      </c>
      <c r="W224" s="292">
        <v>87</v>
      </c>
      <c r="X224" s="292">
        <v>17458</v>
      </c>
      <c r="Y224" s="85"/>
      <c r="Z224" s="292">
        <v>293</v>
      </c>
      <c r="AA224" s="292">
        <v>11</v>
      </c>
      <c r="AB224" s="292">
        <v>38084</v>
      </c>
    </row>
    <row r="225" spans="1:28">
      <c r="A225" t="s">
        <v>835</v>
      </c>
      <c r="B225" s="286">
        <v>5.4</v>
      </c>
      <c r="C225" s="286">
        <v>6.5</v>
      </c>
      <c r="D225" s="286">
        <v>8.5</v>
      </c>
      <c r="E225" s="286">
        <v>7</v>
      </c>
      <c r="F225" s="286">
        <v>12.7</v>
      </c>
      <c r="G225" s="286">
        <v>8.8000000000000007</v>
      </c>
      <c r="I225" s="291" t="s">
        <v>351</v>
      </c>
      <c r="J225" s="292">
        <v>88359</v>
      </c>
      <c r="K225" s="292">
        <v>1612</v>
      </c>
      <c r="L225" s="292">
        <v>18249</v>
      </c>
      <c r="M225" s="85"/>
      <c r="N225" s="292">
        <v>14783</v>
      </c>
      <c r="O225" s="292">
        <v>357</v>
      </c>
      <c r="P225" s="292">
        <v>24156</v>
      </c>
      <c r="Q225" s="85"/>
      <c r="R225" s="292">
        <v>1684</v>
      </c>
      <c r="S225" s="292">
        <v>5</v>
      </c>
      <c r="T225" s="292">
        <v>2722</v>
      </c>
      <c r="U225" s="85"/>
      <c r="V225" s="292">
        <v>3068</v>
      </c>
      <c r="W225" s="292">
        <v>53</v>
      </c>
      <c r="X225" s="292">
        <v>17195</v>
      </c>
      <c r="Y225" s="85"/>
      <c r="Z225" s="292">
        <v>978</v>
      </c>
      <c r="AA225" s="292">
        <v>42</v>
      </c>
      <c r="AB225" s="292">
        <v>43398</v>
      </c>
    </row>
    <row r="226" spans="1:28">
      <c r="A226" t="s">
        <v>332</v>
      </c>
      <c r="B226" s="286">
        <v>36.1</v>
      </c>
      <c r="C226" s="286">
        <v>12.6</v>
      </c>
      <c r="D226" s="286">
        <v>5.5</v>
      </c>
      <c r="E226" s="286">
        <v>4.9000000000000004</v>
      </c>
      <c r="F226" s="286">
        <v>0.7</v>
      </c>
      <c r="G226" s="286">
        <v>13.5</v>
      </c>
      <c r="I226" s="291" t="s">
        <v>369</v>
      </c>
      <c r="J226" s="292">
        <v>25718</v>
      </c>
      <c r="K226" s="292">
        <v>492</v>
      </c>
      <c r="L226" s="292">
        <v>19132</v>
      </c>
      <c r="M226" s="85"/>
      <c r="N226" s="292">
        <v>7968</v>
      </c>
      <c r="O226" s="292">
        <v>199</v>
      </c>
      <c r="P226" s="292">
        <v>25034</v>
      </c>
      <c r="Q226" s="85"/>
      <c r="R226" s="292">
        <v>301</v>
      </c>
      <c r="S226" s="292">
        <v>1</v>
      </c>
      <c r="T226" s="292">
        <v>2780</v>
      </c>
      <c r="U226" s="85"/>
      <c r="V226" s="292">
        <v>1890</v>
      </c>
      <c r="W226" s="292">
        <v>34</v>
      </c>
      <c r="X226" s="292">
        <v>18227</v>
      </c>
      <c r="Y226" s="85"/>
      <c r="Z226" s="292">
        <v>79</v>
      </c>
      <c r="AA226" s="292">
        <v>3</v>
      </c>
      <c r="AB226" s="292">
        <v>41055</v>
      </c>
    </row>
    <row r="227" spans="1:28">
      <c r="A227" t="s">
        <v>836</v>
      </c>
      <c r="B227" s="286">
        <v>1.7</v>
      </c>
      <c r="C227" s="286">
        <v>8.1</v>
      </c>
      <c r="D227" s="286">
        <v>6.7</v>
      </c>
      <c r="E227" s="286">
        <v>7.8</v>
      </c>
      <c r="F227" s="286">
        <v>4.7</v>
      </c>
      <c r="G227" s="286">
        <v>4.8</v>
      </c>
      <c r="I227" s="291" t="s">
        <v>352</v>
      </c>
      <c r="J227" s="292">
        <v>34485</v>
      </c>
      <c r="K227" s="292">
        <v>660</v>
      </c>
      <c r="L227" s="292">
        <v>19141</v>
      </c>
      <c r="M227" s="85"/>
      <c r="N227" s="292">
        <v>6525</v>
      </c>
      <c r="O227" s="292">
        <v>139</v>
      </c>
      <c r="P227" s="292">
        <v>21360</v>
      </c>
      <c r="Q227" s="85"/>
      <c r="R227" s="292">
        <v>669</v>
      </c>
      <c r="S227" s="292">
        <v>2</v>
      </c>
      <c r="T227" s="292">
        <v>2656</v>
      </c>
      <c r="U227" s="85"/>
      <c r="V227" s="292">
        <v>2620</v>
      </c>
      <c r="W227" s="292">
        <v>47</v>
      </c>
      <c r="X227" s="292">
        <v>17800</v>
      </c>
      <c r="Y227" s="85"/>
      <c r="Z227" s="292">
        <v>167</v>
      </c>
      <c r="AA227" s="292">
        <v>6</v>
      </c>
      <c r="AB227" s="292">
        <v>37758</v>
      </c>
    </row>
    <row r="228" spans="1:28">
      <c r="A228" t="s">
        <v>379</v>
      </c>
      <c r="B228" s="286">
        <v>2</v>
      </c>
      <c r="C228" s="286">
        <v>2.2999999999999998</v>
      </c>
      <c r="D228" s="286">
        <v>1.6</v>
      </c>
      <c r="E228" s="286">
        <v>2.2999999999999998</v>
      </c>
      <c r="F228" s="286">
        <v>0.7</v>
      </c>
      <c r="G228" s="286">
        <v>1.5</v>
      </c>
      <c r="I228" s="291" t="s">
        <v>365</v>
      </c>
      <c r="J228" s="292">
        <v>32566</v>
      </c>
      <c r="K228" s="292">
        <v>661</v>
      </c>
      <c r="L228" s="292">
        <v>20301</v>
      </c>
      <c r="M228" s="85"/>
      <c r="N228" s="292">
        <v>6384</v>
      </c>
      <c r="O228" s="292">
        <v>138</v>
      </c>
      <c r="P228" s="292">
        <v>21565</v>
      </c>
      <c r="Q228" s="85"/>
      <c r="R228" s="292">
        <v>295</v>
      </c>
      <c r="S228" s="292">
        <v>1</v>
      </c>
      <c r="T228" s="292">
        <v>2729</v>
      </c>
      <c r="U228" s="85"/>
      <c r="V228" s="292">
        <v>2509</v>
      </c>
      <c r="W228" s="292">
        <v>45</v>
      </c>
      <c r="X228" s="292">
        <v>18122</v>
      </c>
      <c r="Y228" s="85"/>
      <c r="Z228" s="292">
        <v>132</v>
      </c>
      <c r="AA228" s="292">
        <v>5</v>
      </c>
      <c r="AB228" s="292">
        <v>38818</v>
      </c>
    </row>
    <row r="229" spans="1:28">
      <c r="A229" t="s">
        <v>837</v>
      </c>
      <c r="B229" s="286">
        <v>0.2</v>
      </c>
      <c r="C229" s="286">
        <v>1.2</v>
      </c>
      <c r="D229" s="286">
        <v>2.1</v>
      </c>
      <c r="E229" s="286">
        <v>3.3</v>
      </c>
      <c r="F229" s="286">
        <v>2.9</v>
      </c>
      <c r="G229" s="286">
        <v>1.8</v>
      </c>
      <c r="I229" s="291" t="s">
        <v>366</v>
      </c>
      <c r="J229" s="292">
        <v>29107</v>
      </c>
      <c r="K229" s="292">
        <v>525</v>
      </c>
      <c r="L229" s="292">
        <v>18042</v>
      </c>
      <c r="M229" s="85"/>
      <c r="N229" s="292">
        <v>6045</v>
      </c>
      <c r="O229" s="292">
        <v>121</v>
      </c>
      <c r="P229" s="292">
        <v>20073</v>
      </c>
      <c r="Q229" s="85"/>
      <c r="R229" s="292">
        <v>400</v>
      </c>
      <c r="S229" s="292">
        <v>1</v>
      </c>
      <c r="T229" s="292">
        <v>2648</v>
      </c>
      <c r="U229" s="85"/>
      <c r="V229" s="292">
        <v>1706</v>
      </c>
      <c r="W229" s="292">
        <v>30</v>
      </c>
      <c r="X229" s="292">
        <v>17755</v>
      </c>
      <c r="Y229" s="85"/>
      <c r="Z229" s="292">
        <v>169</v>
      </c>
      <c r="AA229" s="292">
        <v>7</v>
      </c>
      <c r="AB229" s="292">
        <v>39241</v>
      </c>
    </row>
    <row r="230" spans="1:28">
      <c r="A230" t="s">
        <v>846</v>
      </c>
      <c r="B230" s="286">
        <v>0</v>
      </c>
      <c r="C230" s="286">
        <v>0.1</v>
      </c>
      <c r="D230" s="286">
        <v>0.4</v>
      </c>
      <c r="E230" s="286">
        <v>0.8</v>
      </c>
      <c r="F230" s="286">
        <v>1.6</v>
      </c>
      <c r="G230" s="286">
        <v>0.7</v>
      </c>
      <c r="I230" s="291" t="s">
        <v>859</v>
      </c>
      <c r="J230" s="292">
        <v>79392</v>
      </c>
      <c r="K230" s="292">
        <v>1513</v>
      </c>
      <c r="L230" s="292">
        <v>19060</v>
      </c>
      <c r="M230" s="85"/>
      <c r="N230" s="292">
        <v>13961</v>
      </c>
      <c r="O230" s="292">
        <v>302</v>
      </c>
      <c r="P230" s="292">
        <v>21661</v>
      </c>
      <c r="Q230" s="85"/>
      <c r="R230" s="292">
        <v>1412</v>
      </c>
      <c r="S230" s="292">
        <v>4</v>
      </c>
      <c r="T230" s="292">
        <v>2694</v>
      </c>
      <c r="U230" s="85"/>
      <c r="V230" s="292">
        <v>5782</v>
      </c>
      <c r="W230" s="292">
        <v>101</v>
      </c>
      <c r="X230" s="292">
        <v>17386</v>
      </c>
      <c r="Y230" s="85"/>
      <c r="Z230" s="292">
        <v>256</v>
      </c>
      <c r="AA230" s="292">
        <v>10</v>
      </c>
      <c r="AB230" s="292">
        <v>39967</v>
      </c>
    </row>
    <row r="231" spans="1:28">
      <c r="A231" t="s">
        <v>847</v>
      </c>
      <c r="B231" s="286">
        <v>0.2</v>
      </c>
      <c r="C231" s="286">
        <v>1.1000000000000001</v>
      </c>
      <c r="D231" s="286">
        <v>1.7</v>
      </c>
      <c r="E231" s="286">
        <v>2.5</v>
      </c>
      <c r="F231" s="286">
        <v>1.3</v>
      </c>
      <c r="G231" s="286">
        <v>1.1000000000000001</v>
      </c>
      <c r="I231" s="291" t="s">
        <v>361</v>
      </c>
      <c r="J231" s="292">
        <v>57594</v>
      </c>
      <c r="K231" s="292">
        <v>984</v>
      </c>
      <c r="L231" s="292">
        <v>17082</v>
      </c>
      <c r="M231" s="85"/>
      <c r="N231" s="292">
        <v>8161</v>
      </c>
      <c r="O231" s="292">
        <v>163</v>
      </c>
      <c r="P231" s="292">
        <v>19962</v>
      </c>
      <c r="Q231" s="85"/>
      <c r="R231" s="292">
        <v>1293</v>
      </c>
      <c r="S231" s="292">
        <v>3</v>
      </c>
      <c r="T231" s="292">
        <v>2648</v>
      </c>
      <c r="U231" s="85"/>
      <c r="V231" s="292">
        <v>2474</v>
      </c>
      <c r="W231" s="292">
        <v>42</v>
      </c>
      <c r="X231" s="292">
        <v>16991</v>
      </c>
      <c r="Y231" s="85"/>
      <c r="Z231" s="292">
        <v>308</v>
      </c>
      <c r="AA231" s="292">
        <v>12</v>
      </c>
      <c r="AB231" s="292">
        <v>38377</v>
      </c>
    </row>
    <row r="232" spans="1:28">
      <c r="A232" t="s">
        <v>838</v>
      </c>
      <c r="B232" s="286">
        <v>0.8</v>
      </c>
      <c r="C232" s="286">
        <v>1.7</v>
      </c>
      <c r="D232" s="286">
        <v>1.4</v>
      </c>
      <c r="E232" s="286">
        <v>1.4</v>
      </c>
      <c r="F232" s="286">
        <v>0.5</v>
      </c>
      <c r="G232" s="286">
        <v>0.9</v>
      </c>
      <c r="I232" s="291" t="s">
        <v>353</v>
      </c>
      <c r="J232" s="292">
        <v>41252</v>
      </c>
      <c r="K232" s="292">
        <v>786</v>
      </c>
      <c r="L232" s="292">
        <v>19053</v>
      </c>
      <c r="M232" s="85"/>
      <c r="N232" s="292">
        <v>8110</v>
      </c>
      <c r="O232" s="292">
        <v>174</v>
      </c>
      <c r="P232" s="292">
        <v>21429</v>
      </c>
      <c r="Q232" s="85"/>
      <c r="R232" s="292">
        <v>604</v>
      </c>
      <c r="S232" s="292">
        <v>2</v>
      </c>
      <c r="T232" s="292">
        <v>2706</v>
      </c>
      <c r="U232" s="85"/>
      <c r="V232" s="292">
        <v>2353</v>
      </c>
      <c r="W232" s="292">
        <v>41</v>
      </c>
      <c r="X232" s="292">
        <v>17421</v>
      </c>
      <c r="Y232" s="85"/>
      <c r="Z232" s="292">
        <v>280</v>
      </c>
      <c r="AA232" s="292">
        <v>12</v>
      </c>
      <c r="AB232" s="292">
        <v>42203</v>
      </c>
    </row>
    <row r="233" spans="1:28">
      <c r="A233" t="s">
        <v>848</v>
      </c>
      <c r="B233" s="286">
        <v>2.4</v>
      </c>
      <c r="C233" s="286">
        <v>1.6</v>
      </c>
      <c r="D233" s="286">
        <v>3.5</v>
      </c>
      <c r="E233" s="286">
        <v>2.7</v>
      </c>
      <c r="F233" s="286">
        <v>6</v>
      </c>
      <c r="G233" s="286">
        <v>3.7</v>
      </c>
      <c r="I233" s="291" t="s">
        <v>354</v>
      </c>
      <c r="J233" s="292">
        <v>75184</v>
      </c>
      <c r="K233" s="292">
        <v>1384</v>
      </c>
      <c r="L233" s="292">
        <v>18409</v>
      </c>
      <c r="M233" s="85"/>
      <c r="N233" s="292">
        <v>13989</v>
      </c>
      <c r="O233" s="292">
        <v>334</v>
      </c>
      <c r="P233" s="292">
        <v>23897</v>
      </c>
      <c r="Q233" s="85"/>
      <c r="R233" s="292">
        <v>1506</v>
      </c>
      <c r="S233" s="292">
        <v>4</v>
      </c>
      <c r="T233" s="292">
        <v>2657</v>
      </c>
      <c r="U233" s="85"/>
      <c r="V233" s="292">
        <v>4572</v>
      </c>
      <c r="W233" s="292">
        <v>78</v>
      </c>
      <c r="X233" s="292">
        <v>17114</v>
      </c>
      <c r="Y233" s="85"/>
      <c r="Z233" s="292">
        <v>270</v>
      </c>
      <c r="AA233" s="292">
        <v>10</v>
      </c>
      <c r="AB233" s="292">
        <v>38521</v>
      </c>
    </row>
    <row r="234" spans="1:28">
      <c r="A234" t="s">
        <v>849</v>
      </c>
      <c r="B234" s="286">
        <v>0.1</v>
      </c>
      <c r="C234" s="286">
        <v>0.1</v>
      </c>
      <c r="D234" s="286">
        <v>0.1</v>
      </c>
      <c r="E234" s="286">
        <v>0</v>
      </c>
      <c r="F234" s="286">
        <v>0.5</v>
      </c>
      <c r="G234" s="286">
        <v>0.2</v>
      </c>
      <c r="I234" s="291" t="s">
        <v>355</v>
      </c>
      <c r="J234" s="292">
        <v>68616</v>
      </c>
      <c r="K234" s="292">
        <v>1160</v>
      </c>
      <c r="L234" s="292">
        <v>16906</v>
      </c>
      <c r="M234" s="85"/>
      <c r="N234" s="292">
        <v>9437</v>
      </c>
      <c r="O234" s="292">
        <v>200</v>
      </c>
      <c r="P234" s="292">
        <v>21192</v>
      </c>
      <c r="Q234" s="85"/>
      <c r="R234" s="292">
        <v>1554</v>
      </c>
      <c r="S234" s="292">
        <v>4</v>
      </c>
      <c r="T234" s="292">
        <v>2720</v>
      </c>
      <c r="U234" s="85"/>
      <c r="V234" s="292">
        <v>1917</v>
      </c>
      <c r="W234" s="292">
        <v>32</v>
      </c>
      <c r="X234" s="292">
        <v>16560</v>
      </c>
      <c r="Y234" s="85"/>
      <c r="Z234" s="292">
        <v>358</v>
      </c>
      <c r="AA234" s="292">
        <v>14</v>
      </c>
      <c r="AB234" s="292">
        <v>38367</v>
      </c>
    </row>
    <row r="235" spans="1:28">
      <c r="A235" t="s">
        <v>850</v>
      </c>
      <c r="B235" s="286">
        <v>1.3</v>
      </c>
      <c r="C235" s="286">
        <v>1</v>
      </c>
      <c r="D235" s="286">
        <v>3.1</v>
      </c>
      <c r="E235" s="286">
        <v>2.1</v>
      </c>
      <c r="F235" s="286">
        <v>4.8</v>
      </c>
      <c r="G235" s="286">
        <v>2.8</v>
      </c>
      <c r="I235" s="293" t="s">
        <v>1</v>
      </c>
      <c r="J235" s="294">
        <v>2117463</v>
      </c>
      <c r="K235" s="294">
        <v>35975</v>
      </c>
      <c r="L235" s="294">
        <v>16990</v>
      </c>
      <c r="M235" s="294"/>
      <c r="N235" s="294">
        <v>354458</v>
      </c>
      <c r="O235" s="294">
        <v>7891</v>
      </c>
      <c r="P235" s="294">
        <v>22263</v>
      </c>
      <c r="Q235" s="294"/>
      <c r="R235" s="294">
        <v>39851</v>
      </c>
      <c r="S235" s="294">
        <v>109</v>
      </c>
      <c r="T235" s="294">
        <v>2731</v>
      </c>
      <c r="U235" s="294"/>
      <c r="V235" s="294">
        <v>85820</v>
      </c>
      <c r="W235" s="294">
        <v>1485</v>
      </c>
      <c r="X235" s="294">
        <v>17300</v>
      </c>
      <c r="Y235" s="294"/>
      <c r="Z235" s="294">
        <v>21319</v>
      </c>
      <c r="AA235" s="294">
        <v>842</v>
      </c>
      <c r="AB235" s="294">
        <v>39501</v>
      </c>
    </row>
    <row r="236" spans="1:28">
      <c r="A236" t="s">
        <v>851</v>
      </c>
      <c r="B236" s="286">
        <v>1</v>
      </c>
      <c r="C236" s="286">
        <v>0.4</v>
      </c>
      <c r="D236" s="286">
        <v>0.3</v>
      </c>
      <c r="E236" s="286">
        <v>0.6</v>
      </c>
      <c r="F236" s="286">
        <v>0.7</v>
      </c>
      <c r="G236" s="286">
        <v>0.7</v>
      </c>
      <c r="I236" s="291" t="s">
        <v>864</v>
      </c>
    </row>
    <row r="237" spans="1:28">
      <c r="A237" s="84" t="s">
        <v>840</v>
      </c>
      <c r="B237" s="287">
        <v>100</v>
      </c>
      <c r="C237" s="287">
        <v>100</v>
      </c>
      <c r="D237" s="287">
        <v>100</v>
      </c>
      <c r="E237" s="287">
        <v>100</v>
      </c>
      <c r="F237" s="287">
        <v>100</v>
      </c>
      <c r="G237" s="287">
        <v>100</v>
      </c>
    </row>
    <row r="238" spans="1:28">
      <c r="A238" s="284" t="s">
        <v>852</v>
      </c>
    </row>
    <row r="241" spans="1:9">
      <c r="F241" s="6"/>
    </row>
    <row r="242" spans="1:9">
      <c r="A242" t="s">
        <v>871</v>
      </c>
      <c r="F242" s="6"/>
    </row>
    <row r="243" spans="1:9">
      <c r="A243" s="82" t="s">
        <v>860</v>
      </c>
      <c r="B243" s="80" t="s">
        <v>865</v>
      </c>
      <c r="C243" s="80" t="s">
        <v>866</v>
      </c>
      <c r="D243" s="80" t="s">
        <v>861</v>
      </c>
      <c r="E243" s="80" t="s">
        <v>872</v>
      </c>
      <c r="F243" s="80" t="s">
        <v>502</v>
      </c>
    </row>
    <row r="244" spans="1:9">
      <c r="A244" t="s">
        <v>862</v>
      </c>
      <c r="B244" s="33">
        <v>4</v>
      </c>
      <c r="C244" s="242">
        <f>B194</f>
        <v>0.5</v>
      </c>
      <c r="D244" s="297">
        <f>B244/$B$247</f>
        <v>0.27889325272494597</v>
      </c>
      <c r="E244" s="96">
        <f>$E$247*C244*D244</f>
        <v>7485.229753311015</v>
      </c>
      <c r="F244" s="242">
        <f>E244/$E$247</f>
        <v>0.13944662636247299</v>
      </c>
    </row>
    <row r="245" spans="1:9">
      <c r="A245" t="s">
        <v>870</v>
      </c>
      <c r="B245" s="33">
        <v>17</v>
      </c>
      <c r="C245" s="242">
        <f>C194</f>
        <v>0.41</v>
      </c>
      <c r="D245" s="297">
        <f>B245/$B$247</f>
        <v>1.1852963240810204</v>
      </c>
      <c r="E245" s="96">
        <f>$E$247*C245*D245</f>
        <v>26086.025690288883</v>
      </c>
      <c r="F245" s="242">
        <f>E245/$E$247</f>
        <v>0.48597149287321834</v>
      </c>
      <c r="I245" s="2"/>
    </row>
    <row r="246" spans="1:9">
      <c r="A246" t="s">
        <v>869</v>
      </c>
      <c r="B246" s="241">
        <f>((B247-(B244*C244)-(B245*C245)))/C246</f>
        <v>59.693389592123772</v>
      </c>
      <c r="C246" s="242">
        <f>D194</f>
        <v>0.09</v>
      </c>
      <c r="D246" s="297">
        <f>B246/$B$247</f>
        <v>4.1620208973812085</v>
      </c>
      <c r="E246" s="96">
        <f>$E$247*C246*D246</f>
        <v>20106.843113292791</v>
      </c>
      <c r="F246" s="242">
        <f>E246/$E$247</f>
        <v>0.37458188076430876</v>
      </c>
    </row>
    <row r="247" spans="1:9">
      <c r="A247" s="84" t="s">
        <v>1</v>
      </c>
      <c r="B247" s="295">
        <f>(B209*D224/(SUM(D224:D225)))+(B210*D225/(SUM(D224:D225)))</f>
        <v>14.342405063291139</v>
      </c>
      <c r="C247" s="193" t="s">
        <v>17</v>
      </c>
      <c r="D247" s="296" t="s">
        <v>17</v>
      </c>
      <c r="E247" s="298">
        <f>C102</f>
        <v>53678.098556892684</v>
      </c>
      <c r="F247" s="298">
        <f>SUM(F244:F246)</f>
        <v>1</v>
      </c>
      <c r="I247" s="29"/>
    </row>
    <row r="248" spans="1:9">
      <c r="A248" t="s">
        <v>877</v>
      </c>
    </row>
    <row r="252" spans="1:9">
      <c r="A252" t="s">
        <v>875</v>
      </c>
      <c r="F252" s="6"/>
    </row>
    <row r="253" spans="1:9">
      <c r="A253" s="82" t="s">
        <v>860</v>
      </c>
      <c r="B253" s="80" t="s">
        <v>865</v>
      </c>
      <c r="C253" s="80" t="s">
        <v>866</v>
      </c>
      <c r="D253" s="80" t="s">
        <v>861</v>
      </c>
      <c r="E253" s="80" t="s">
        <v>872</v>
      </c>
      <c r="F253" s="80" t="s">
        <v>502</v>
      </c>
    </row>
    <row r="254" spans="1:9">
      <c r="A254" t="s">
        <v>862</v>
      </c>
      <c r="B254" s="33">
        <v>4</v>
      </c>
      <c r="C254" s="242">
        <f>B194</f>
        <v>0.5</v>
      </c>
      <c r="D254" s="297">
        <f>B254/$B$257</f>
        <v>0.38095238095238093</v>
      </c>
      <c r="E254" s="241">
        <f>$E$257*C254*D254</f>
        <v>238.72184365296803</v>
      </c>
      <c r="F254" s="242">
        <f>E254/$E$257</f>
        <v>0.19047619047619047</v>
      </c>
    </row>
    <row r="255" spans="1:9">
      <c r="A255" t="s">
        <v>870</v>
      </c>
      <c r="B255" s="33">
        <v>14</v>
      </c>
      <c r="C255" s="242">
        <f>C194</f>
        <v>0.41</v>
      </c>
      <c r="D255" s="297">
        <f>B255/$B$257</f>
        <v>1.3333333333333333</v>
      </c>
      <c r="E255" s="241">
        <f>$E$257*C255*D255</f>
        <v>685.13169128401819</v>
      </c>
      <c r="F255" s="242">
        <f>E255/$E$257</f>
        <v>0.54666666666666663</v>
      </c>
    </row>
    <row r="256" spans="1:9">
      <c r="A256" t="s">
        <v>869</v>
      </c>
      <c r="B256" s="241">
        <f>((B257-(B254*C254)-(B255*C255)))/C256</f>
        <v>30.666666666666675</v>
      </c>
      <c r="C256" s="242">
        <f>D194</f>
        <v>0.09</v>
      </c>
      <c r="D256" s="297">
        <f>B256/$B$257</f>
        <v>2.9206349206349214</v>
      </c>
      <c r="E256" s="241">
        <f>$E$257*C256*D256</f>
        <v>329.43614424109597</v>
      </c>
      <c r="F256" s="242">
        <f>E256/$E$257</f>
        <v>0.2628571428571429</v>
      </c>
    </row>
    <row r="257" spans="1:6">
      <c r="A257" s="84" t="s">
        <v>1</v>
      </c>
      <c r="B257" s="295">
        <f>B215</f>
        <v>10.5</v>
      </c>
      <c r="C257" s="193" t="s">
        <v>17</v>
      </c>
      <c r="D257" s="296" t="s">
        <v>17</v>
      </c>
      <c r="E257" s="298">
        <f>C106</f>
        <v>1253.2896791780822</v>
      </c>
      <c r="F257" s="298">
        <f>SUM(F254:F256)</f>
        <v>1</v>
      </c>
    </row>
    <row r="258" spans="1:6">
      <c r="A258" s="52"/>
      <c r="B258" s="299"/>
      <c r="C258" s="300"/>
      <c r="D258" s="301"/>
      <c r="E258" s="302"/>
      <c r="F258" s="302"/>
    </row>
    <row r="259" spans="1:6">
      <c r="A259" s="52"/>
      <c r="B259" s="299"/>
      <c r="C259" s="300"/>
      <c r="D259" s="301"/>
      <c r="E259" s="302"/>
      <c r="F259" s="302"/>
    </row>
    <row r="260" spans="1:6">
      <c r="A260" s="52"/>
      <c r="B260" s="299"/>
      <c r="C260" s="300"/>
      <c r="D260" s="301"/>
      <c r="E260" s="302"/>
      <c r="F260" s="302"/>
    </row>
    <row r="261" spans="1:6">
      <c r="A261" t="s">
        <v>881</v>
      </c>
      <c r="F261" s="6"/>
    </row>
    <row r="262" spans="1:6">
      <c r="A262" s="82" t="s">
        <v>860</v>
      </c>
      <c r="B262" s="80" t="s">
        <v>865</v>
      </c>
      <c r="C262" s="80" t="s">
        <v>866</v>
      </c>
      <c r="D262" s="80" t="s">
        <v>861</v>
      </c>
      <c r="E262" s="80" t="s">
        <v>872</v>
      </c>
      <c r="F262" s="80" t="s">
        <v>502</v>
      </c>
    </row>
    <row r="263" spans="1:6">
      <c r="A263" t="s">
        <v>862</v>
      </c>
      <c r="B263" s="33">
        <v>4</v>
      </c>
      <c r="C263" s="242">
        <f>B194</f>
        <v>0.5</v>
      </c>
      <c r="D263" s="297">
        <f>B263/$B$266</f>
        <v>0.24539877300613497</v>
      </c>
      <c r="E263" s="241">
        <f>$E$266*C263*D263</f>
        <v>1204.4243616479548</v>
      </c>
      <c r="F263" s="242">
        <f>E263/$E$266</f>
        <v>0.12269938650306748</v>
      </c>
    </row>
    <row r="264" spans="1:6">
      <c r="A264" t="s">
        <v>870</v>
      </c>
      <c r="B264" s="33">
        <v>17</v>
      </c>
      <c r="C264" s="242">
        <f>C194</f>
        <v>0.41</v>
      </c>
      <c r="D264" s="297">
        <f>B264/$B$266</f>
        <v>1.0429447852760736</v>
      </c>
      <c r="E264" s="241">
        <f>$E$266*C264*D264</f>
        <v>4197.418900343122</v>
      </c>
      <c r="F264" s="242">
        <f>E264/$E$266</f>
        <v>0.4276073619631901</v>
      </c>
    </row>
    <row r="265" spans="1:6">
      <c r="A265" t="s">
        <v>869</v>
      </c>
      <c r="B265" s="241">
        <f>((B266-(B263*C263)-(B264*C264)))/C265</f>
        <v>81.444444444444457</v>
      </c>
      <c r="C265" s="242">
        <f>D194</f>
        <v>0.09</v>
      </c>
      <c r="D265" s="297">
        <f>B265/$B$266</f>
        <v>4.9965916837082487</v>
      </c>
      <c r="E265" s="241">
        <f>$E$266*C265*D265</f>
        <v>4414.2152854397546</v>
      </c>
      <c r="F265" s="242">
        <f>E265/$E$266</f>
        <v>0.44969325153374234</v>
      </c>
    </row>
    <row r="266" spans="1:6">
      <c r="A266" s="84" t="s">
        <v>1</v>
      </c>
      <c r="B266" s="295">
        <f>B212</f>
        <v>16.3</v>
      </c>
      <c r="C266" s="193" t="s">
        <v>17</v>
      </c>
      <c r="D266" s="296" t="s">
        <v>17</v>
      </c>
      <c r="E266" s="298">
        <f>C107</f>
        <v>9816.0585474308318</v>
      </c>
      <c r="F266" s="298">
        <f>SUM(F263:F265)</f>
        <v>1</v>
      </c>
    </row>
    <row r="270" spans="1:6">
      <c r="A270" t="s">
        <v>876</v>
      </c>
      <c r="F270" s="6"/>
    </row>
    <row r="271" spans="1:6">
      <c r="A271" s="82" t="s">
        <v>860</v>
      </c>
      <c r="B271" s="80" t="s">
        <v>865</v>
      </c>
      <c r="C271" s="80" t="s">
        <v>866</v>
      </c>
      <c r="D271" s="80" t="s">
        <v>861</v>
      </c>
      <c r="E271" s="80" t="s">
        <v>872</v>
      </c>
      <c r="F271" s="80" t="s">
        <v>502</v>
      </c>
    </row>
    <row r="272" spans="1:6">
      <c r="A272" t="s">
        <v>862</v>
      </c>
      <c r="B272" s="33">
        <v>4</v>
      </c>
      <c r="C272" s="242">
        <f>C254</f>
        <v>0.5</v>
      </c>
      <c r="D272" s="297">
        <f>B272/$B$274</f>
        <v>0.29197080291970806</v>
      </c>
      <c r="E272" s="241">
        <f>$E$274*C272*D272</f>
        <v>17.503649635036499</v>
      </c>
      <c r="F272" s="242">
        <f>E272/$E$274</f>
        <v>0.14598540145985403</v>
      </c>
    </row>
    <row r="273" spans="1:29">
      <c r="A273" t="s">
        <v>870</v>
      </c>
      <c r="B273" s="33">
        <f>(B274-(B272*C273))/C272</f>
        <v>23.4</v>
      </c>
      <c r="C273" s="242">
        <v>0.5</v>
      </c>
      <c r="D273" s="297">
        <f>B273/$B$274</f>
        <v>1.7080291970802919</v>
      </c>
      <c r="E273" s="241">
        <f>$E$274*C273*D273</f>
        <v>102.39635036496351</v>
      </c>
      <c r="F273" s="242">
        <f>E273/$E$274</f>
        <v>0.85401459854014605</v>
      </c>
    </row>
    <row r="274" spans="1:29">
      <c r="A274" s="84" t="s">
        <v>1</v>
      </c>
      <c r="B274" s="295">
        <f>B216</f>
        <v>13.7</v>
      </c>
      <c r="C274" s="193" t="s">
        <v>17</v>
      </c>
      <c r="D274" s="296" t="s">
        <v>17</v>
      </c>
      <c r="E274" s="298">
        <f>C98</f>
        <v>119.9</v>
      </c>
      <c r="F274" s="298">
        <f>SUM(F272:F273)</f>
        <v>1</v>
      </c>
    </row>
    <row r="275" spans="1:29">
      <c r="A275" s="52"/>
      <c r="B275" s="299"/>
      <c r="C275" s="300"/>
      <c r="D275" s="301"/>
      <c r="E275" s="302"/>
      <c r="F275" s="302"/>
    </row>
    <row r="276" spans="1:29">
      <c r="A276" s="52"/>
      <c r="B276" s="299"/>
      <c r="C276" s="300"/>
      <c r="D276" s="301"/>
      <c r="E276" s="302"/>
      <c r="F276" s="302"/>
    </row>
    <row r="277" spans="1:29">
      <c r="A277" s="52"/>
      <c r="B277" s="299"/>
      <c r="C277" s="300"/>
      <c r="D277" s="301"/>
      <c r="E277" s="302"/>
      <c r="F277" s="302"/>
    </row>
    <row r="278" spans="1:29">
      <c r="A278" s="78" t="s">
        <v>874</v>
      </c>
    </row>
    <row r="279" spans="1:29">
      <c r="A279" s="82" t="s">
        <v>860</v>
      </c>
      <c r="B279" s="82" t="s">
        <v>63</v>
      </c>
      <c r="C279" s="80" t="str">
        <f t="shared" ref="C279:AC279" si="111">C314</f>
        <v>IE</v>
      </c>
      <c r="D279" s="80" t="str">
        <f t="shared" si="111"/>
        <v>IE-CW</v>
      </c>
      <c r="E279" s="80" t="str">
        <f t="shared" si="111"/>
        <v>IE-D</v>
      </c>
      <c r="F279" s="80" t="str">
        <f t="shared" si="111"/>
        <v>IE-KE</v>
      </c>
      <c r="G279" s="80" t="str">
        <f t="shared" si="111"/>
        <v>IE-KK</v>
      </c>
      <c r="H279" s="80" t="str">
        <f t="shared" si="111"/>
        <v>IE-LS</v>
      </c>
      <c r="I279" s="80" t="str">
        <f t="shared" si="111"/>
        <v>IE-LD</v>
      </c>
      <c r="J279" s="80" t="str">
        <f t="shared" si="111"/>
        <v>IE-LH</v>
      </c>
      <c r="K279" s="80" t="str">
        <f t="shared" si="111"/>
        <v>IE-MH</v>
      </c>
      <c r="L279" s="80" t="str">
        <f t="shared" si="111"/>
        <v>IE-OY</v>
      </c>
      <c r="M279" s="80" t="str">
        <f t="shared" si="111"/>
        <v>IE-WH</v>
      </c>
      <c r="N279" s="80" t="str">
        <f t="shared" si="111"/>
        <v>IE-WX</v>
      </c>
      <c r="O279" s="80" t="str">
        <f t="shared" si="111"/>
        <v>IE-WW</v>
      </c>
      <c r="P279" s="80" t="str">
        <f t="shared" si="111"/>
        <v>IE-CE</v>
      </c>
      <c r="Q279" s="80" t="str">
        <f t="shared" si="111"/>
        <v>IE-CO</v>
      </c>
      <c r="R279" s="80" t="str">
        <f t="shared" si="111"/>
        <v>IE-KY</v>
      </c>
      <c r="S279" s="80" t="str">
        <f t="shared" si="111"/>
        <v>IE-LK</v>
      </c>
      <c r="T279" s="80" t="str">
        <f t="shared" si="111"/>
        <v>IE-TA</v>
      </c>
      <c r="U279" s="80" t="str">
        <f t="shared" si="111"/>
        <v>IE-WD</v>
      </c>
      <c r="V279" s="80" t="str">
        <f t="shared" si="111"/>
        <v>IE-G</v>
      </c>
      <c r="W279" s="80" t="str">
        <f t="shared" si="111"/>
        <v>IE-LM</v>
      </c>
      <c r="X279" s="80" t="str">
        <f t="shared" si="111"/>
        <v>IE-MO</v>
      </c>
      <c r="Y279" s="80" t="str">
        <f t="shared" si="111"/>
        <v>IE-RN</v>
      </c>
      <c r="Z279" s="80" t="str">
        <f t="shared" si="111"/>
        <v>IE-SO</v>
      </c>
      <c r="AA279" s="80" t="str">
        <f t="shared" si="111"/>
        <v>IE-CN</v>
      </c>
      <c r="AB279" s="80" t="str">
        <f t="shared" si="111"/>
        <v>IE-DL</v>
      </c>
      <c r="AC279" s="80" t="str">
        <f t="shared" si="111"/>
        <v>IE-MN</v>
      </c>
    </row>
    <row r="280" spans="1:29">
      <c r="A280" t="s">
        <v>862</v>
      </c>
      <c r="B280" t="s">
        <v>873</v>
      </c>
      <c r="C280" s="9">
        <f>E244</f>
        <v>7485.229753311015</v>
      </c>
      <c r="D280" s="9">
        <f t="shared" ref="D280:AC280" si="112">$C$280*D102/$C$102</f>
        <v>110.06160990359193</v>
      </c>
      <c r="E280" s="9">
        <f t="shared" si="112"/>
        <v>1583.5140131875958</v>
      </c>
      <c r="F280" s="9">
        <f t="shared" si="112"/>
        <v>378.66187150196095</v>
      </c>
      <c r="G280" s="9">
        <f t="shared" si="112"/>
        <v>172.06228996270426</v>
      </c>
      <c r="H280" s="9">
        <f t="shared" si="112"/>
        <v>140.02167006638444</v>
      </c>
      <c r="I280" s="9">
        <f t="shared" si="112"/>
        <v>70.739030939926764</v>
      </c>
      <c r="J280" s="9">
        <f t="shared" si="112"/>
        <v>187.66648796415862</v>
      </c>
      <c r="K280" s="9">
        <f t="shared" si="112"/>
        <v>335.38622904459396</v>
      </c>
      <c r="L280" s="9">
        <f t="shared" si="112"/>
        <v>137.10888643944631</v>
      </c>
      <c r="M280" s="9">
        <f t="shared" si="112"/>
        <v>163.3239390818897</v>
      </c>
      <c r="N280" s="9">
        <f t="shared" si="112"/>
        <v>288.15752309352519</v>
      </c>
      <c r="O280" s="9">
        <f t="shared" si="112"/>
        <v>241.55298506251461</v>
      </c>
      <c r="P280" s="9">
        <f t="shared" si="112"/>
        <v>222.82794746076934</v>
      </c>
      <c r="Q280" s="9">
        <f t="shared" si="112"/>
        <v>894.22457347001534</v>
      </c>
      <c r="R280" s="9">
        <f t="shared" si="112"/>
        <v>265.89553394478355</v>
      </c>
      <c r="S280" s="9">
        <f t="shared" si="112"/>
        <v>328.72843789730672</v>
      </c>
      <c r="T280" s="9">
        <f t="shared" si="112"/>
        <v>314.78868768267404</v>
      </c>
      <c r="U280" s="9">
        <f t="shared" si="112"/>
        <v>204.72707777908218</v>
      </c>
      <c r="V280" s="9">
        <f t="shared" si="112"/>
        <v>430.67586484014231</v>
      </c>
      <c r="W280" s="9">
        <f t="shared" si="112"/>
        <v>59.295952405526855</v>
      </c>
      <c r="X280" s="9">
        <f t="shared" si="112"/>
        <v>236.35158572869651</v>
      </c>
      <c r="Y280" s="9">
        <f t="shared" si="112"/>
        <v>137.52499838615176</v>
      </c>
      <c r="Z280" s="9">
        <f t="shared" si="112"/>
        <v>109.22938601018103</v>
      </c>
      <c r="AA280" s="9">
        <f t="shared" si="112"/>
        <v>127.5383116652209</v>
      </c>
      <c r="AB280" s="9">
        <f t="shared" si="112"/>
        <v>242.80132090263095</v>
      </c>
      <c r="AC280" s="9">
        <f t="shared" si="112"/>
        <v>102.36353888954106</v>
      </c>
    </row>
    <row r="281" spans="1:29">
      <c r="A281" t="s">
        <v>870</v>
      </c>
      <c r="B281" t="s">
        <v>873</v>
      </c>
      <c r="C281" s="9">
        <f>E245</f>
        <v>26086.025690288883</v>
      </c>
      <c r="D281" s="9">
        <f t="shared" ref="D281:AC281" si="113">$C$281*D102/$C$102</f>
        <v>383.56471051401786</v>
      </c>
      <c r="E281" s="9">
        <f t="shared" si="113"/>
        <v>5518.5463359587702</v>
      </c>
      <c r="F281" s="9">
        <f t="shared" si="113"/>
        <v>1319.6366221843339</v>
      </c>
      <c r="G281" s="9">
        <f t="shared" si="113"/>
        <v>599.63708052002414</v>
      </c>
      <c r="H281" s="9">
        <f t="shared" si="113"/>
        <v>487.97552018134968</v>
      </c>
      <c r="I281" s="9">
        <f t="shared" si="113"/>
        <v>246.52552282564474</v>
      </c>
      <c r="J281" s="9">
        <f t="shared" si="113"/>
        <v>654.01771055509278</v>
      </c>
      <c r="K281" s="9">
        <f t="shared" si="113"/>
        <v>1168.8210082204098</v>
      </c>
      <c r="L281" s="9">
        <f t="shared" si="113"/>
        <v>477.82446924147024</v>
      </c>
      <c r="M281" s="9">
        <f t="shared" si="113"/>
        <v>569.18392770038554</v>
      </c>
      <c r="N281" s="9">
        <f t="shared" si="113"/>
        <v>1004.2289679809351</v>
      </c>
      <c r="O281" s="9">
        <f t="shared" si="113"/>
        <v>841.81215294286335</v>
      </c>
      <c r="P281" s="9">
        <f t="shared" si="113"/>
        <v>776.55539690078092</v>
      </c>
      <c r="Q281" s="9">
        <f t="shared" si="113"/>
        <v>3116.3726385430027</v>
      </c>
      <c r="R281" s="9">
        <f t="shared" si="113"/>
        <v>926.64593579757059</v>
      </c>
      <c r="S281" s="9">
        <f t="shared" si="113"/>
        <v>1145.6186060721138</v>
      </c>
      <c r="T281" s="9">
        <f t="shared" si="113"/>
        <v>1097.0385765741189</v>
      </c>
      <c r="U281" s="9">
        <f t="shared" si="113"/>
        <v>713.47386606010127</v>
      </c>
      <c r="V281" s="9">
        <f t="shared" si="113"/>
        <v>1500.9053889678955</v>
      </c>
      <c r="W281" s="9">
        <f t="shared" si="113"/>
        <v>206.64639413326103</v>
      </c>
      <c r="X281" s="9">
        <f t="shared" si="113"/>
        <v>823.68527626450714</v>
      </c>
      <c r="Y281" s="9">
        <f t="shared" si="113"/>
        <v>479.27461937573872</v>
      </c>
      <c r="Z281" s="9">
        <f t="shared" si="113"/>
        <v>380.66441024548084</v>
      </c>
      <c r="AA281" s="9">
        <f t="shared" si="113"/>
        <v>444.47101615329478</v>
      </c>
      <c r="AB281" s="9">
        <f t="shared" si="113"/>
        <v>846.1626033456688</v>
      </c>
      <c r="AC281" s="9">
        <f t="shared" si="113"/>
        <v>356.73693303005058</v>
      </c>
    </row>
    <row r="282" spans="1:29">
      <c r="A282" t="s">
        <v>869</v>
      </c>
      <c r="B282" t="s">
        <v>873</v>
      </c>
      <c r="C282" s="9">
        <f>E246</f>
        <v>20106.843113292791</v>
      </c>
      <c r="D282" s="9">
        <f t="shared" ref="D282:AC282" si="114">$C$282*D102/$C$102</f>
        <v>295.64777516001573</v>
      </c>
      <c r="E282" s="9">
        <f t="shared" si="114"/>
        <v>4253.6393511207552</v>
      </c>
      <c r="F282" s="9">
        <f t="shared" si="114"/>
        <v>1017.1624778662168</v>
      </c>
      <c r="G282" s="9">
        <f t="shared" si="114"/>
        <v>462.19415889855026</v>
      </c>
      <c r="H282" s="9">
        <f t="shared" si="114"/>
        <v>376.12656461756256</v>
      </c>
      <c r="I282" s="9">
        <f t="shared" si="114"/>
        <v>190.01936399698553</v>
      </c>
      <c r="J282" s="9">
        <f t="shared" si="114"/>
        <v>504.11019507435577</v>
      </c>
      <c r="K282" s="9">
        <f t="shared" si="114"/>
        <v>900.91533753864917</v>
      </c>
      <c r="L282" s="9">
        <f t="shared" si="114"/>
        <v>368.30223786474551</v>
      </c>
      <c r="M282" s="9">
        <f t="shared" si="114"/>
        <v>438.72117864009891</v>
      </c>
      <c r="N282" s="9">
        <f t="shared" si="114"/>
        <v>774.04946804654401</v>
      </c>
      <c r="O282" s="9">
        <f t="shared" si="114"/>
        <v>648.8602400014712</v>
      </c>
      <c r="P282" s="9">
        <f t="shared" si="114"/>
        <v>598.5609965905046</v>
      </c>
      <c r="Q282" s="9">
        <f t="shared" si="114"/>
        <v>2402.0683131148348</v>
      </c>
      <c r="R282" s="9">
        <f t="shared" si="114"/>
        <v>714.24925643572794</v>
      </c>
      <c r="S282" s="9">
        <f t="shared" si="114"/>
        <v>883.03116210363874</v>
      </c>
      <c r="T282" s="9">
        <f t="shared" si="114"/>
        <v>845.58616978658563</v>
      </c>
      <c r="U282" s="9">
        <f t="shared" si="114"/>
        <v>549.9383946265699</v>
      </c>
      <c r="V282" s="9">
        <f t="shared" si="114"/>
        <v>1156.8825984522355</v>
      </c>
      <c r="W282" s="9">
        <f t="shared" si="114"/>
        <v>159.28093746806144</v>
      </c>
      <c r="X282" s="9">
        <f t="shared" si="114"/>
        <v>634.88822794286943</v>
      </c>
      <c r="Y282" s="9">
        <f t="shared" si="114"/>
        <v>369.41999882943367</v>
      </c>
      <c r="Z282" s="9">
        <f t="shared" si="114"/>
        <v>293.41225323063946</v>
      </c>
      <c r="AA282" s="9">
        <f t="shared" si="114"/>
        <v>342.59373567691807</v>
      </c>
      <c r="AB282" s="9">
        <f t="shared" si="114"/>
        <v>652.21352289553568</v>
      </c>
      <c r="AC282" s="9">
        <f t="shared" si="114"/>
        <v>274.96919731328495</v>
      </c>
    </row>
    <row r="283" spans="1:29">
      <c r="A283" s="84" t="s">
        <v>1</v>
      </c>
      <c r="B283" s="79" t="s">
        <v>873</v>
      </c>
      <c r="C283" s="252">
        <f>SUM(C280:C282)</f>
        <v>53678.098556892684</v>
      </c>
      <c r="D283" s="252">
        <f t="shared" ref="D283:AC283" si="115">SUM(D280:D282)</f>
        <v>789.27409557762553</v>
      </c>
      <c r="E283" s="252">
        <f t="shared" si="115"/>
        <v>11355.699700267121</v>
      </c>
      <c r="F283" s="252">
        <f t="shared" si="115"/>
        <v>2715.4609715525116</v>
      </c>
      <c r="G283" s="252">
        <f t="shared" si="115"/>
        <v>1233.8935293812788</v>
      </c>
      <c r="H283" s="252">
        <f t="shared" si="115"/>
        <v>1004.1237548652966</v>
      </c>
      <c r="I283" s="252">
        <f t="shared" si="115"/>
        <v>507.28391776255705</v>
      </c>
      <c r="J283" s="252">
        <f t="shared" si="115"/>
        <v>1345.7943935936071</v>
      </c>
      <c r="K283" s="252">
        <f t="shared" si="115"/>
        <v>2405.1225748036527</v>
      </c>
      <c r="L283" s="252">
        <f t="shared" si="115"/>
        <v>983.23559354566203</v>
      </c>
      <c r="M283" s="252">
        <f t="shared" si="115"/>
        <v>1171.2290454223742</v>
      </c>
      <c r="N283" s="252">
        <f t="shared" si="115"/>
        <v>2066.4359591210041</v>
      </c>
      <c r="O283" s="252">
        <f t="shared" si="115"/>
        <v>1732.225378006849</v>
      </c>
      <c r="P283" s="252">
        <f t="shared" si="115"/>
        <v>1597.944340952055</v>
      </c>
      <c r="Q283" s="252">
        <f t="shared" si="115"/>
        <v>6412.6655251278535</v>
      </c>
      <c r="R283" s="252">
        <f t="shared" si="115"/>
        <v>1906.790726178082</v>
      </c>
      <c r="S283" s="252">
        <f t="shared" si="115"/>
        <v>2357.3782060730591</v>
      </c>
      <c r="T283" s="252">
        <f t="shared" si="115"/>
        <v>2257.4134340433784</v>
      </c>
      <c r="U283" s="252">
        <f t="shared" si="115"/>
        <v>1468.1393384657533</v>
      </c>
      <c r="V283" s="252">
        <f t="shared" si="115"/>
        <v>3088.4638522602736</v>
      </c>
      <c r="W283" s="252">
        <f t="shared" si="115"/>
        <v>425.22328400684933</v>
      </c>
      <c r="X283" s="252">
        <f t="shared" si="115"/>
        <v>1694.9250899360732</v>
      </c>
      <c r="Y283" s="252">
        <f t="shared" si="115"/>
        <v>986.2196165913241</v>
      </c>
      <c r="Z283" s="252">
        <f t="shared" si="115"/>
        <v>783.30604948630139</v>
      </c>
      <c r="AA283" s="252">
        <f t="shared" si="115"/>
        <v>914.60306349543373</v>
      </c>
      <c r="AB283" s="252">
        <f t="shared" si="115"/>
        <v>1741.1774471438353</v>
      </c>
      <c r="AC283" s="252">
        <f t="shared" si="115"/>
        <v>734.06966923287655</v>
      </c>
    </row>
    <row r="284" spans="1:29">
      <c r="A284" s="52"/>
      <c r="B284" s="299"/>
      <c r="C284" s="300"/>
      <c r="D284" s="301"/>
      <c r="E284" s="302"/>
      <c r="F284" s="302"/>
    </row>
    <row r="285" spans="1:29">
      <c r="A285" s="52"/>
      <c r="B285" s="299"/>
      <c r="C285" s="300"/>
      <c r="D285" s="301"/>
      <c r="E285" s="302"/>
      <c r="F285" s="302"/>
    </row>
    <row r="286" spans="1:29">
      <c r="A286" s="52"/>
      <c r="B286" s="299"/>
      <c r="C286" s="300"/>
      <c r="D286" s="301"/>
      <c r="E286" s="302"/>
      <c r="F286" s="302"/>
    </row>
    <row r="287" spans="1:29">
      <c r="A287" s="78" t="s">
        <v>878</v>
      </c>
    </row>
    <row r="288" spans="1:29">
      <c r="A288" s="82" t="s">
        <v>860</v>
      </c>
      <c r="B288" s="82" t="s">
        <v>63</v>
      </c>
      <c r="C288" s="80" t="str">
        <f>Regions!C3</f>
        <v>IE</v>
      </c>
      <c r="D288" s="80" t="str">
        <f>Regions!E3</f>
        <v>IE-CW</v>
      </c>
      <c r="E288" s="80" t="str">
        <f>Regions!F3</f>
        <v>IE-D</v>
      </c>
      <c r="F288" s="80" t="str">
        <f>Regions!G3</f>
        <v>IE-KE</v>
      </c>
      <c r="G288" s="80" t="str">
        <f>Regions!H3</f>
        <v>IE-KK</v>
      </c>
      <c r="H288" s="80" t="str">
        <f>Regions!I3</f>
        <v>IE-LS</v>
      </c>
      <c r="I288" s="80" t="str">
        <f>Regions!J3</f>
        <v>IE-LD</v>
      </c>
      <c r="J288" s="80" t="str">
        <f>Regions!K3</f>
        <v>IE-LH</v>
      </c>
      <c r="K288" s="80" t="str">
        <f>Regions!L3</f>
        <v>IE-MH</v>
      </c>
      <c r="L288" s="80" t="str">
        <f>Regions!M3</f>
        <v>IE-OY</v>
      </c>
      <c r="M288" s="80" t="str">
        <f>Regions!N3</f>
        <v>IE-WH</v>
      </c>
      <c r="N288" s="80" t="str">
        <f>Regions!O3</f>
        <v>IE-WX</v>
      </c>
      <c r="O288" s="80" t="str">
        <f>Regions!P3</f>
        <v>IE-WW</v>
      </c>
      <c r="P288" s="80" t="str">
        <f>Regions!Q3</f>
        <v>IE-CE</v>
      </c>
      <c r="Q288" s="80" t="str">
        <f>Regions!R3</f>
        <v>IE-CO</v>
      </c>
      <c r="R288" s="80" t="str">
        <f>Regions!S3</f>
        <v>IE-KY</v>
      </c>
      <c r="S288" s="80" t="str">
        <f>Regions!T3</f>
        <v>IE-LK</v>
      </c>
      <c r="T288" s="80" t="str">
        <f>Regions!U3</f>
        <v>IE-TA</v>
      </c>
      <c r="U288" s="80" t="str">
        <f>Regions!V3</f>
        <v>IE-WD</v>
      </c>
      <c r="V288" s="80" t="str">
        <f>Regions!W3</f>
        <v>IE-G</v>
      </c>
      <c r="W288" s="80" t="str">
        <f>Regions!X3</f>
        <v>IE-LM</v>
      </c>
      <c r="X288" s="80" t="str">
        <f>Regions!Y3</f>
        <v>IE-MO</v>
      </c>
      <c r="Y288" s="80" t="str">
        <f>Regions!Z3</f>
        <v>IE-RN</v>
      </c>
      <c r="Z288" s="80" t="str">
        <f>Regions!AA3</f>
        <v>IE-SO</v>
      </c>
      <c r="AA288" s="80" t="str">
        <f>Regions!AB3</f>
        <v>IE-CN</v>
      </c>
      <c r="AB288" s="80" t="str">
        <f>Regions!AC3</f>
        <v>IE-DL</v>
      </c>
      <c r="AC288" s="80" t="str">
        <f>Regions!AD3</f>
        <v>IE-MN</v>
      </c>
    </row>
    <row r="289" spans="1:29">
      <c r="A289" t="s">
        <v>862</v>
      </c>
      <c r="B289" t="s">
        <v>873</v>
      </c>
      <c r="C289" s="9">
        <f>E254</f>
        <v>238.72184365296803</v>
      </c>
      <c r="D289" s="9">
        <f t="shared" ref="D289:AC289" si="116">$C$289*D106/$C$106</f>
        <v>1.4209633550771903</v>
      </c>
      <c r="E289" s="9">
        <f t="shared" si="116"/>
        <v>122.2028485366384</v>
      </c>
      <c r="F289" s="9">
        <f t="shared" si="116"/>
        <v>9.9467434855403329</v>
      </c>
      <c r="G289" s="9">
        <f t="shared" si="116"/>
        <v>2.5577340391389427</v>
      </c>
      <c r="H289" s="9">
        <f t="shared" si="116"/>
        <v>2.5577340391389427</v>
      </c>
      <c r="I289" s="9">
        <f t="shared" si="116"/>
        <v>1.1367706840617522</v>
      </c>
      <c r="J289" s="9">
        <f t="shared" si="116"/>
        <v>7.1048167753859506</v>
      </c>
      <c r="K289" s="9">
        <f t="shared" si="116"/>
        <v>11.936092182648398</v>
      </c>
      <c r="L289" s="9">
        <f t="shared" si="116"/>
        <v>1.7051560260926284</v>
      </c>
      <c r="M289" s="9">
        <f t="shared" si="116"/>
        <v>3.4103120521852568</v>
      </c>
      <c r="N289" s="9">
        <f t="shared" si="116"/>
        <v>3.1261193811698189</v>
      </c>
      <c r="O289" s="9">
        <f t="shared" si="116"/>
        <v>3.978697394216133</v>
      </c>
      <c r="P289" s="9">
        <f t="shared" si="116"/>
        <v>3.978697394216133</v>
      </c>
      <c r="Q289" s="9">
        <f t="shared" si="116"/>
        <v>19.893486971080666</v>
      </c>
      <c r="R289" s="9">
        <f t="shared" si="116"/>
        <v>5.1154680782778854</v>
      </c>
      <c r="S289" s="9">
        <f t="shared" si="116"/>
        <v>7.6732021174168281</v>
      </c>
      <c r="T289" s="9">
        <f t="shared" si="116"/>
        <v>2.8419267101543806</v>
      </c>
      <c r="U289" s="9">
        <f t="shared" si="116"/>
        <v>3.1261193811698189</v>
      </c>
      <c r="V289" s="9">
        <f t="shared" si="116"/>
        <v>10.799321498586647</v>
      </c>
      <c r="W289" s="9">
        <f t="shared" si="116"/>
        <v>0.8525780130463142</v>
      </c>
      <c r="X289" s="9">
        <f t="shared" si="116"/>
        <v>3.1261193811698189</v>
      </c>
      <c r="Y289" s="9">
        <f t="shared" si="116"/>
        <v>1.4209633550771903</v>
      </c>
      <c r="Z289" s="9">
        <f t="shared" si="116"/>
        <v>1.7051560260926284</v>
      </c>
      <c r="AA289" s="9">
        <f t="shared" si="116"/>
        <v>1.9893486971080667</v>
      </c>
      <c r="AB289" s="9">
        <f t="shared" si="116"/>
        <v>4.2628900652315709</v>
      </c>
      <c r="AC289" s="9">
        <f t="shared" si="116"/>
        <v>0.8525780130463142</v>
      </c>
    </row>
    <row r="290" spans="1:29">
      <c r="A290" t="s">
        <v>870</v>
      </c>
      <c r="B290" t="s">
        <v>873</v>
      </c>
      <c r="C290" s="9">
        <f t="shared" ref="C290:C291" si="117">E255</f>
        <v>685.13169128401819</v>
      </c>
      <c r="D290" s="9">
        <f t="shared" ref="D290:AC290" si="118">$C$290*D106/$C$106</f>
        <v>4.078164829071536</v>
      </c>
      <c r="E290" s="9">
        <f t="shared" si="118"/>
        <v>350.72217530015217</v>
      </c>
      <c r="F290" s="9">
        <f t="shared" si="118"/>
        <v>28.547153803500748</v>
      </c>
      <c r="G290" s="9">
        <f t="shared" si="118"/>
        <v>7.3406966923287635</v>
      </c>
      <c r="H290" s="9">
        <f t="shared" si="118"/>
        <v>7.3406966923287635</v>
      </c>
      <c r="I290" s="9">
        <f t="shared" si="118"/>
        <v>3.2625318632572289</v>
      </c>
      <c r="J290" s="9">
        <f t="shared" si="118"/>
        <v>20.39082414535768</v>
      </c>
      <c r="K290" s="9">
        <f t="shared" si="118"/>
        <v>34.256584564200899</v>
      </c>
      <c r="L290" s="9">
        <f t="shared" si="118"/>
        <v>4.8937977948858435</v>
      </c>
      <c r="M290" s="9">
        <f t="shared" si="118"/>
        <v>9.7875955897716871</v>
      </c>
      <c r="N290" s="9">
        <f t="shared" si="118"/>
        <v>8.9719626239573795</v>
      </c>
      <c r="O290" s="9">
        <f t="shared" si="118"/>
        <v>11.4188615214003</v>
      </c>
      <c r="P290" s="9">
        <f t="shared" si="118"/>
        <v>11.4188615214003</v>
      </c>
      <c r="Q290" s="9">
        <f t="shared" si="118"/>
        <v>57.094307607001497</v>
      </c>
      <c r="R290" s="9">
        <f t="shared" si="118"/>
        <v>14.681393384657527</v>
      </c>
      <c r="S290" s="9">
        <f t="shared" si="118"/>
        <v>22.022090076986295</v>
      </c>
      <c r="T290" s="9">
        <f t="shared" si="118"/>
        <v>8.156329658143072</v>
      </c>
      <c r="U290" s="9">
        <f t="shared" si="118"/>
        <v>8.9719626239573795</v>
      </c>
      <c r="V290" s="9">
        <f t="shared" si="118"/>
        <v>30.994052700943669</v>
      </c>
      <c r="W290" s="9">
        <f t="shared" si="118"/>
        <v>2.4468988974429218</v>
      </c>
      <c r="X290" s="9">
        <f t="shared" si="118"/>
        <v>8.9719626239573795</v>
      </c>
      <c r="Y290" s="9">
        <f t="shared" si="118"/>
        <v>4.078164829071536</v>
      </c>
      <c r="Z290" s="9">
        <f t="shared" si="118"/>
        <v>4.8937977948858435</v>
      </c>
      <c r="AA290" s="9">
        <f t="shared" si="118"/>
        <v>5.7094307607001511</v>
      </c>
      <c r="AB290" s="9">
        <f t="shared" si="118"/>
        <v>12.234494487214608</v>
      </c>
      <c r="AC290" s="9">
        <f t="shared" si="118"/>
        <v>2.4468988974429218</v>
      </c>
    </row>
    <row r="291" spans="1:29">
      <c r="A291" t="s">
        <v>869</v>
      </c>
      <c r="B291" t="s">
        <v>873</v>
      </c>
      <c r="C291" s="9">
        <f t="shared" si="117"/>
        <v>329.43614424109597</v>
      </c>
      <c r="D291" s="9">
        <f t="shared" ref="D291:AC291" si="119">$C$291*D106/$C$106</f>
        <v>1.9609294300065232</v>
      </c>
      <c r="E291" s="9">
        <f t="shared" si="119"/>
        <v>168.63993098056102</v>
      </c>
      <c r="F291" s="9">
        <f t="shared" si="119"/>
        <v>13.726506010045663</v>
      </c>
      <c r="G291" s="9">
        <f t="shared" si="119"/>
        <v>3.5296729740117416</v>
      </c>
      <c r="H291" s="9">
        <f t="shared" si="119"/>
        <v>3.5296729740117416</v>
      </c>
      <c r="I291" s="9">
        <f t="shared" si="119"/>
        <v>1.5687435440052186</v>
      </c>
      <c r="J291" s="9">
        <f t="shared" si="119"/>
        <v>9.8046471500326149</v>
      </c>
      <c r="K291" s="9">
        <f t="shared" si="119"/>
        <v>16.471807212054795</v>
      </c>
      <c r="L291" s="9">
        <f t="shared" si="119"/>
        <v>2.3531153160078278</v>
      </c>
      <c r="M291" s="9">
        <f t="shared" si="119"/>
        <v>4.7062306320156555</v>
      </c>
      <c r="N291" s="9">
        <f t="shared" si="119"/>
        <v>4.3140447460143516</v>
      </c>
      <c r="O291" s="9">
        <f t="shared" si="119"/>
        <v>5.490602404018265</v>
      </c>
      <c r="P291" s="9">
        <f t="shared" si="119"/>
        <v>5.490602404018265</v>
      </c>
      <c r="Q291" s="9">
        <f t="shared" si="119"/>
        <v>27.453012020091325</v>
      </c>
      <c r="R291" s="9">
        <f t="shared" si="119"/>
        <v>7.0593459480234833</v>
      </c>
      <c r="S291" s="9">
        <f t="shared" si="119"/>
        <v>10.589018922035224</v>
      </c>
      <c r="T291" s="9">
        <f t="shared" si="119"/>
        <v>3.9218588600130464</v>
      </c>
      <c r="U291" s="9">
        <f t="shared" si="119"/>
        <v>4.3140447460143516</v>
      </c>
      <c r="V291" s="9">
        <f t="shared" si="119"/>
        <v>14.903063668049578</v>
      </c>
      <c r="W291" s="9">
        <f t="shared" si="119"/>
        <v>1.1765576580039139</v>
      </c>
      <c r="X291" s="9">
        <f t="shared" si="119"/>
        <v>4.3140447460143516</v>
      </c>
      <c r="Y291" s="9">
        <f t="shared" si="119"/>
        <v>1.9609294300065232</v>
      </c>
      <c r="Z291" s="9">
        <f t="shared" si="119"/>
        <v>2.3531153160078278</v>
      </c>
      <c r="AA291" s="9">
        <f t="shared" si="119"/>
        <v>2.7453012020091325</v>
      </c>
      <c r="AB291" s="9">
        <f t="shared" si="119"/>
        <v>5.8827882900195707</v>
      </c>
      <c r="AC291" s="9">
        <f t="shared" si="119"/>
        <v>1.1765576580039139</v>
      </c>
    </row>
    <row r="292" spans="1:29">
      <c r="A292" s="84" t="s">
        <v>1</v>
      </c>
      <c r="B292" s="79" t="s">
        <v>873</v>
      </c>
      <c r="C292" s="252">
        <f>SUM(C289:C291)</f>
        <v>1253.2896791780822</v>
      </c>
      <c r="D292" s="252">
        <f>SUM(D289:D291)</f>
        <v>7.4600576141552493</v>
      </c>
      <c r="E292" s="252">
        <f t="shared" ref="E292:AC292" si="120">SUM(E289:E291)</f>
        <v>641.56495481735158</v>
      </c>
      <c r="F292" s="252">
        <f t="shared" si="120"/>
        <v>52.22040329908674</v>
      </c>
      <c r="G292" s="252">
        <f t="shared" si="120"/>
        <v>13.428103705479447</v>
      </c>
      <c r="H292" s="252">
        <f t="shared" si="120"/>
        <v>13.428103705479447</v>
      </c>
      <c r="I292" s="252">
        <f t="shared" si="120"/>
        <v>5.9680460913241991</v>
      </c>
      <c r="J292" s="252">
        <f t="shared" si="120"/>
        <v>37.300288070776247</v>
      </c>
      <c r="K292" s="252">
        <f t="shared" si="120"/>
        <v>62.6644839589041</v>
      </c>
      <c r="L292" s="252">
        <f t="shared" si="120"/>
        <v>8.9520691369862995</v>
      </c>
      <c r="M292" s="252">
        <f t="shared" si="120"/>
        <v>17.904138273972599</v>
      </c>
      <c r="N292" s="252">
        <f t="shared" si="120"/>
        <v>16.41212675114155</v>
      </c>
      <c r="O292" s="252">
        <f t="shared" si="120"/>
        <v>20.888161319634698</v>
      </c>
      <c r="P292" s="252">
        <f t="shared" si="120"/>
        <v>20.888161319634698</v>
      </c>
      <c r="Q292" s="252">
        <f t="shared" si="120"/>
        <v>104.44080659817348</v>
      </c>
      <c r="R292" s="252">
        <f t="shared" si="120"/>
        <v>26.856207410958895</v>
      </c>
      <c r="S292" s="252">
        <f t="shared" si="120"/>
        <v>40.284311116438346</v>
      </c>
      <c r="T292" s="252">
        <f t="shared" si="120"/>
        <v>14.920115228310499</v>
      </c>
      <c r="U292" s="252">
        <f t="shared" si="120"/>
        <v>16.41212675114155</v>
      </c>
      <c r="V292" s="252">
        <f t="shared" si="120"/>
        <v>56.696437867579895</v>
      </c>
      <c r="W292" s="252">
        <f t="shared" si="120"/>
        <v>4.4760345684931497</v>
      </c>
      <c r="X292" s="252">
        <f t="shared" si="120"/>
        <v>16.41212675114155</v>
      </c>
      <c r="Y292" s="252">
        <f t="shared" si="120"/>
        <v>7.4600576141552493</v>
      </c>
      <c r="Z292" s="252">
        <f t="shared" si="120"/>
        <v>8.9520691369862995</v>
      </c>
      <c r="AA292" s="252">
        <f t="shared" si="120"/>
        <v>10.444080659817351</v>
      </c>
      <c r="AB292" s="252">
        <f t="shared" si="120"/>
        <v>22.380172842465747</v>
      </c>
      <c r="AC292" s="252">
        <f t="shared" si="120"/>
        <v>4.4760345684931497</v>
      </c>
    </row>
    <row r="293" spans="1:29">
      <c r="A293" s="52"/>
      <c r="B293" s="299"/>
      <c r="C293" s="300"/>
      <c r="D293" s="301"/>
      <c r="E293" s="302"/>
      <c r="F293" s="302"/>
    </row>
    <row r="294" spans="1:29">
      <c r="A294" s="52"/>
      <c r="B294" s="299"/>
      <c r="C294" s="300"/>
      <c r="D294" s="301"/>
      <c r="E294" s="302"/>
      <c r="F294" s="302"/>
    </row>
    <row r="295" spans="1:29">
      <c r="A295" s="52"/>
      <c r="B295" s="299"/>
      <c r="C295" s="300"/>
      <c r="D295" s="301"/>
      <c r="E295" s="302"/>
      <c r="F295" s="302"/>
    </row>
    <row r="296" spans="1:29">
      <c r="A296" s="78" t="s">
        <v>879</v>
      </c>
    </row>
    <row r="297" spans="1:29">
      <c r="A297" s="82" t="s">
        <v>860</v>
      </c>
      <c r="B297" s="82" t="s">
        <v>63</v>
      </c>
      <c r="C297" s="80" t="str">
        <f>Regions!C3</f>
        <v>IE</v>
      </c>
      <c r="D297" s="80" t="str">
        <f>Regions!E3</f>
        <v>IE-CW</v>
      </c>
      <c r="E297" s="80" t="str">
        <f>Regions!F3</f>
        <v>IE-D</v>
      </c>
      <c r="F297" s="80" t="str">
        <f>Regions!G3</f>
        <v>IE-KE</v>
      </c>
      <c r="G297" s="80" t="str">
        <f>Regions!H3</f>
        <v>IE-KK</v>
      </c>
      <c r="H297" s="80" t="str">
        <f>Regions!I3</f>
        <v>IE-LS</v>
      </c>
      <c r="I297" s="80" t="str">
        <f>Regions!J3</f>
        <v>IE-LD</v>
      </c>
      <c r="J297" s="80" t="str">
        <f>Regions!K3</f>
        <v>IE-LH</v>
      </c>
      <c r="K297" s="80" t="str">
        <f>Regions!L3</f>
        <v>IE-MH</v>
      </c>
      <c r="L297" s="80" t="str">
        <f>Regions!M3</f>
        <v>IE-OY</v>
      </c>
      <c r="M297" s="80" t="str">
        <f>Regions!N3</f>
        <v>IE-WH</v>
      </c>
      <c r="N297" s="80" t="str">
        <f>Regions!O3</f>
        <v>IE-WX</v>
      </c>
      <c r="O297" s="80" t="str">
        <f>Regions!P3</f>
        <v>IE-WW</v>
      </c>
      <c r="P297" s="80" t="str">
        <f>Regions!Q3</f>
        <v>IE-CE</v>
      </c>
      <c r="Q297" s="80" t="str">
        <f>Regions!R3</f>
        <v>IE-CO</v>
      </c>
      <c r="R297" s="80" t="str">
        <f>Regions!S3</f>
        <v>IE-KY</v>
      </c>
      <c r="S297" s="80" t="str">
        <f>Regions!T3</f>
        <v>IE-LK</v>
      </c>
      <c r="T297" s="80" t="str">
        <f>Regions!U3</f>
        <v>IE-TA</v>
      </c>
      <c r="U297" s="80" t="str">
        <f>Regions!V3</f>
        <v>IE-WD</v>
      </c>
      <c r="V297" s="80" t="str">
        <f>Regions!W3</f>
        <v>IE-G</v>
      </c>
      <c r="W297" s="80" t="str">
        <f>Regions!X3</f>
        <v>IE-LM</v>
      </c>
      <c r="X297" s="80" t="str">
        <f>Regions!Y3</f>
        <v>IE-MO</v>
      </c>
      <c r="Y297" s="80" t="str">
        <f>Regions!Z3</f>
        <v>IE-RN</v>
      </c>
      <c r="Z297" s="80" t="str">
        <f>Regions!AA3</f>
        <v>IE-SO</v>
      </c>
      <c r="AA297" s="80" t="str">
        <f>Regions!AB3</f>
        <v>IE-CN</v>
      </c>
      <c r="AB297" s="80" t="str">
        <f>Regions!AC3</f>
        <v>IE-DL</v>
      </c>
      <c r="AC297" s="80" t="str">
        <f>Regions!AD3</f>
        <v>IE-MN</v>
      </c>
    </row>
    <row r="298" spans="1:29">
      <c r="A298" t="s">
        <v>862</v>
      </c>
      <c r="B298" t="s">
        <v>873</v>
      </c>
      <c r="C298" s="9">
        <f>E272</f>
        <v>17.503649635036499</v>
      </c>
      <c r="D298" s="98">
        <f t="shared" ref="D298:AC298" si="121">$C$298*D98/$C$98</f>
        <v>0.16058394160583947</v>
      </c>
      <c r="E298" s="98">
        <f t="shared" si="121"/>
        <v>5.4598540145985419</v>
      </c>
      <c r="F298" s="98">
        <f t="shared" si="121"/>
        <v>0.96350364963503665</v>
      </c>
      <c r="G298" s="98">
        <f t="shared" si="121"/>
        <v>0.32116788321167894</v>
      </c>
      <c r="H298" s="98">
        <f t="shared" si="121"/>
        <v>0.16058394160583947</v>
      </c>
      <c r="I298" s="98">
        <f t="shared" si="121"/>
        <v>0.16058394160583947</v>
      </c>
      <c r="J298" s="98">
        <f t="shared" si="121"/>
        <v>0.32116788321167894</v>
      </c>
      <c r="K298" s="98">
        <f t="shared" si="121"/>
        <v>0.80291970802919721</v>
      </c>
      <c r="L298" s="98">
        <f t="shared" si="121"/>
        <v>0.32116788321167894</v>
      </c>
      <c r="M298" s="98">
        <f t="shared" si="121"/>
        <v>0.32116788321167894</v>
      </c>
      <c r="N298" s="98">
        <f t="shared" si="121"/>
        <v>0.64233576642335788</v>
      </c>
      <c r="O298" s="98">
        <f t="shared" si="121"/>
        <v>0.64233576642335788</v>
      </c>
      <c r="P298" s="98">
        <f t="shared" si="121"/>
        <v>0.48175182481751833</v>
      </c>
      <c r="Q298" s="98">
        <f t="shared" si="121"/>
        <v>2.4087591240875916</v>
      </c>
      <c r="R298" s="98">
        <f t="shared" si="121"/>
        <v>0.48175182481751833</v>
      </c>
      <c r="S298" s="98">
        <f t="shared" si="121"/>
        <v>0.64233576642335788</v>
      </c>
      <c r="T298" s="98">
        <f t="shared" si="121"/>
        <v>0.64233576642335788</v>
      </c>
      <c r="U298" s="98">
        <f t="shared" si="121"/>
        <v>0.48175182481751833</v>
      </c>
      <c r="V298" s="98">
        <f t="shared" si="121"/>
        <v>0.64233576642335788</v>
      </c>
      <c r="W298" s="98">
        <f>$C$298*W98/$C$98</f>
        <v>0.16058394160583947</v>
      </c>
      <c r="X298" s="98">
        <f t="shared" si="121"/>
        <v>0.32116788321167894</v>
      </c>
      <c r="Y298" s="98">
        <f t="shared" si="121"/>
        <v>0.16058394160583947</v>
      </c>
      <c r="Z298" s="98">
        <f t="shared" si="121"/>
        <v>0.16058394160583947</v>
      </c>
      <c r="AA298" s="98">
        <f t="shared" si="121"/>
        <v>0.16058394160583947</v>
      </c>
      <c r="AB298" s="98">
        <f t="shared" si="121"/>
        <v>0.32116788321167894</v>
      </c>
      <c r="AC298" s="98">
        <f t="shared" si="121"/>
        <v>0.16058394160583947</v>
      </c>
    </row>
    <row r="299" spans="1:29">
      <c r="A299" t="s">
        <v>870</v>
      </c>
      <c r="B299" t="s">
        <v>873</v>
      </c>
      <c r="C299" s="9">
        <f>E273</f>
        <v>102.39635036496351</v>
      </c>
      <c r="D299" s="98">
        <f t="shared" ref="D299:AC299" si="122">$C$299*D98/$C$98</f>
        <v>0.93941605839416076</v>
      </c>
      <c r="E299" s="98">
        <f t="shared" si="122"/>
        <v>31.940145985401465</v>
      </c>
      <c r="F299" s="98">
        <f t="shared" si="122"/>
        <v>5.6364963503649639</v>
      </c>
      <c r="G299" s="98">
        <f t="shared" si="122"/>
        <v>1.8788321167883215</v>
      </c>
      <c r="H299" s="98">
        <f t="shared" si="122"/>
        <v>0.93941605839416076</v>
      </c>
      <c r="I299" s="98">
        <f t="shared" si="122"/>
        <v>0.93941605839416076</v>
      </c>
      <c r="J299" s="98">
        <f t="shared" si="122"/>
        <v>1.8788321167883215</v>
      </c>
      <c r="K299" s="98">
        <f t="shared" si="122"/>
        <v>4.6970802919708028</v>
      </c>
      <c r="L299" s="98">
        <f t="shared" si="122"/>
        <v>1.8788321167883215</v>
      </c>
      <c r="M299" s="98">
        <f t="shared" si="122"/>
        <v>1.8788321167883215</v>
      </c>
      <c r="N299" s="98">
        <f t="shared" si="122"/>
        <v>3.757664233576643</v>
      </c>
      <c r="O299" s="98">
        <f t="shared" si="122"/>
        <v>3.757664233576643</v>
      </c>
      <c r="P299" s="98">
        <f t="shared" si="122"/>
        <v>2.8182481751824819</v>
      </c>
      <c r="Q299" s="98">
        <f t="shared" si="122"/>
        <v>14.091240875912408</v>
      </c>
      <c r="R299" s="98">
        <f t="shared" si="122"/>
        <v>2.8182481751824819</v>
      </c>
      <c r="S299" s="98">
        <f t="shared" si="122"/>
        <v>3.757664233576643</v>
      </c>
      <c r="T299" s="98">
        <f t="shared" si="122"/>
        <v>3.757664233576643</v>
      </c>
      <c r="U299" s="98">
        <f t="shared" si="122"/>
        <v>2.8182481751824819</v>
      </c>
      <c r="V299" s="98">
        <f t="shared" si="122"/>
        <v>3.757664233576643</v>
      </c>
      <c r="W299" s="98">
        <f t="shared" si="122"/>
        <v>0.93941605839416076</v>
      </c>
      <c r="X299" s="98">
        <f t="shared" si="122"/>
        <v>1.8788321167883215</v>
      </c>
      <c r="Y299" s="98">
        <f t="shared" si="122"/>
        <v>0.93941605839416076</v>
      </c>
      <c r="Z299" s="98">
        <f t="shared" si="122"/>
        <v>0.93941605839416076</v>
      </c>
      <c r="AA299" s="98">
        <f t="shared" si="122"/>
        <v>0.93941605839416076</v>
      </c>
      <c r="AB299" s="98">
        <f t="shared" si="122"/>
        <v>1.8788321167883215</v>
      </c>
      <c r="AC299" s="98">
        <f t="shared" si="122"/>
        <v>0.93941605839416076</v>
      </c>
    </row>
    <row r="300" spans="1:29">
      <c r="A300" s="84" t="s">
        <v>1</v>
      </c>
      <c r="B300" s="79" t="s">
        <v>873</v>
      </c>
      <c r="C300" s="252">
        <f t="shared" ref="C300:AC300" si="123">SUM(C298:C299)</f>
        <v>119.9</v>
      </c>
      <c r="D300" s="252">
        <f t="shared" si="123"/>
        <v>1.1000000000000003</v>
      </c>
      <c r="E300" s="252">
        <f t="shared" si="123"/>
        <v>37.400000000000006</v>
      </c>
      <c r="F300" s="252">
        <f t="shared" si="123"/>
        <v>6.6000000000000005</v>
      </c>
      <c r="G300" s="252">
        <f t="shared" si="123"/>
        <v>2.2000000000000006</v>
      </c>
      <c r="H300" s="252">
        <f t="shared" si="123"/>
        <v>1.1000000000000003</v>
      </c>
      <c r="I300" s="252">
        <f t="shared" si="123"/>
        <v>1.1000000000000003</v>
      </c>
      <c r="J300" s="252">
        <f t="shared" si="123"/>
        <v>2.2000000000000006</v>
      </c>
      <c r="K300" s="252">
        <f t="shared" si="123"/>
        <v>5.5</v>
      </c>
      <c r="L300" s="252">
        <f t="shared" si="123"/>
        <v>2.2000000000000006</v>
      </c>
      <c r="M300" s="252">
        <f t="shared" si="123"/>
        <v>2.2000000000000006</v>
      </c>
      <c r="N300" s="252">
        <f t="shared" si="123"/>
        <v>4.4000000000000012</v>
      </c>
      <c r="O300" s="252">
        <f t="shared" si="123"/>
        <v>4.4000000000000012</v>
      </c>
      <c r="P300" s="252">
        <f t="shared" si="123"/>
        <v>3.3000000000000003</v>
      </c>
      <c r="Q300" s="252">
        <f t="shared" si="123"/>
        <v>16.5</v>
      </c>
      <c r="R300" s="252">
        <f t="shared" si="123"/>
        <v>3.3000000000000003</v>
      </c>
      <c r="S300" s="252">
        <f t="shared" si="123"/>
        <v>4.4000000000000012</v>
      </c>
      <c r="T300" s="252">
        <f t="shared" si="123"/>
        <v>4.4000000000000012</v>
      </c>
      <c r="U300" s="252">
        <f t="shared" si="123"/>
        <v>3.3000000000000003</v>
      </c>
      <c r="V300" s="252">
        <f t="shared" si="123"/>
        <v>4.4000000000000012</v>
      </c>
      <c r="W300" s="252">
        <f t="shared" si="123"/>
        <v>1.1000000000000003</v>
      </c>
      <c r="X300" s="252">
        <f t="shared" si="123"/>
        <v>2.2000000000000006</v>
      </c>
      <c r="Y300" s="252">
        <f t="shared" si="123"/>
        <v>1.1000000000000003</v>
      </c>
      <c r="Z300" s="252">
        <f t="shared" si="123"/>
        <v>1.1000000000000003</v>
      </c>
      <c r="AA300" s="252">
        <f t="shared" si="123"/>
        <v>1.1000000000000003</v>
      </c>
      <c r="AB300" s="252">
        <f t="shared" si="123"/>
        <v>2.2000000000000006</v>
      </c>
      <c r="AC300" s="252">
        <f t="shared" si="123"/>
        <v>1.1000000000000003</v>
      </c>
    </row>
    <row r="301" spans="1:29">
      <c r="A301" s="52"/>
      <c r="B301" s="299"/>
      <c r="C301" s="300"/>
      <c r="D301" s="301"/>
      <c r="E301" s="302"/>
      <c r="F301" s="302"/>
    </row>
    <row r="302" spans="1:29">
      <c r="A302" s="52"/>
      <c r="B302" s="299"/>
      <c r="C302" s="300"/>
      <c r="D302" s="301"/>
      <c r="E302" s="302"/>
      <c r="F302" s="302"/>
    </row>
    <row r="303" spans="1:29">
      <c r="A303" s="52"/>
      <c r="B303" s="299"/>
      <c r="C303" s="300"/>
      <c r="D303" s="301"/>
      <c r="E303" s="302"/>
      <c r="F303" s="302"/>
    </row>
    <row r="304" spans="1:29">
      <c r="A304" s="78" t="s">
        <v>880</v>
      </c>
    </row>
    <row r="305" spans="1:30">
      <c r="A305" s="82" t="s">
        <v>860</v>
      </c>
      <c r="B305" s="82" t="s">
        <v>63</v>
      </c>
      <c r="C305" s="80" t="str">
        <f>Regions!C3</f>
        <v>IE</v>
      </c>
      <c r="D305" s="80" t="str">
        <f>Regions!E3</f>
        <v>IE-CW</v>
      </c>
      <c r="E305" s="80" t="str">
        <f>Regions!F3</f>
        <v>IE-D</v>
      </c>
      <c r="F305" s="80" t="str">
        <f>Regions!G3</f>
        <v>IE-KE</v>
      </c>
      <c r="G305" s="80" t="str">
        <f>Regions!H3</f>
        <v>IE-KK</v>
      </c>
      <c r="H305" s="80" t="str">
        <f>Regions!I3</f>
        <v>IE-LS</v>
      </c>
      <c r="I305" s="80" t="str">
        <f>Regions!J3</f>
        <v>IE-LD</v>
      </c>
      <c r="J305" s="80" t="str">
        <f>Regions!K3</f>
        <v>IE-LH</v>
      </c>
      <c r="K305" s="80" t="str">
        <f>Regions!L3</f>
        <v>IE-MH</v>
      </c>
      <c r="L305" s="80" t="str">
        <f>Regions!M3</f>
        <v>IE-OY</v>
      </c>
      <c r="M305" s="80" t="str">
        <f>Regions!N3</f>
        <v>IE-WH</v>
      </c>
      <c r="N305" s="80" t="str">
        <f>Regions!O3</f>
        <v>IE-WX</v>
      </c>
      <c r="O305" s="80" t="str">
        <f>Regions!P3</f>
        <v>IE-WW</v>
      </c>
      <c r="P305" s="80" t="str">
        <f>Regions!Q3</f>
        <v>IE-CE</v>
      </c>
      <c r="Q305" s="80" t="str">
        <f>Regions!R3</f>
        <v>IE-CO</v>
      </c>
      <c r="R305" s="80" t="str">
        <f>Regions!S3</f>
        <v>IE-KY</v>
      </c>
      <c r="S305" s="80" t="str">
        <f>Regions!T3</f>
        <v>IE-LK</v>
      </c>
      <c r="T305" s="80" t="str">
        <f>Regions!U3</f>
        <v>IE-TA</v>
      </c>
      <c r="U305" s="80" t="str">
        <f>Regions!V3</f>
        <v>IE-WD</v>
      </c>
      <c r="V305" s="80" t="str">
        <f>Regions!W3</f>
        <v>IE-G</v>
      </c>
      <c r="W305" s="80" t="str">
        <f>Regions!X3</f>
        <v>IE-LM</v>
      </c>
      <c r="X305" s="80" t="str">
        <f>Regions!Y3</f>
        <v>IE-MO</v>
      </c>
      <c r="Y305" s="80" t="str">
        <f>Regions!Z3</f>
        <v>IE-RN</v>
      </c>
      <c r="Z305" s="80" t="str">
        <f>Regions!AA3</f>
        <v>IE-SO</v>
      </c>
      <c r="AA305" s="80" t="str">
        <f>Regions!AB3</f>
        <v>IE-CN</v>
      </c>
      <c r="AB305" s="80" t="str">
        <f>Regions!AC3</f>
        <v>IE-DL</v>
      </c>
      <c r="AC305" s="80" t="str">
        <f>Regions!AD3</f>
        <v>IE-MN</v>
      </c>
    </row>
    <row r="306" spans="1:30">
      <c r="A306" t="s">
        <v>862</v>
      </c>
      <c r="B306" t="s">
        <v>873</v>
      </c>
      <c r="C306" s="9">
        <f>E263</f>
        <v>1204.4243616479548</v>
      </c>
      <c r="D306" s="9">
        <f>$C$306*D107/$C$107</f>
        <v>13.374233128834355</v>
      </c>
      <c r="E306" s="9">
        <f t="shared" ref="E306:AC306" si="124">$C$306*E107/$C$107</f>
        <v>434.66257668711654</v>
      </c>
      <c r="F306" s="9">
        <f t="shared" si="124"/>
        <v>56.840490797546011</v>
      </c>
      <c r="G306" s="9">
        <f t="shared" si="124"/>
        <v>36.779141104294474</v>
      </c>
      <c r="H306" s="9">
        <f t="shared" si="124"/>
        <v>16.717791411042942</v>
      </c>
      <c r="I306" s="9">
        <f t="shared" si="124"/>
        <v>10.030674846625766</v>
      </c>
      <c r="J306" s="9">
        <f t="shared" si="124"/>
        <v>26.74846625766871</v>
      </c>
      <c r="K306" s="9">
        <f t="shared" si="124"/>
        <v>36.779141104294474</v>
      </c>
      <c r="L306" s="9">
        <f t="shared" si="124"/>
        <v>23.404907975460123</v>
      </c>
      <c r="M306" s="9">
        <f t="shared" si="124"/>
        <v>16.717791411042942</v>
      </c>
      <c r="N306" s="9">
        <f t="shared" si="124"/>
        <v>33.435582822085884</v>
      </c>
      <c r="O306" s="9">
        <f t="shared" si="124"/>
        <v>30.092024539877297</v>
      </c>
      <c r="P306" s="9">
        <f t="shared" si="124"/>
        <v>23.404907975460123</v>
      </c>
      <c r="Q306" s="9">
        <f t="shared" si="124"/>
        <v>96.963190184049083</v>
      </c>
      <c r="R306" s="9">
        <f t="shared" si="124"/>
        <v>60.184049079754594</v>
      </c>
      <c r="S306" s="9">
        <f t="shared" si="124"/>
        <v>36.779141104294474</v>
      </c>
      <c r="T306" s="9">
        <f t="shared" si="124"/>
        <v>43.466257668711656</v>
      </c>
      <c r="U306" s="9">
        <f t="shared" si="124"/>
        <v>20.061349693251532</v>
      </c>
      <c r="V306" s="9">
        <f t="shared" si="124"/>
        <v>70.214723926380373</v>
      </c>
      <c r="W306" s="9">
        <f t="shared" si="124"/>
        <v>6.6871165644171775</v>
      </c>
      <c r="X306" s="9">
        <f t="shared" si="124"/>
        <v>43.466257668711656</v>
      </c>
      <c r="Y306" s="9">
        <f t="shared" si="124"/>
        <v>13.374233128834355</v>
      </c>
      <c r="Z306" s="9">
        <f t="shared" si="124"/>
        <v>13.374233128834355</v>
      </c>
      <c r="AA306" s="9">
        <f t="shared" si="124"/>
        <v>5.5902179975267119</v>
      </c>
      <c r="AB306" s="9">
        <f t="shared" si="124"/>
        <v>1.8402786197531826</v>
      </c>
      <c r="AC306" s="9">
        <f t="shared" si="124"/>
        <v>33.435582822085884</v>
      </c>
    </row>
    <row r="307" spans="1:30">
      <c r="A307" t="s">
        <v>870</v>
      </c>
      <c r="B307" t="s">
        <v>873</v>
      </c>
      <c r="C307" s="9">
        <f t="shared" ref="C307:C308" si="125">E264</f>
        <v>4197.418900343122</v>
      </c>
      <c r="D307" s="9">
        <f>$C$307*D107/$C$107</f>
        <v>46.609202453987727</v>
      </c>
      <c r="E307" s="9">
        <f t="shared" ref="E307:AC307" si="126">$C$307*E107/$C$107</f>
        <v>1514.7990797546011</v>
      </c>
      <c r="F307" s="9">
        <f t="shared" si="126"/>
        <v>198.08911042944783</v>
      </c>
      <c r="G307" s="9">
        <f t="shared" si="126"/>
        <v>128.17530674846623</v>
      </c>
      <c r="H307" s="9">
        <f t="shared" si="126"/>
        <v>58.261503067484654</v>
      </c>
      <c r="I307" s="9">
        <f t="shared" si="126"/>
        <v>34.956901840490794</v>
      </c>
      <c r="J307" s="9">
        <f t="shared" si="126"/>
        <v>93.218404907975454</v>
      </c>
      <c r="K307" s="9">
        <f t="shared" si="126"/>
        <v>128.17530674846623</v>
      </c>
      <c r="L307" s="9">
        <f t="shared" si="126"/>
        <v>81.566104294478521</v>
      </c>
      <c r="M307" s="9">
        <f t="shared" si="126"/>
        <v>58.261503067484654</v>
      </c>
      <c r="N307" s="9">
        <f t="shared" si="126"/>
        <v>116.52300613496931</v>
      </c>
      <c r="O307" s="9">
        <f t="shared" si="126"/>
        <v>104.87070552147237</v>
      </c>
      <c r="P307" s="9">
        <f t="shared" si="126"/>
        <v>81.566104294478521</v>
      </c>
      <c r="Q307" s="9">
        <f t="shared" si="126"/>
        <v>337.91671779141097</v>
      </c>
      <c r="R307" s="9">
        <f t="shared" si="126"/>
        <v>209.74141104294475</v>
      </c>
      <c r="S307" s="9">
        <f t="shared" si="126"/>
        <v>128.17530674846623</v>
      </c>
      <c r="T307" s="9">
        <f t="shared" si="126"/>
        <v>151.47990797546012</v>
      </c>
      <c r="U307" s="9">
        <f t="shared" si="126"/>
        <v>69.913803680981587</v>
      </c>
      <c r="V307" s="9">
        <f t="shared" si="126"/>
        <v>244.69831288343556</v>
      </c>
      <c r="W307" s="9">
        <f t="shared" si="126"/>
        <v>23.304601226993864</v>
      </c>
      <c r="X307" s="9">
        <f t="shared" si="126"/>
        <v>151.47990797546012</v>
      </c>
      <c r="Y307" s="9">
        <f t="shared" si="126"/>
        <v>46.609202453987727</v>
      </c>
      <c r="Z307" s="9">
        <f t="shared" si="126"/>
        <v>46.609202453987727</v>
      </c>
      <c r="AA307" s="9">
        <f t="shared" si="126"/>
        <v>19.481909721380589</v>
      </c>
      <c r="AB307" s="9">
        <f t="shared" si="126"/>
        <v>6.4133709898398408</v>
      </c>
      <c r="AC307" s="9">
        <f t="shared" si="126"/>
        <v>116.52300613496931</v>
      </c>
    </row>
    <row r="308" spans="1:30">
      <c r="A308" t="s">
        <v>869</v>
      </c>
      <c r="B308" t="s">
        <v>873</v>
      </c>
      <c r="C308" s="9">
        <f t="shared" si="125"/>
        <v>4414.2152854397546</v>
      </c>
      <c r="D308" s="9">
        <f>$C$308*D107/$C$107</f>
        <v>49.016564417177918</v>
      </c>
      <c r="E308" s="9">
        <f t="shared" ref="E308:AC308" si="127">$C$308*E107/$C$107</f>
        <v>1593.0383435582823</v>
      </c>
      <c r="F308" s="9">
        <f t="shared" si="127"/>
        <v>208.32039877300613</v>
      </c>
      <c r="G308" s="9">
        <f t="shared" si="127"/>
        <v>134.79555214723925</v>
      </c>
      <c r="H308" s="9">
        <f t="shared" si="127"/>
        <v>61.270705521472394</v>
      </c>
      <c r="I308" s="9">
        <f t="shared" si="127"/>
        <v>36.762423312883442</v>
      </c>
      <c r="J308" s="9">
        <f t="shared" si="127"/>
        <v>98.033128834355836</v>
      </c>
      <c r="K308" s="9">
        <f t="shared" si="127"/>
        <v>134.79555214723925</v>
      </c>
      <c r="L308" s="9">
        <f t="shared" si="127"/>
        <v>85.77898773006136</v>
      </c>
      <c r="M308" s="9">
        <f t="shared" si="127"/>
        <v>61.270705521472394</v>
      </c>
      <c r="N308" s="9">
        <f t="shared" si="127"/>
        <v>122.54141104294479</v>
      </c>
      <c r="O308" s="9">
        <f t="shared" si="127"/>
        <v>110.28726993865031</v>
      </c>
      <c r="P308" s="9">
        <f t="shared" si="127"/>
        <v>85.77898773006136</v>
      </c>
      <c r="Q308" s="9">
        <f t="shared" si="127"/>
        <v>355.37009202453987</v>
      </c>
      <c r="R308" s="9">
        <f t="shared" si="127"/>
        <v>220.57453987730062</v>
      </c>
      <c r="S308" s="9">
        <f t="shared" si="127"/>
        <v>134.79555214723925</v>
      </c>
      <c r="T308" s="9">
        <f t="shared" si="127"/>
        <v>159.30383435582823</v>
      </c>
      <c r="U308" s="9">
        <f t="shared" si="127"/>
        <v>73.524846625766884</v>
      </c>
      <c r="V308" s="9">
        <f t="shared" si="127"/>
        <v>257.33696319018406</v>
      </c>
      <c r="W308" s="9">
        <f t="shared" si="127"/>
        <v>24.508282208588959</v>
      </c>
      <c r="X308" s="9">
        <f t="shared" si="127"/>
        <v>159.30383435582823</v>
      </c>
      <c r="Y308" s="9">
        <f t="shared" si="127"/>
        <v>49.016564417177918</v>
      </c>
      <c r="Z308" s="9">
        <f t="shared" si="127"/>
        <v>49.016564417177918</v>
      </c>
      <c r="AA308" s="9">
        <f t="shared" si="127"/>
        <v>20.488148960935401</v>
      </c>
      <c r="AB308" s="9">
        <f t="shared" si="127"/>
        <v>6.7446211413954158</v>
      </c>
      <c r="AC308" s="9">
        <f t="shared" si="127"/>
        <v>122.54141104294479</v>
      </c>
    </row>
    <row r="309" spans="1:30">
      <c r="A309" s="84" t="s">
        <v>1</v>
      </c>
      <c r="B309" s="79" t="s">
        <v>873</v>
      </c>
      <c r="C309" s="252">
        <f>SUM(C306:C308)</f>
        <v>9816.0585474308318</v>
      </c>
      <c r="D309" s="252">
        <f>SUM(D306:D308)</f>
        <v>109</v>
      </c>
      <c r="E309" s="252">
        <f t="shared" ref="E309" si="128">SUM(E306:E308)</f>
        <v>3542.5</v>
      </c>
      <c r="F309" s="252">
        <f t="shared" ref="F309" si="129">SUM(F306:F308)</f>
        <v>463.25</v>
      </c>
      <c r="G309" s="252">
        <f t="shared" ref="G309" si="130">SUM(G306:G308)</f>
        <v>299.74999999999994</v>
      </c>
      <c r="H309" s="252">
        <f t="shared" ref="H309" si="131">SUM(H306:H308)</f>
        <v>136.25</v>
      </c>
      <c r="I309" s="252">
        <f t="shared" ref="I309" si="132">SUM(I306:I308)</f>
        <v>81.75</v>
      </c>
      <c r="J309" s="252">
        <f t="shared" ref="J309" si="133">SUM(J306:J308)</f>
        <v>218</v>
      </c>
      <c r="K309" s="252">
        <f t="shared" ref="K309" si="134">SUM(K306:K308)</f>
        <v>299.74999999999994</v>
      </c>
      <c r="L309" s="252">
        <f t="shared" ref="L309" si="135">SUM(L306:L308)</f>
        <v>190.75</v>
      </c>
      <c r="M309" s="252">
        <f t="shared" ref="M309" si="136">SUM(M306:M308)</f>
        <v>136.25</v>
      </c>
      <c r="N309" s="252">
        <f t="shared" ref="N309" si="137">SUM(N306:N308)</f>
        <v>272.5</v>
      </c>
      <c r="O309" s="252">
        <f t="shared" ref="O309" si="138">SUM(O306:O308)</f>
        <v>245.25</v>
      </c>
      <c r="P309" s="252">
        <f t="shared" ref="P309" si="139">SUM(P306:P308)</f>
        <v>190.75</v>
      </c>
      <c r="Q309" s="252">
        <f t="shared" ref="Q309" si="140">SUM(Q306:Q308)</f>
        <v>790.25</v>
      </c>
      <c r="R309" s="252">
        <f t="shared" ref="R309" si="141">SUM(R306:R308)</f>
        <v>490.5</v>
      </c>
      <c r="S309" s="252">
        <f t="shared" ref="S309" si="142">SUM(S306:S308)</f>
        <v>299.74999999999994</v>
      </c>
      <c r="T309" s="252">
        <f t="shared" ref="T309" si="143">SUM(T306:T308)</f>
        <v>354.25</v>
      </c>
      <c r="U309" s="252">
        <f t="shared" ref="U309" si="144">SUM(U306:U308)</f>
        <v>163.5</v>
      </c>
      <c r="V309" s="252">
        <f t="shared" ref="V309" si="145">SUM(V306:V308)</f>
        <v>572.25</v>
      </c>
      <c r="W309" s="252">
        <f t="shared" ref="W309" si="146">SUM(W306:W308)</f>
        <v>54.5</v>
      </c>
      <c r="X309" s="252">
        <f t="shared" ref="X309" si="147">SUM(X306:X308)</f>
        <v>354.25</v>
      </c>
      <c r="Y309" s="252">
        <f t="shared" ref="Y309" si="148">SUM(Y306:Y308)</f>
        <v>109</v>
      </c>
      <c r="Z309" s="252">
        <f t="shared" ref="Z309" si="149">SUM(Z306:Z308)</f>
        <v>109</v>
      </c>
      <c r="AA309" s="252">
        <f t="shared" ref="AA309" si="150">SUM(AA306:AA308)</f>
        <v>45.560276679842701</v>
      </c>
      <c r="AB309" s="252">
        <f t="shared" ref="AB309" si="151">SUM(AB306:AB308)</f>
        <v>14.998270750988439</v>
      </c>
      <c r="AC309" s="252">
        <f t="shared" ref="AC309" si="152">SUM(AC306:AC308)</f>
        <v>272.5</v>
      </c>
    </row>
    <row r="310" spans="1:30">
      <c r="A310" s="52"/>
      <c r="B310" s="299"/>
      <c r="C310" s="300"/>
      <c r="D310" s="301"/>
      <c r="E310" s="302"/>
      <c r="F310" s="302"/>
    </row>
    <row r="311" spans="1:30">
      <c r="A311" s="52"/>
      <c r="B311" s="299"/>
      <c r="C311" s="300"/>
      <c r="D311" s="301"/>
      <c r="E311" s="302"/>
      <c r="F311" s="302"/>
    </row>
    <row r="312" spans="1:30">
      <c r="A312" s="52"/>
      <c r="B312" s="299"/>
      <c r="C312" s="300"/>
      <c r="D312" s="301"/>
      <c r="E312" s="302"/>
      <c r="F312" s="302"/>
    </row>
    <row r="313" spans="1:30" ht="15.5">
      <c r="A313" s="101" t="s">
        <v>431</v>
      </c>
      <c r="B313" s="101"/>
      <c r="C313" s="101"/>
    </row>
    <row r="314" spans="1:30">
      <c r="A314" s="82" t="s">
        <v>330</v>
      </c>
      <c r="B314" s="82" t="s">
        <v>331</v>
      </c>
      <c r="C314" s="80" t="str">
        <f>Regions!C3</f>
        <v>IE</v>
      </c>
      <c r="D314" s="80" t="str">
        <f>Regions!E3</f>
        <v>IE-CW</v>
      </c>
      <c r="E314" s="80" t="str">
        <f>Regions!F3</f>
        <v>IE-D</v>
      </c>
      <c r="F314" s="80" t="str">
        <f>Regions!G3</f>
        <v>IE-KE</v>
      </c>
      <c r="G314" s="80" t="str">
        <f>Regions!H3</f>
        <v>IE-KK</v>
      </c>
      <c r="H314" s="80" t="str">
        <f>Regions!I3</f>
        <v>IE-LS</v>
      </c>
      <c r="I314" s="80" t="str">
        <f>Regions!J3</f>
        <v>IE-LD</v>
      </c>
      <c r="J314" s="80" t="str">
        <f>Regions!K3</f>
        <v>IE-LH</v>
      </c>
      <c r="K314" s="80" t="str">
        <f>Regions!L3</f>
        <v>IE-MH</v>
      </c>
      <c r="L314" s="80" t="str">
        <f>Regions!M3</f>
        <v>IE-OY</v>
      </c>
      <c r="M314" s="80" t="str">
        <f>Regions!N3</f>
        <v>IE-WH</v>
      </c>
      <c r="N314" s="80" t="str">
        <f>Regions!O3</f>
        <v>IE-WX</v>
      </c>
      <c r="O314" s="80" t="str">
        <f>Regions!P3</f>
        <v>IE-WW</v>
      </c>
      <c r="P314" s="80" t="str">
        <f>Regions!Q3</f>
        <v>IE-CE</v>
      </c>
      <c r="Q314" s="80" t="str">
        <f>Regions!R3</f>
        <v>IE-CO</v>
      </c>
      <c r="R314" s="80" t="str">
        <f>Regions!S3</f>
        <v>IE-KY</v>
      </c>
      <c r="S314" s="80" t="str">
        <f>Regions!T3</f>
        <v>IE-LK</v>
      </c>
      <c r="T314" s="80" t="str">
        <f>Regions!U3</f>
        <v>IE-TA</v>
      </c>
      <c r="U314" s="80" t="str">
        <f>Regions!V3</f>
        <v>IE-WD</v>
      </c>
      <c r="V314" s="80" t="str">
        <f>Regions!W3</f>
        <v>IE-G</v>
      </c>
      <c r="W314" s="80" t="str">
        <f>Regions!X3</f>
        <v>IE-LM</v>
      </c>
      <c r="X314" s="80" t="str">
        <f>Regions!Y3</f>
        <v>IE-MO</v>
      </c>
      <c r="Y314" s="80" t="str">
        <f>Regions!Z3</f>
        <v>IE-RN</v>
      </c>
      <c r="Z314" s="80" t="str">
        <f>Regions!AA3</f>
        <v>IE-SO</v>
      </c>
      <c r="AA314" s="80" t="str">
        <f>Regions!AB3</f>
        <v>IE-CN</v>
      </c>
      <c r="AB314" s="80" t="str">
        <f>Regions!AC3</f>
        <v>IE-DL</v>
      </c>
      <c r="AC314" s="80" t="str">
        <f>Regions!AD3</f>
        <v>IE-MN</v>
      </c>
    </row>
    <row r="315" spans="1:30">
      <c r="A315" t="s">
        <v>337</v>
      </c>
      <c r="B315" t="s">
        <v>332</v>
      </c>
      <c r="C315" s="304">
        <f t="shared" ref="C315:AC315" si="153">C96</f>
        <v>4713.1209901287639</v>
      </c>
      <c r="D315" s="30">
        <f t="shared" si="153"/>
        <v>56.349225400134316</v>
      </c>
      <c r="E315" s="30">
        <f t="shared" si="153"/>
        <v>1333.5669919535535</v>
      </c>
      <c r="F315" s="30">
        <f t="shared" si="153"/>
        <v>220.22637617563907</v>
      </c>
      <c r="G315" s="30">
        <f t="shared" si="153"/>
        <v>98.216228744926028</v>
      </c>
      <c r="H315" s="30">
        <f t="shared" si="153"/>
        <v>83.830013765811429</v>
      </c>
      <c r="I315" s="30">
        <f t="shared" si="153"/>
        <v>40.454610584200275</v>
      </c>
      <c r="J315" s="30">
        <f t="shared" si="153"/>
        <v>127.56470116052328</v>
      </c>
      <c r="K315" s="30">
        <f t="shared" si="153"/>
        <v>193.04746573006037</v>
      </c>
      <c r="L315" s="30">
        <f t="shared" si="153"/>
        <v>77.162965668163267</v>
      </c>
      <c r="M315" s="30">
        <f t="shared" si="153"/>
        <v>87.861321203715363</v>
      </c>
      <c r="N315" s="30">
        <f t="shared" si="153"/>
        <v>148.18939656711356</v>
      </c>
      <c r="O315" s="30">
        <f t="shared" si="153"/>
        <v>140.96709104921888</v>
      </c>
      <c r="P315" s="30">
        <f t="shared" si="153"/>
        <v>117.60075026993182</v>
      </c>
      <c r="Q315" s="30">
        <f t="shared" si="153"/>
        <v>537.31102533759781</v>
      </c>
      <c r="R315" s="30">
        <f t="shared" si="153"/>
        <v>146.19502276711938</v>
      </c>
      <c r="S315" s="30">
        <f t="shared" si="153"/>
        <v>192.90394999755458</v>
      </c>
      <c r="T315" s="30">
        <f t="shared" si="153"/>
        <v>157.91976323100596</v>
      </c>
      <c r="U315" s="30">
        <f t="shared" si="153"/>
        <v>114.98678441098158</v>
      </c>
      <c r="V315" s="30">
        <f t="shared" si="153"/>
        <v>255.41643378605812</v>
      </c>
      <c r="W315" s="30">
        <f t="shared" si="153"/>
        <v>31.715987120106512</v>
      </c>
      <c r="X315" s="30">
        <f t="shared" si="153"/>
        <v>129.17108760091566</v>
      </c>
      <c r="Y315" s="30">
        <f t="shared" si="153"/>
        <v>63.883306474851913</v>
      </c>
      <c r="Z315" s="30">
        <f t="shared" si="153"/>
        <v>64.86416227425353</v>
      </c>
      <c r="AA315" s="30">
        <f t="shared" si="153"/>
        <v>75.396237512833409</v>
      </c>
      <c r="AB315" s="30">
        <f t="shared" si="153"/>
        <v>157.56245854525014</v>
      </c>
      <c r="AC315" s="30">
        <f t="shared" si="153"/>
        <v>60.757632797243112</v>
      </c>
      <c r="AD315" s="5"/>
    </row>
    <row r="316" spans="1:30">
      <c r="B316" t="s">
        <v>333</v>
      </c>
      <c r="C316" s="304">
        <f t="shared" ref="C316:AC316" si="154">C97</f>
        <v>785.52016502146068</v>
      </c>
      <c r="D316" s="30">
        <f t="shared" si="154"/>
        <v>9.3915375666890526</v>
      </c>
      <c r="E316" s="30">
        <f t="shared" si="154"/>
        <v>222.26116532559226</v>
      </c>
      <c r="F316" s="30">
        <f t="shared" si="154"/>
        <v>36.704396029273184</v>
      </c>
      <c r="G316" s="30">
        <f t="shared" si="154"/>
        <v>16.36937145748767</v>
      </c>
      <c r="H316" s="30">
        <f t="shared" si="154"/>
        <v>13.971668960968572</v>
      </c>
      <c r="I316" s="30">
        <f t="shared" si="154"/>
        <v>6.7424350973667124</v>
      </c>
      <c r="J316" s="30">
        <f t="shared" si="154"/>
        <v>21.260783526753883</v>
      </c>
      <c r="K316" s="30">
        <f t="shared" si="154"/>
        <v>32.174577621676733</v>
      </c>
      <c r="L316" s="30">
        <f t="shared" si="154"/>
        <v>12.860494278027211</v>
      </c>
      <c r="M316" s="30">
        <f t="shared" si="154"/>
        <v>14.643553533952561</v>
      </c>
      <c r="N316" s="30">
        <f t="shared" si="154"/>
        <v>24.698232761185597</v>
      </c>
      <c r="O316" s="30">
        <f t="shared" si="154"/>
        <v>23.494515174869814</v>
      </c>
      <c r="P316" s="30">
        <f t="shared" si="154"/>
        <v>19.600125044988637</v>
      </c>
      <c r="Q316" s="30">
        <f t="shared" si="154"/>
        <v>89.551837556266307</v>
      </c>
      <c r="R316" s="30">
        <f t="shared" si="154"/>
        <v>24.365837127853229</v>
      </c>
      <c r="S316" s="30">
        <f t="shared" si="154"/>
        <v>32.150658332925765</v>
      </c>
      <c r="T316" s="30">
        <f t="shared" si="154"/>
        <v>26.319960538500993</v>
      </c>
      <c r="U316" s="30">
        <f t="shared" si="154"/>
        <v>19.164464068496933</v>
      </c>
      <c r="V316" s="30">
        <f t="shared" si="154"/>
        <v>42.569405631009687</v>
      </c>
      <c r="W316" s="30">
        <f t="shared" si="154"/>
        <v>5.2859978533510859</v>
      </c>
      <c r="X316" s="30">
        <f t="shared" si="154"/>
        <v>21.528514600152608</v>
      </c>
      <c r="Y316" s="30">
        <f t="shared" si="154"/>
        <v>10.647217745808652</v>
      </c>
      <c r="Z316" s="30">
        <f t="shared" si="154"/>
        <v>10.81069371237559</v>
      </c>
      <c r="AA316" s="30">
        <f t="shared" si="154"/>
        <v>12.566039585472234</v>
      </c>
      <c r="AB316" s="30">
        <f t="shared" si="154"/>
        <v>26.260409757541691</v>
      </c>
      <c r="AC316" s="30">
        <f t="shared" si="154"/>
        <v>10.126272132873853</v>
      </c>
      <c r="AD316" s="5"/>
    </row>
    <row r="317" spans="1:30">
      <c r="A317" t="s">
        <v>334</v>
      </c>
      <c r="B317" t="s">
        <v>340</v>
      </c>
      <c r="C317" s="304">
        <f>C298</f>
        <v>17.503649635036499</v>
      </c>
      <c r="D317" s="303">
        <f t="shared" ref="D317:AC317" si="155">D298</f>
        <v>0.16058394160583947</v>
      </c>
      <c r="E317" s="303">
        <f t="shared" si="155"/>
        <v>5.4598540145985419</v>
      </c>
      <c r="F317" s="303">
        <f t="shared" si="155"/>
        <v>0.96350364963503665</v>
      </c>
      <c r="G317" s="303">
        <f t="shared" si="155"/>
        <v>0.32116788321167894</v>
      </c>
      <c r="H317" s="303">
        <f t="shared" si="155"/>
        <v>0.16058394160583947</v>
      </c>
      <c r="I317" s="303">
        <f t="shared" si="155"/>
        <v>0.16058394160583947</v>
      </c>
      <c r="J317" s="303">
        <f t="shared" si="155"/>
        <v>0.32116788321167894</v>
      </c>
      <c r="K317" s="303">
        <f t="shared" si="155"/>
        <v>0.80291970802919721</v>
      </c>
      <c r="L317" s="303">
        <f t="shared" si="155"/>
        <v>0.32116788321167894</v>
      </c>
      <c r="M317" s="303">
        <f t="shared" si="155"/>
        <v>0.32116788321167894</v>
      </c>
      <c r="N317" s="303">
        <f t="shared" si="155"/>
        <v>0.64233576642335788</v>
      </c>
      <c r="O317" s="303">
        <f t="shared" si="155"/>
        <v>0.64233576642335788</v>
      </c>
      <c r="P317" s="303">
        <f t="shared" si="155"/>
        <v>0.48175182481751833</v>
      </c>
      <c r="Q317" s="303">
        <f t="shared" si="155"/>
        <v>2.4087591240875916</v>
      </c>
      <c r="R317" s="303">
        <f t="shared" si="155"/>
        <v>0.48175182481751833</v>
      </c>
      <c r="S317" s="303">
        <f t="shared" si="155"/>
        <v>0.64233576642335788</v>
      </c>
      <c r="T317" s="303">
        <f t="shared" si="155"/>
        <v>0.64233576642335788</v>
      </c>
      <c r="U317" s="303">
        <f t="shared" si="155"/>
        <v>0.48175182481751833</v>
      </c>
      <c r="V317" s="303">
        <f t="shared" si="155"/>
        <v>0.64233576642335788</v>
      </c>
      <c r="W317" s="303">
        <f>W298</f>
        <v>0.16058394160583947</v>
      </c>
      <c r="X317" s="303">
        <f t="shared" si="155"/>
        <v>0.32116788321167894</v>
      </c>
      <c r="Y317" s="303">
        <f t="shared" si="155"/>
        <v>0.16058394160583947</v>
      </c>
      <c r="Z317" s="303">
        <f t="shared" si="155"/>
        <v>0.16058394160583947</v>
      </c>
      <c r="AA317" s="303">
        <f t="shared" si="155"/>
        <v>0.16058394160583947</v>
      </c>
      <c r="AB317" s="303">
        <f t="shared" si="155"/>
        <v>0.32116788321167894</v>
      </c>
      <c r="AC317" s="303">
        <f t="shared" si="155"/>
        <v>0.16058394160583947</v>
      </c>
      <c r="AD317" s="5"/>
    </row>
    <row r="318" spans="1:30">
      <c r="B318" t="s">
        <v>339</v>
      </c>
      <c r="C318" s="304">
        <f>C280</f>
        <v>7485.229753311015</v>
      </c>
      <c r="D318" s="257">
        <f t="shared" ref="D318:AC318" si="156">D280</f>
        <v>110.06160990359193</v>
      </c>
      <c r="E318" s="257">
        <f t="shared" si="156"/>
        <v>1583.5140131875958</v>
      </c>
      <c r="F318" s="257">
        <f t="shared" si="156"/>
        <v>378.66187150196095</v>
      </c>
      <c r="G318" s="257">
        <f t="shared" si="156"/>
        <v>172.06228996270426</v>
      </c>
      <c r="H318" s="257">
        <f t="shared" si="156"/>
        <v>140.02167006638444</v>
      </c>
      <c r="I318" s="257">
        <f t="shared" si="156"/>
        <v>70.739030939926764</v>
      </c>
      <c r="J318" s="257">
        <f t="shared" si="156"/>
        <v>187.66648796415862</v>
      </c>
      <c r="K318" s="257">
        <f t="shared" si="156"/>
        <v>335.38622904459396</v>
      </c>
      <c r="L318" s="257">
        <f t="shared" si="156"/>
        <v>137.10888643944631</v>
      </c>
      <c r="M318" s="257">
        <f t="shared" si="156"/>
        <v>163.3239390818897</v>
      </c>
      <c r="N318" s="257">
        <f t="shared" si="156"/>
        <v>288.15752309352519</v>
      </c>
      <c r="O318" s="257">
        <f t="shared" si="156"/>
        <v>241.55298506251461</v>
      </c>
      <c r="P318" s="257">
        <f t="shared" si="156"/>
        <v>222.82794746076934</v>
      </c>
      <c r="Q318" s="257">
        <f t="shared" si="156"/>
        <v>894.22457347001534</v>
      </c>
      <c r="R318" s="257">
        <f t="shared" si="156"/>
        <v>265.89553394478355</v>
      </c>
      <c r="S318" s="257">
        <f t="shared" si="156"/>
        <v>328.72843789730672</v>
      </c>
      <c r="T318" s="257">
        <f t="shared" si="156"/>
        <v>314.78868768267404</v>
      </c>
      <c r="U318" s="257">
        <f t="shared" si="156"/>
        <v>204.72707777908218</v>
      </c>
      <c r="V318" s="257">
        <f t="shared" si="156"/>
        <v>430.67586484014231</v>
      </c>
      <c r="W318" s="257">
        <f t="shared" si="156"/>
        <v>59.295952405526855</v>
      </c>
      <c r="X318" s="257">
        <f t="shared" si="156"/>
        <v>236.35158572869651</v>
      </c>
      <c r="Y318" s="257">
        <f t="shared" si="156"/>
        <v>137.52499838615176</v>
      </c>
      <c r="Z318" s="257">
        <f t="shared" si="156"/>
        <v>109.22938601018103</v>
      </c>
      <c r="AA318" s="257">
        <f t="shared" si="156"/>
        <v>127.5383116652209</v>
      </c>
      <c r="AB318" s="257">
        <f t="shared" si="156"/>
        <v>242.80132090263095</v>
      </c>
      <c r="AC318" s="257">
        <f t="shared" si="156"/>
        <v>102.36353888954106</v>
      </c>
      <c r="AD318" s="5"/>
    </row>
    <row r="319" spans="1:30">
      <c r="A319" t="s">
        <v>298</v>
      </c>
      <c r="B319" t="s">
        <v>336</v>
      </c>
      <c r="C319" s="304">
        <f>C289</f>
        <v>238.72184365296803</v>
      </c>
      <c r="D319" s="30">
        <f t="shared" ref="D319:AC319" si="157">D289</f>
        <v>1.4209633550771903</v>
      </c>
      <c r="E319" s="30">
        <f t="shared" si="157"/>
        <v>122.2028485366384</v>
      </c>
      <c r="F319" s="30">
        <f t="shared" si="157"/>
        <v>9.9467434855403329</v>
      </c>
      <c r="G319" s="30">
        <f t="shared" si="157"/>
        <v>2.5577340391389427</v>
      </c>
      <c r="H319" s="30">
        <f t="shared" si="157"/>
        <v>2.5577340391389427</v>
      </c>
      <c r="I319" s="30">
        <f t="shared" si="157"/>
        <v>1.1367706840617522</v>
      </c>
      <c r="J319" s="30">
        <f t="shared" si="157"/>
        <v>7.1048167753859506</v>
      </c>
      <c r="K319" s="30">
        <f t="shared" si="157"/>
        <v>11.936092182648398</v>
      </c>
      <c r="L319" s="30">
        <f t="shared" si="157"/>
        <v>1.7051560260926284</v>
      </c>
      <c r="M319" s="30">
        <f t="shared" si="157"/>
        <v>3.4103120521852568</v>
      </c>
      <c r="N319" s="30">
        <f t="shared" si="157"/>
        <v>3.1261193811698189</v>
      </c>
      <c r="O319" s="30">
        <f t="shared" si="157"/>
        <v>3.978697394216133</v>
      </c>
      <c r="P319" s="30">
        <f t="shared" si="157"/>
        <v>3.978697394216133</v>
      </c>
      <c r="Q319" s="30">
        <f t="shared" si="157"/>
        <v>19.893486971080666</v>
      </c>
      <c r="R319" s="30">
        <f t="shared" si="157"/>
        <v>5.1154680782778854</v>
      </c>
      <c r="S319" s="30">
        <f t="shared" si="157"/>
        <v>7.6732021174168281</v>
      </c>
      <c r="T319" s="30">
        <f t="shared" si="157"/>
        <v>2.8419267101543806</v>
      </c>
      <c r="U319" s="30">
        <f t="shared" si="157"/>
        <v>3.1261193811698189</v>
      </c>
      <c r="V319" s="30">
        <f t="shared" si="157"/>
        <v>10.799321498586647</v>
      </c>
      <c r="W319" s="30">
        <f t="shared" si="157"/>
        <v>0.8525780130463142</v>
      </c>
      <c r="X319" s="30">
        <f t="shared" si="157"/>
        <v>3.1261193811698189</v>
      </c>
      <c r="Y319" s="30">
        <f t="shared" si="157"/>
        <v>1.4209633550771903</v>
      </c>
      <c r="Z319" s="30">
        <f t="shared" si="157"/>
        <v>1.7051560260926284</v>
      </c>
      <c r="AA319" s="30">
        <f t="shared" si="157"/>
        <v>1.9893486971080667</v>
      </c>
      <c r="AB319" s="30">
        <f t="shared" si="157"/>
        <v>4.2628900652315709</v>
      </c>
      <c r="AC319" s="30">
        <f t="shared" si="157"/>
        <v>0.8525780130463142</v>
      </c>
      <c r="AD319" s="5"/>
    </row>
    <row r="320" spans="1:30">
      <c r="B320" t="s">
        <v>558</v>
      </c>
      <c r="C320" s="304">
        <f>C306</f>
        <v>1204.4243616479548</v>
      </c>
      <c r="D320" s="30">
        <f t="shared" ref="D320:AC320" si="158">D306</f>
        <v>13.374233128834355</v>
      </c>
      <c r="E320" s="30">
        <f t="shared" si="158"/>
        <v>434.66257668711654</v>
      </c>
      <c r="F320" s="30">
        <f t="shared" si="158"/>
        <v>56.840490797546011</v>
      </c>
      <c r="G320" s="30">
        <f t="shared" si="158"/>
        <v>36.779141104294474</v>
      </c>
      <c r="H320" s="30">
        <f t="shared" si="158"/>
        <v>16.717791411042942</v>
      </c>
      <c r="I320" s="30">
        <f t="shared" si="158"/>
        <v>10.030674846625766</v>
      </c>
      <c r="J320" s="30">
        <f t="shared" si="158"/>
        <v>26.74846625766871</v>
      </c>
      <c r="K320" s="30">
        <f t="shared" si="158"/>
        <v>36.779141104294474</v>
      </c>
      <c r="L320" s="30">
        <f t="shared" si="158"/>
        <v>23.404907975460123</v>
      </c>
      <c r="M320" s="30">
        <f t="shared" si="158"/>
        <v>16.717791411042942</v>
      </c>
      <c r="N320" s="30">
        <f t="shared" si="158"/>
        <v>33.435582822085884</v>
      </c>
      <c r="O320" s="30">
        <f t="shared" si="158"/>
        <v>30.092024539877297</v>
      </c>
      <c r="P320" s="30">
        <f t="shared" si="158"/>
        <v>23.404907975460123</v>
      </c>
      <c r="Q320" s="30">
        <f t="shared" si="158"/>
        <v>96.963190184049083</v>
      </c>
      <c r="R320" s="30">
        <f t="shared" si="158"/>
        <v>60.184049079754594</v>
      </c>
      <c r="S320" s="30">
        <f t="shared" si="158"/>
        <v>36.779141104294474</v>
      </c>
      <c r="T320" s="30">
        <f t="shared" si="158"/>
        <v>43.466257668711656</v>
      </c>
      <c r="U320" s="30">
        <f t="shared" si="158"/>
        <v>20.061349693251532</v>
      </c>
      <c r="V320" s="30">
        <f t="shared" si="158"/>
        <v>70.214723926380373</v>
      </c>
      <c r="W320" s="30">
        <f t="shared" si="158"/>
        <v>6.6871165644171775</v>
      </c>
      <c r="X320" s="30">
        <f t="shared" si="158"/>
        <v>43.466257668711656</v>
      </c>
      <c r="Y320" s="30">
        <f t="shared" si="158"/>
        <v>13.374233128834355</v>
      </c>
      <c r="Z320" s="30">
        <f t="shared" si="158"/>
        <v>13.374233128834355</v>
      </c>
      <c r="AA320" s="30">
        <f t="shared" si="158"/>
        <v>5.5902179975267119</v>
      </c>
      <c r="AB320" s="30">
        <f t="shared" si="158"/>
        <v>1.8402786197531826</v>
      </c>
      <c r="AC320" s="30">
        <f t="shared" si="158"/>
        <v>33.435582822085884</v>
      </c>
      <c r="AD320" s="5"/>
    </row>
    <row r="321" spans="1:31">
      <c r="B321" t="s">
        <v>545</v>
      </c>
      <c r="C321" s="30">
        <f>$B$128*C108</f>
        <v>112.040329</v>
      </c>
      <c r="D321" s="9">
        <v>0</v>
      </c>
      <c r="E321" s="9">
        <f>C321</f>
        <v>112.040329</v>
      </c>
      <c r="F321" s="9">
        <v>0</v>
      </c>
      <c r="G321" s="9">
        <v>0</v>
      </c>
      <c r="H321" s="9">
        <v>0</v>
      </c>
      <c r="I321" s="9">
        <v>0</v>
      </c>
      <c r="J321" s="9">
        <v>0</v>
      </c>
      <c r="K321" s="9">
        <v>0</v>
      </c>
      <c r="L321" s="9">
        <v>0</v>
      </c>
      <c r="M321" s="9">
        <v>0</v>
      </c>
      <c r="N321" s="9">
        <v>0</v>
      </c>
      <c r="O321" s="9">
        <v>0</v>
      </c>
      <c r="P321" s="9">
        <v>0</v>
      </c>
      <c r="Q321" s="9">
        <v>0</v>
      </c>
      <c r="R321" s="9">
        <v>0</v>
      </c>
      <c r="S321" s="9">
        <v>0</v>
      </c>
      <c r="T321" s="9">
        <v>0</v>
      </c>
      <c r="U321" s="9">
        <v>0</v>
      </c>
      <c r="V321" s="9">
        <v>0</v>
      </c>
      <c r="W321" s="9">
        <v>0</v>
      </c>
      <c r="X321" s="9">
        <v>0</v>
      </c>
      <c r="Y321" s="9">
        <v>0</v>
      </c>
      <c r="Z321" s="9">
        <v>0</v>
      </c>
      <c r="AA321" s="9">
        <v>0</v>
      </c>
      <c r="AB321" s="9">
        <v>0</v>
      </c>
      <c r="AC321" s="9">
        <v>0</v>
      </c>
      <c r="AD321" s="5"/>
    </row>
    <row r="322" spans="1:31">
      <c r="B322" t="s">
        <v>338</v>
      </c>
      <c r="C322" s="33" t="s">
        <v>17</v>
      </c>
      <c r="D322" s="33" t="s">
        <v>17</v>
      </c>
      <c r="E322" s="33" t="s">
        <v>17</v>
      </c>
      <c r="F322" s="33" t="s">
        <v>17</v>
      </c>
      <c r="G322" s="33" t="s">
        <v>17</v>
      </c>
      <c r="H322" s="33" t="s">
        <v>17</v>
      </c>
      <c r="I322" s="33" t="s">
        <v>17</v>
      </c>
      <c r="J322" s="33" t="s">
        <v>17</v>
      </c>
      <c r="K322" s="33" t="s">
        <v>17</v>
      </c>
      <c r="L322" s="33" t="s">
        <v>17</v>
      </c>
      <c r="M322" s="33" t="s">
        <v>17</v>
      </c>
      <c r="N322" s="33" t="s">
        <v>17</v>
      </c>
      <c r="O322" s="33" t="s">
        <v>17</v>
      </c>
      <c r="P322" s="33" t="s">
        <v>17</v>
      </c>
      <c r="Q322" s="33" t="s">
        <v>17</v>
      </c>
      <c r="R322" s="33" t="s">
        <v>17</v>
      </c>
      <c r="S322" s="33" t="s">
        <v>17</v>
      </c>
      <c r="T322" s="33" t="s">
        <v>17</v>
      </c>
      <c r="U322" s="33" t="s">
        <v>17</v>
      </c>
      <c r="V322" s="33" t="s">
        <v>17</v>
      </c>
      <c r="W322" s="33" t="s">
        <v>17</v>
      </c>
      <c r="X322" s="33" t="s">
        <v>17</v>
      </c>
      <c r="Y322" s="33" t="s">
        <v>17</v>
      </c>
      <c r="Z322" s="33" t="s">
        <v>17</v>
      </c>
      <c r="AA322" s="33" t="s">
        <v>17</v>
      </c>
      <c r="AB322" s="33" t="s">
        <v>17</v>
      </c>
      <c r="AC322" s="33" t="s">
        <v>17</v>
      </c>
    </row>
    <row r="323" spans="1:31">
      <c r="A323" s="79"/>
      <c r="B323" s="107" t="s">
        <v>16</v>
      </c>
      <c r="C323" s="99">
        <f>SUM(C315:C322)</f>
        <v>14556.561092397196</v>
      </c>
      <c r="D323" s="99">
        <f>SUM(D315:D322)</f>
        <v>190.75815329593269</v>
      </c>
      <c r="E323" s="99">
        <f t="shared" ref="E323:AC323" si="159">SUM(E315:E322)</f>
        <v>3813.7077787050948</v>
      </c>
      <c r="F323" s="99">
        <f t="shared" si="159"/>
        <v>703.34338163959455</v>
      </c>
      <c r="G323" s="99">
        <f t="shared" si="159"/>
        <v>326.30593319176307</v>
      </c>
      <c r="H323" s="99">
        <f t="shared" si="159"/>
        <v>257.25946218495216</v>
      </c>
      <c r="I323" s="99">
        <f t="shared" si="159"/>
        <v>129.26410609378712</v>
      </c>
      <c r="J323" s="99">
        <f t="shared" si="159"/>
        <v>370.66642356770211</v>
      </c>
      <c r="K323" s="99">
        <f t="shared" si="159"/>
        <v>610.12642539130309</v>
      </c>
      <c r="L323" s="99">
        <f t="shared" si="159"/>
        <v>252.56357827040125</v>
      </c>
      <c r="M323" s="99">
        <f t="shared" si="159"/>
        <v>286.27808516599748</v>
      </c>
      <c r="N323" s="99">
        <f t="shared" si="159"/>
        <v>498.24919039150342</v>
      </c>
      <c r="O323" s="99">
        <f t="shared" si="159"/>
        <v>440.72764898712006</v>
      </c>
      <c r="P323" s="99">
        <f t="shared" si="159"/>
        <v>387.89417997018353</v>
      </c>
      <c r="Q323" s="99">
        <f t="shared" si="159"/>
        <v>1640.3528726430968</v>
      </c>
      <c r="R323" s="99">
        <f t="shared" si="159"/>
        <v>502.23766282260613</v>
      </c>
      <c r="S323" s="99">
        <f t="shared" si="159"/>
        <v>598.87772521592171</v>
      </c>
      <c r="T323" s="99">
        <f t="shared" si="159"/>
        <v>545.97893159747036</v>
      </c>
      <c r="U323" s="99">
        <f t="shared" si="159"/>
        <v>362.54754715779956</v>
      </c>
      <c r="V323" s="99">
        <f t="shared" si="159"/>
        <v>810.31808544860041</v>
      </c>
      <c r="W323" s="99">
        <f t="shared" si="159"/>
        <v>103.99821589805379</v>
      </c>
      <c r="X323" s="99">
        <f t="shared" si="159"/>
        <v>433.96473286285794</v>
      </c>
      <c r="Y323" s="99">
        <f t="shared" si="159"/>
        <v>227.01130303232972</v>
      </c>
      <c r="Z323" s="99">
        <f t="shared" si="159"/>
        <v>200.14421509334298</v>
      </c>
      <c r="AA323" s="99">
        <f t="shared" si="159"/>
        <v>223.24073939976716</v>
      </c>
      <c r="AB323" s="99">
        <f t="shared" si="159"/>
        <v>433.04852577361913</v>
      </c>
      <c r="AC323" s="99">
        <f t="shared" si="159"/>
        <v>207.69618859639607</v>
      </c>
      <c r="AD323" s="5"/>
    </row>
    <row r="327" spans="1:31" ht="15.5">
      <c r="A327" s="101" t="s">
        <v>432</v>
      </c>
      <c r="B327" s="101"/>
      <c r="C327" s="101"/>
    </row>
    <row r="328" spans="1:31">
      <c r="A328" s="82" t="s">
        <v>330</v>
      </c>
      <c r="B328" s="82" t="s">
        <v>331</v>
      </c>
      <c r="C328" s="80" t="str">
        <f>Regions!C3</f>
        <v>IE</v>
      </c>
      <c r="D328" s="80" t="str">
        <f>Regions!E3</f>
        <v>IE-CW</v>
      </c>
      <c r="E328" s="80" t="str">
        <f>Regions!F3</f>
        <v>IE-D</v>
      </c>
      <c r="F328" s="80" t="str">
        <f>Regions!G3</f>
        <v>IE-KE</v>
      </c>
      <c r="G328" s="80" t="str">
        <f>Regions!H3</f>
        <v>IE-KK</v>
      </c>
      <c r="H328" s="80" t="str">
        <f>Regions!I3</f>
        <v>IE-LS</v>
      </c>
      <c r="I328" s="80" t="str">
        <f>Regions!J3</f>
        <v>IE-LD</v>
      </c>
      <c r="J328" s="80" t="str">
        <f>Regions!K3</f>
        <v>IE-LH</v>
      </c>
      <c r="K328" s="80" t="str">
        <f>Regions!L3</f>
        <v>IE-MH</v>
      </c>
      <c r="L328" s="80" t="str">
        <f>Regions!M3</f>
        <v>IE-OY</v>
      </c>
      <c r="M328" s="80" t="str">
        <f>Regions!N3</f>
        <v>IE-WH</v>
      </c>
      <c r="N328" s="80" t="str">
        <f>Regions!O3</f>
        <v>IE-WX</v>
      </c>
      <c r="O328" s="80" t="str">
        <f>Regions!P3</f>
        <v>IE-WW</v>
      </c>
      <c r="P328" s="80" t="str">
        <f>Regions!Q3</f>
        <v>IE-CE</v>
      </c>
      <c r="Q328" s="80" t="str">
        <f>Regions!R3</f>
        <v>IE-CO</v>
      </c>
      <c r="R328" s="80" t="str">
        <f>Regions!S3</f>
        <v>IE-KY</v>
      </c>
      <c r="S328" s="80" t="str">
        <f>Regions!T3</f>
        <v>IE-LK</v>
      </c>
      <c r="T328" s="80" t="str">
        <f>Regions!U3</f>
        <v>IE-TA</v>
      </c>
      <c r="U328" s="80" t="str">
        <f>Regions!V3</f>
        <v>IE-WD</v>
      </c>
      <c r="V328" s="80" t="str">
        <f>Regions!W3</f>
        <v>IE-G</v>
      </c>
      <c r="W328" s="80" t="str">
        <f>Regions!X3</f>
        <v>IE-LM</v>
      </c>
      <c r="X328" s="80" t="str">
        <f>Regions!Y3</f>
        <v>IE-MO</v>
      </c>
      <c r="Y328" s="80" t="str">
        <f>Regions!Z3</f>
        <v>IE-RN</v>
      </c>
      <c r="Z328" s="80" t="str">
        <f>Regions!AA3</f>
        <v>IE-SO</v>
      </c>
      <c r="AA328" s="80" t="str">
        <f>Regions!AB3</f>
        <v>IE-CN</v>
      </c>
      <c r="AB328" s="80" t="str">
        <f>Regions!AC3</f>
        <v>IE-DL</v>
      </c>
      <c r="AC328" s="80" t="str">
        <f>Regions!AD3</f>
        <v>IE-MN</v>
      </c>
    </row>
    <row r="329" spans="1:31">
      <c r="A329" t="s">
        <v>337</v>
      </c>
      <c r="B329" t="s">
        <v>332</v>
      </c>
      <c r="C329" s="30">
        <v>0</v>
      </c>
      <c r="D329" s="30">
        <v>0</v>
      </c>
      <c r="E329" s="30">
        <v>0</v>
      </c>
      <c r="F329" s="30">
        <v>0</v>
      </c>
      <c r="G329" s="30">
        <v>0</v>
      </c>
      <c r="H329" s="30">
        <v>0</v>
      </c>
      <c r="I329" s="30">
        <v>0</v>
      </c>
      <c r="J329" s="30">
        <v>0</v>
      </c>
      <c r="K329" s="30">
        <v>0</v>
      </c>
      <c r="L329" s="30">
        <v>0</v>
      </c>
      <c r="M329" s="30">
        <v>0</v>
      </c>
      <c r="N329" s="30">
        <v>0</v>
      </c>
      <c r="O329" s="30">
        <v>0</v>
      </c>
      <c r="P329" s="30">
        <v>0</v>
      </c>
      <c r="Q329" s="30">
        <v>0</v>
      </c>
      <c r="R329" s="30">
        <v>0</v>
      </c>
      <c r="S329" s="30">
        <v>0</v>
      </c>
      <c r="T329" s="30">
        <v>0</v>
      </c>
      <c r="U329" s="30">
        <v>0</v>
      </c>
      <c r="V329" s="30">
        <v>0</v>
      </c>
      <c r="W329" s="30">
        <v>0</v>
      </c>
      <c r="X329" s="30">
        <v>0</v>
      </c>
      <c r="Y329" s="30">
        <v>0</v>
      </c>
      <c r="Z329" s="30">
        <v>0</v>
      </c>
      <c r="AA329" s="30">
        <v>0</v>
      </c>
      <c r="AB329" s="30">
        <v>0</v>
      </c>
      <c r="AC329" s="30">
        <v>0</v>
      </c>
      <c r="AD329" s="5"/>
    </row>
    <row r="330" spans="1:31">
      <c r="B330" t="s">
        <v>333</v>
      </c>
      <c r="C330" s="30">
        <v>0</v>
      </c>
      <c r="D330" s="30">
        <v>0</v>
      </c>
      <c r="E330" s="30">
        <v>0</v>
      </c>
      <c r="F330" s="30">
        <v>0</v>
      </c>
      <c r="G330" s="30">
        <v>0</v>
      </c>
      <c r="H330" s="30">
        <v>0</v>
      </c>
      <c r="I330" s="30">
        <v>0</v>
      </c>
      <c r="J330" s="30">
        <v>0</v>
      </c>
      <c r="K330" s="30">
        <v>0</v>
      </c>
      <c r="L330" s="30">
        <v>0</v>
      </c>
      <c r="M330" s="30">
        <v>0</v>
      </c>
      <c r="N330" s="30">
        <v>0</v>
      </c>
      <c r="O330" s="30">
        <v>0</v>
      </c>
      <c r="P330" s="30">
        <v>0</v>
      </c>
      <c r="Q330" s="30">
        <v>0</v>
      </c>
      <c r="R330" s="30">
        <v>0</v>
      </c>
      <c r="S330" s="30">
        <v>0</v>
      </c>
      <c r="T330" s="30">
        <v>0</v>
      </c>
      <c r="U330" s="30">
        <v>0</v>
      </c>
      <c r="V330" s="30">
        <v>0</v>
      </c>
      <c r="W330" s="30">
        <v>0</v>
      </c>
      <c r="X330" s="30">
        <v>0</v>
      </c>
      <c r="Y330" s="30">
        <v>0</v>
      </c>
      <c r="Z330" s="30">
        <v>0</v>
      </c>
      <c r="AA330" s="30">
        <v>0</v>
      </c>
      <c r="AB330" s="30">
        <v>0</v>
      </c>
      <c r="AC330" s="30">
        <v>0</v>
      </c>
      <c r="AD330" s="5"/>
    </row>
    <row r="331" spans="1:31">
      <c r="A331" t="s">
        <v>334</v>
      </c>
      <c r="B331" t="s">
        <v>340</v>
      </c>
      <c r="C331" s="304">
        <f>C299</f>
        <v>102.39635036496351</v>
      </c>
      <c r="D331" s="30">
        <f t="shared" ref="D331:AC331" si="160">D299</f>
        <v>0.93941605839416076</v>
      </c>
      <c r="E331" s="30">
        <f t="shared" si="160"/>
        <v>31.940145985401465</v>
      </c>
      <c r="F331" s="30">
        <f t="shared" si="160"/>
        <v>5.6364963503649639</v>
      </c>
      <c r="G331" s="30">
        <f t="shared" si="160"/>
        <v>1.8788321167883215</v>
      </c>
      <c r="H331" s="30">
        <f t="shared" si="160"/>
        <v>0.93941605839416076</v>
      </c>
      <c r="I331" s="30">
        <f t="shared" si="160"/>
        <v>0.93941605839416076</v>
      </c>
      <c r="J331" s="30">
        <f t="shared" si="160"/>
        <v>1.8788321167883215</v>
      </c>
      <c r="K331" s="30">
        <f t="shared" si="160"/>
        <v>4.6970802919708028</v>
      </c>
      <c r="L331" s="30">
        <f t="shared" si="160"/>
        <v>1.8788321167883215</v>
      </c>
      <c r="M331" s="30">
        <f t="shared" si="160"/>
        <v>1.8788321167883215</v>
      </c>
      <c r="N331" s="30">
        <f t="shared" si="160"/>
        <v>3.757664233576643</v>
      </c>
      <c r="O331" s="30">
        <f t="shared" si="160"/>
        <v>3.757664233576643</v>
      </c>
      <c r="P331" s="30">
        <f t="shared" si="160"/>
        <v>2.8182481751824819</v>
      </c>
      <c r="Q331" s="30">
        <f t="shared" si="160"/>
        <v>14.091240875912408</v>
      </c>
      <c r="R331" s="30">
        <f t="shared" si="160"/>
        <v>2.8182481751824819</v>
      </c>
      <c r="S331" s="30">
        <f t="shared" si="160"/>
        <v>3.757664233576643</v>
      </c>
      <c r="T331" s="30">
        <f t="shared" si="160"/>
        <v>3.757664233576643</v>
      </c>
      <c r="U331" s="30">
        <f t="shared" si="160"/>
        <v>2.8182481751824819</v>
      </c>
      <c r="V331" s="30">
        <f t="shared" si="160"/>
        <v>3.757664233576643</v>
      </c>
      <c r="W331" s="30">
        <f t="shared" si="160"/>
        <v>0.93941605839416076</v>
      </c>
      <c r="X331" s="30">
        <f t="shared" si="160"/>
        <v>1.8788321167883215</v>
      </c>
      <c r="Y331" s="30">
        <f t="shared" si="160"/>
        <v>0.93941605839416076</v>
      </c>
      <c r="Z331" s="30">
        <f t="shared" si="160"/>
        <v>0.93941605839416076</v>
      </c>
      <c r="AA331" s="30">
        <f t="shared" si="160"/>
        <v>0.93941605839416076</v>
      </c>
      <c r="AB331" s="30">
        <f t="shared" si="160"/>
        <v>1.8788321167883215</v>
      </c>
      <c r="AC331" s="30">
        <f t="shared" si="160"/>
        <v>0.93941605839416076</v>
      </c>
      <c r="AD331" s="5"/>
      <c r="AE331" s="8"/>
    </row>
    <row r="332" spans="1:31">
      <c r="B332" t="s">
        <v>339</v>
      </c>
      <c r="C332" s="304">
        <f>C281</f>
        <v>26086.025690288883</v>
      </c>
      <c r="D332" s="30">
        <f t="shared" ref="D332:AC332" si="161">D281</f>
        <v>383.56471051401786</v>
      </c>
      <c r="E332" s="30">
        <f t="shared" si="161"/>
        <v>5518.5463359587702</v>
      </c>
      <c r="F332" s="30">
        <f t="shared" si="161"/>
        <v>1319.6366221843339</v>
      </c>
      <c r="G332" s="30">
        <f t="shared" si="161"/>
        <v>599.63708052002414</v>
      </c>
      <c r="H332" s="30">
        <f t="shared" si="161"/>
        <v>487.97552018134968</v>
      </c>
      <c r="I332" s="30">
        <f t="shared" si="161"/>
        <v>246.52552282564474</v>
      </c>
      <c r="J332" s="30">
        <f t="shared" si="161"/>
        <v>654.01771055509278</v>
      </c>
      <c r="K332" s="30">
        <f t="shared" si="161"/>
        <v>1168.8210082204098</v>
      </c>
      <c r="L332" s="30">
        <f t="shared" si="161"/>
        <v>477.82446924147024</v>
      </c>
      <c r="M332" s="30">
        <f t="shared" si="161"/>
        <v>569.18392770038554</v>
      </c>
      <c r="N332" s="30">
        <f t="shared" si="161"/>
        <v>1004.2289679809351</v>
      </c>
      <c r="O332" s="30">
        <f t="shared" si="161"/>
        <v>841.81215294286335</v>
      </c>
      <c r="P332" s="30">
        <f t="shared" si="161"/>
        <v>776.55539690078092</v>
      </c>
      <c r="Q332" s="30">
        <f t="shared" si="161"/>
        <v>3116.3726385430027</v>
      </c>
      <c r="R332" s="30">
        <f t="shared" si="161"/>
        <v>926.64593579757059</v>
      </c>
      <c r="S332" s="30">
        <f t="shared" si="161"/>
        <v>1145.6186060721138</v>
      </c>
      <c r="T332" s="30">
        <f t="shared" si="161"/>
        <v>1097.0385765741189</v>
      </c>
      <c r="U332" s="30">
        <f t="shared" si="161"/>
        <v>713.47386606010127</v>
      </c>
      <c r="V332" s="30">
        <f t="shared" si="161"/>
        <v>1500.9053889678955</v>
      </c>
      <c r="W332" s="30">
        <f t="shared" si="161"/>
        <v>206.64639413326103</v>
      </c>
      <c r="X332" s="30">
        <f t="shared" si="161"/>
        <v>823.68527626450714</v>
      </c>
      <c r="Y332" s="30">
        <f t="shared" si="161"/>
        <v>479.27461937573872</v>
      </c>
      <c r="Z332" s="30">
        <f t="shared" si="161"/>
        <v>380.66441024548084</v>
      </c>
      <c r="AA332" s="30">
        <f t="shared" si="161"/>
        <v>444.47101615329478</v>
      </c>
      <c r="AB332" s="30">
        <f t="shared" si="161"/>
        <v>846.1626033456688</v>
      </c>
      <c r="AC332" s="30">
        <f t="shared" si="161"/>
        <v>356.73693303005058</v>
      </c>
      <c r="AD332" s="5"/>
    </row>
    <row r="333" spans="1:31">
      <c r="A333" t="s">
        <v>298</v>
      </c>
      <c r="B333" t="s">
        <v>336</v>
      </c>
      <c r="C333" s="304">
        <f>C290</f>
        <v>685.13169128401819</v>
      </c>
      <c r="D333" s="30">
        <f t="shared" ref="D333:AC333" si="162">D290</f>
        <v>4.078164829071536</v>
      </c>
      <c r="E333" s="30">
        <f t="shared" si="162"/>
        <v>350.72217530015217</v>
      </c>
      <c r="F333" s="30">
        <f t="shared" si="162"/>
        <v>28.547153803500748</v>
      </c>
      <c r="G333" s="30">
        <f t="shared" si="162"/>
        <v>7.3406966923287635</v>
      </c>
      <c r="H333" s="30">
        <f t="shared" si="162"/>
        <v>7.3406966923287635</v>
      </c>
      <c r="I333" s="30">
        <f t="shared" si="162"/>
        <v>3.2625318632572289</v>
      </c>
      <c r="J333" s="30">
        <f t="shared" si="162"/>
        <v>20.39082414535768</v>
      </c>
      <c r="K333" s="30">
        <f t="shared" si="162"/>
        <v>34.256584564200899</v>
      </c>
      <c r="L333" s="30">
        <f t="shared" si="162"/>
        <v>4.8937977948858435</v>
      </c>
      <c r="M333" s="30">
        <f t="shared" si="162"/>
        <v>9.7875955897716871</v>
      </c>
      <c r="N333" s="30">
        <f t="shared" si="162"/>
        <v>8.9719626239573795</v>
      </c>
      <c r="O333" s="30">
        <f t="shared" si="162"/>
        <v>11.4188615214003</v>
      </c>
      <c r="P333" s="30">
        <f t="shared" si="162"/>
        <v>11.4188615214003</v>
      </c>
      <c r="Q333" s="30">
        <f t="shared" si="162"/>
        <v>57.094307607001497</v>
      </c>
      <c r="R333" s="30">
        <f t="shared" si="162"/>
        <v>14.681393384657527</v>
      </c>
      <c r="S333" s="30">
        <f t="shared" si="162"/>
        <v>22.022090076986295</v>
      </c>
      <c r="T333" s="30">
        <f t="shared" si="162"/>
        <v>8.156329658143072</v>
      </c>
      <c r="U333" s="30">
        <f t="shared" si="162"/>
        <v>8.9719626239573795</v>
      </c>
      <c r="V333" s="30">
        <f t="shared" si="162"/>
        <v>30.994052700943669</v>
      </c>
      <c r="W333" s="30">
        <f t="shared" si="162"/>
        <v>2.4468988974429218</v>
      </c>
      <c r="X333" s="30">
        <f t="shared" si="162"/>
        <v>8.9719626239573795</v>
      </c>
      <c r="Y333" s="30">
        <f t="shared" si="162"/>
        <v>4.078164829071536</v>
      </c>
      <c r="Z333" s="30">
        <f t="shared" si="162"/>
        <v>4.8937977948858435</v>
      </c>
      <c r="AA333" s="30">
        <f t="shared" si="162"/>
        <v>5.7094307607001511</v>
      </c>
      <c r="AB333" s="30">
        <f t="shared" si="162"/>
        <v>12.234494487214608</v>
      </c>
      <c r="AC333" s="30">
        <f t="shared" si="162"/>
        <v>2.4468988974429218</v>
      </c>
      <c r="AD333" s="5"/>
    </row>
    <row r="334" spans="1:31">
      <c r="B334" t="s">
        <v>558</v>
      </c>
      <c r="C334" s="304">
        <f>C307</f>
        <v>4197.418900343122</v>
      </c>
      <c r="D334" s="30">
        <f t="shared" ref="D334:AC334" si="163">D307</f>
        <v>46.609202453987727</v>
      </c>
      <c r="E334" s="30">
        <f t="shared" si="163"/>
        <v>1514.7990797546011</v>
      </c>
      <c r="F334" s="30">
        <f t="shared" si="163"/>
        <v>198.08911042944783</v>
      </c>
      <c r="G334" s="30">
        <f t="shared" si="163"/>
        <v>128.17530674846623</v>
      </c>
      <c r="H334" s="30">
        <f t="shared" si="163"/>
        <v>58.261503067484654</v>
      </c>
      <c r="I334" s="30">
        <f t="shared" si="163"/>
        <v>34.956901840490794</v>
      </c>
      <c r="J334" s="30">
        <f t="shared" si="163"/>
        <v>93.218404907975454</v>
      </c>
      <c r="K334" s="30">
        <f t="shared" si="163"/>
        <v>128.17530674846623</v>
      </c>
      <c r="L334" s="30">
        <f t="shared" si="163"/>
        <v>81.566104294478521</v>
      </c>
      <c r="M334" s="30">
        <f t="shared" si="163"/>
        <v>58.261503067484654</v>
      </c>
      <c r="N334" s="30">
        <f t="shared" si="163"/>
        <v>116.52300613496931</v>
      </c>
      <c r="O334" s="30">
        <f t="shared" si="163"/>
        <v>104.87070552147237</v>
      </c>
      <c r="P334" s="30">
        <f t="shared" si="163"/>
        <v>81.566104294478521</v>
      </c>
      <c r="Q334" s="30">
        <f t="shared" si="163"/>
        <v>337.91671779141097</v>
      </c>
      <c r="R334" s="30">
        <f t="shared" si="163"/>
        <v>209.74141104294475</v>
      </c>
      <c r="S334" s="30">
        <f t="shared" si="163"/>
        <v>128.17530674846623</v>
      </c>
      <c r="T334" s="30">
        <f t="shared" si="163"/>
        <v>151.47990797546012</v>
      </c>
      <c r="U334" s="30">
        <f t="shared" si="163"/>
        <v>69.913803680981587</v>
      </c>
      <c r="V334" s="30">
        <f t="shared" si="163"/>
        <v>244.69831288343556</v>
      </c>
      <c r="W334" s="30">
        <f t="shared" si="163"/>
        <v>23.304601226993864</v>
      </c>
      <c r="X334" s="30">
        <f t="shared" si="163"/>
        <v>151.47990797546012</v>
      </c>
      <c r="Y334" s="30">
        <f t="shared" si="163"/>
        <v>46.609202453987727</v>
      </c>
      <c r="Z334" s="30">
        <f t="shared" si="163"/>
        <v>46.609202453987727</v>
      </c>
      <c r="AA334" s="30">
        <f t="shared" si="163"/>
        <v>19.481909721380589</v>
      </c>
      <c r="AB334" s="30">
        <f t="shared" si="163"/>
        <v>6.4133709898398408</v>
      </c>
      <c r="AC334" s="30">
        <f t="shared" si="163"/>
        <v>116.52300613496931</v>
      </c>
      <c r="AD334" s="5"/>
    </row>
    <row r="335" spans="1:31">
      <c r="B335" t="s">
        <v>545</v>
      </c>
      <c r="C335" s="304">
        <f>C108*C128</f>
        <v>205.14590800000002</v>
      </c>
      <c r="D335" s="9">
        <v>0</v>
      </c>
      <c r="E335" s="9">
        <f>C335</f>
        <v>205.14590800000002</v>
      </c>
      <c r="F335" s="9">
        <v>0</v>
      </c>
      <c r="G335" s="9">
        <v>0</v>
      </c>
      <c r="H335" s="9">
        <v>0</v>
      </c>
      <c r="I335" s="9">
        <v>0</v>
      </c>
      <c r="J335" s="9">
        <v>0</v>
      </c>
      <c r="K335" s="9">
        <v>0</v>
      </c>
      <c r="L335" s="9">
        <v>0</v>
      </c>
      <c r="M335" s="9">
        <v>0</v>
      </c>
      <c r="N335" s="9">
        <v>0</v>
      </c>
      <c r="O335" s="9">
        <v>0</v>
      </c>
      <c r="P335" s="9">
        <v>0</v>
      </c>
      <c r="Q335" s="9">
        <v>0</v>
      </c>
      <c r="R335" s="9">
        <v>0</v>
      </c>
      <c r="S335" s="9">
        <v>0</v>
      </c>
      <c r="T335" s="9">
        <v>0</v>
      </c>
      <c r="U335" s="9">
        <v>0</v>
      </c>
      <c r="V335" s="9">
        <v>0</v>
      </c>
      <c r="W335" s="9">
        <v>0</v>
      </c>
      <c r="X335" s="9">
        <v>0</v>
      </c>
      <c r="Y335" s="9">
        <v>0</v>
      </c>
      <c r="Z335" s="9">
        <v>0</v>
      </c>
      <c r="AA335" s="9">
        <v>0</v>
      </c>
      <c r="AB335" s="9">
        <v>0</v>
      </c>
      <c r="AC335" s="9">
        <v>0</v>
      </c>
      <c r="AD335" s="5"/>
    </row>
    <row r="336" spans="1:31">
      <c r="B336" t="s">
        <v>338</v>
      </c>
      <c r="C336" s="153">
        <v>0</v>
      </c>
      <c r="D336" s="153">
        <v>0</v>
      </c>
      <c r="E336" s="153">
        <v>0</v>
      </c>
      <c r="F336" s="153">
        <v>0</v>
      </c>
      <c r="G336" s="153">
        <v>0</v>
      </c>
      <c r="H336" s="153">
        <v>0</v>
      </c>
      <c r="I336" s="153">
        <v>0</v>
      </c>
      <c r="J336" s="153">
        <v>0</v>
      </c>
      <c r="K336" s="153">
        <v>0</v>
      </c>
      <c r="L336" s="153">
        <v>0</v>
      </c>
      <c r="M336" s="153">
        <v>0</v>
      </c>
      <c r="N336" s="153">
        <v>0</v>
      </c>
      <c r="O336" s="153">
        <v>0</v>
      </c>
      <c r="P336" s="153">
        <v>0</v>
      </c>
      <c r="Q336" s="153">
        <v>0</v>
      </c>
      <c r="R336" s="153">
        <v>0</v>
      </c>
      <c r="S336" s="153">
        <v>0</v>
      </c>
      <c r="T336" s="153">
        <v>0</v>
      </c>
      <c r="U336" s="153">
        <v>0</v>
      </c>
      <c r="V336" s="153">
        <v>0</v>
      </c>
      <c r="W336" s="153">
        <v>0</v>
      </c>
      <c r="X336" s="153">
        <v>0</v>
      </c>
      <c r="Y336" s="153">
        <v>0</v>
      </c>
      <c r="Z336" s="153">
        <v>0</v>
      </c>
      <c r="AA336" s="153">
        <v>0</v>
      </c>
      <c r="AB336" s="153">
        <v>0</v>
      </c>
      <c r="AC336" s="153">
        <v>0</v>
      </c>
    </row>
    <row r="337" spans="1:30">
      <c r="A337" s="79"/>
      <c r="B337" s="107" t="s">
        <v>16</v>
      </c>
      <c r="C337" s="99">
        <f>SUM(C329:C336)</f>
        <v>31276.118540280986</v>
      </c>
      <c r="D337" s="99">
        <f t="shared" ref="D337:AC337" si="164">SUM(D329:D336)</f>
        <v>435.19149385547126</v>
      </c>
      <c r="E337" s="99">
        <f>SUM(E329:E336)</f>
        <v>7621.1536449989253</v>
      </c>
      <c r="F337" s="99">
        <f t="shared" si="164"/>
        <v>1551.9093827676475</v>
      </c>
      <c r="G337" s="99">
        <f t="shared" si="164"/>
        <v>737.03191607760743</v>
      </c>
      <c r="H337" s="99">
        <f t="shared" si="164"/>
        <v>554.51713599955724</v>
      </c>
      <c r="I337" s="99">
        <f t="shared" si="164"/>
        <v>285.68437258778692</v>
      </c>
      <c r="J337" s="99">
        <f t="shared" si="164"/>
        <v>769.50577172521423</v>
      </c>
      <c r="K337" s="99">
        <f t="shared" si="164"/>
        <v>1335.9499798250479</v>
      </c>
      <c r="L337" s="99">
        <f t="shared" si="164"/>
        <v>566.16320344762289</v>
      </c>
      <c r="M337" s="99">
        <f t="shared" si="164"/>
        <v>639.11185847443028</v>
      </c>
      <c r="N337" s="99">
        <f t="shared" si="164"/>
        <v>1133.4816009734384</v>
      </c>
      <c r="O337" s="99">
        <f t="shared" si="164"/>
        <v>961.85938421931269</v>
      </c>
      <c r="P337" s="99">
        <f t="shared" si="164"/>
        <v>872.35861089184232</v>
      </c>
      <c r="Q337" s="99">
        <f t="shared" si="164"/>
        <v>3525.4749048173276</v>
      </c>
      <c r="R337" s="99">
        <f t="shared" si="164"/>
        <v>1153.8869884003554</v>
      </c>
      <c r="S337" s="99">
        <f t="shared" si="164"/>
        <v>1299.5736671311431</v>
      </c>
      <c r="T337" s="99">
        <f t="shared" si="164"/>
        <v>1260.4324784412986</v>
      </c>
      <c r="U337" s="99">
        <f t="shared" si="164"/>
        <v>795.17788054022265</v>
      </c>
      <c r="V337" s="99">
        <f t="shared" si="164"/>
        <v>1780.3554187858515</v>
      </c>
      <c r="W337" s="99">
        <f t="shared" si="164"/>
        <v>233.33731031609199</v>
      </c>
      <c r="X337" s="99">
        <f t="shared" si="164"/>
        <v>986.01597898071293</v>
      </c>
      <c r="Y337" s="99">
        <f t="shared" si="164"/>
        <v>530.90140271719213</v>
      </c>
      <c r="Z337" s="99">
        <f t="shared" si="164"/>
        <v>433.1068265527486</v>
      </c>
      <c r="AA337" s="99">
        <f t="shared" si="164"/>
        <v>470.6017726937697</v>
      </c>
      <c r="AB337" s="99">
        <f t="shared" si="164"/>
        <v>866.68930093951155</v>
      </c>
      <c r="AC337" s="99">
        <f t="shared" si="164"/>
        <v>476.64625412085695</v>
      </c>
      <c r="AD337" s="5"/>
    </row>
    <row r="341" spans="1:30" ht="15.5">
      <c r="A341" s="101" t="s">
        <v>439</v>
      </c>
      <c r="B341" s="101"/>
      <c r="C341" s="101"/>
    </row>
    <row r="342" spans="1:30">
      <c r="A342" s="82" t="s">
        <v>330</v>
      </c>
      <c r="B342" s="82" t="s">
        <v>331</v>
      </c>
      <c r="C342" s="80" t="str">
        <f>Regions!C3</f>
        <v>IE</v>
      </c>
      <c r="D342" s="80" t="str">
        <f>Regions!E3</f>
        <v>IE-CW</v>
      </c>
      <c r="E342" s="80" t="str">
        <f>Regions!F3</f>
        <v>IE-D</v>
      </c>
      <c r="F342" s="80" t="str">
        <f>Regions!G3</f>
        <v>IE-KE</v>
      </c>
      <c r="G342" s="80" t="str">
        <f>Regions!H3</f>
        <v>IE-KK</v>
      </c>
      <c r="H342" s="80" t="str">
        <f>Regions!I3</f>
        <v>IE-LS</v>
      </c>
      <c r="I342" s="80" t="str">
        <f>Regions!J3</f>
        <v>IE-LD</v>
      </c>
      <c r="J342" s="80" t="str">
        <f>Regions!K3</f>
        <v>IE-LH</v>
      </c>
      <c r="K342" s="80" t="str">
        <f>Regions!L3</f>
        <v>IE-MH</v>
      </c>
      <c r="L342" s="80" t="str">
        <f>Regions!M3</f>
        <v>IE-OY</v>
      </c>
      <c r="M342" s="80" t="str">
        <f>Regions!N3</f>
        <v>IE-WH</v>
      </c>
      <c r="N342" s="80" t="str">
        <f>Regions!O3</f>
        <v>IE-WX</v>
      </c>
      <c r="O342" s="80" t="str">
        <f>Regions!P3</f>
        <v>IE-WW</v>
      </c>
      <c r="P342" s="80" t="str">
        <f>Regions!Q3</f>
        <v>IE-CE</v>
      </c>
      <c r="Q342" s="80" t="str">
        <f>Regions!R3</f>
        <v>IE-CO</v>
      </c>
      <c r="R342" s="80" t="str">
        <f>Regions!S3</f>
        <v>IE-KY</v>
      </c>
      <c r="S342" s="80" t="str">
        <f>Regions!T3</f>
        <v>IE-LK</v>
      </c>
      <c r="T342" s="80" t="str">
        <f>Regions!U3</f>
        <v>IE-TA</v>
      </c>
      <c r="U342" s="80" t="str">
        <f>Regions!V3</f>
        <v>IE-WD</v>
      </c>
      <c r="V342" s="80" t="str">
        <f>Regions!W3</f>
        <v>IE-G</v>
      </c>
      <c r="W342" s="80" t="str">
        <f>Regions!X3</f>
        <v>IE-LM</v>
      </c>
      <c r="X342" s="80" t="str">
        <f>Regions!Y3</f>
        <v>IE-MO</v>
      </c>
      <c r="Y342" s="80" t="str">
        <f>Regions!Z3</f>
        <v>IE-RN</v>
      </c>
      <c r="Z342" s="80" t="str">
        <f>Regions!AA3</f>
        <v>IE-SO</v>
      </c>
      <c r="AA342" s="80" t="str">
        <f>Regions!AB3</f>
        <v>IE-CN</v>
      </c>
      <c r="AB342" s="80" t="str">
        <f>Regions!AC3</f>
        <v>IE-DL</v>
      </c>
      <c r="AC342" s="80" t="str">
        <f>Regions!AD3</f>
        <v>IE-MN</v>
      </c>
    </row>
    <row r="343" spans="1:30">
      <c r="A343" t="s">
        <v>337</v>
      </c>
      <c r="B343" t="s">
        <v>332</v>
      </c>
      <c r="C343" s="257">
        <v>0</v>
      </c>
      <c r="D343" s="257">
        <v>0</v>
      </c>
      <c r="E343" s="257">
        <v>0</v>
      </c>
      <c r="F343" s="257">
        <v>0</v>
      </c>
      <c r="G343" s="30">
        <v>0</v>
      </c>
      <c r="H343" s="30">
        <v>0</v>
      </c>
      <c r="I343" s="30">
        <v>0</v>
      </c>
      <c r="J343" s="30">
        <v>0</v>
      </c>
      <c r="K343" s="30">
        <v>0</v>
      </c>
      <c r="L343" s="30">
        <v>0</v>
      </c>
      <c r="M343" s="30">
        <v>0</v>
      </c>
      <c r="N343" s="30">
        <v>0</v>
      </c>
      <c r="O343" s="30">
        <v>0</v>
      </c>
      <c r="P343" s="30">
        <v>0</v>
      </c>
      <c r="Q343" s="30">
        <v>0</v>
      </c>
      <c r="R343" s="30">
        <v>0</v>
      </c>
      <c r="S343" s="30">
        <v>0</v>
      </c>
      <c r="T343" s="30">
        <v>0</v>
      </c>
      <c r="U343" s="30">
        <v>0</v>
      </c>
      <c r="V343" s="30">
        <v>0</v>
      </c>
      <c r="W343" s="30">
        <v>0</v>
      </c>
      <c r="X343" s="30">
        <v>0</v>
      </c>
      <c r="Y343" s="30">
        <v>0</v>
      </c>
      <c r="Z343" s="30">
        <v>0</v>
      </c>
      <c r="AA343" s="30">
        <v>0</v>
      </c>
      <c r="AB343" s="30">
        <v>0</v>
      </c>
      <c r="AC343" s="30">
        <v>0</v>
      </c>
      <c r="AD343" s="5"/>
    </row>
    <row r="344" spans="1:30">
      <c r="B344" t="s">
        <v>333</v>
      </c>
      <c r="C344" s="257">
        <v>0</v>
      </c>
      <c r="D344" s="257">
        <v>0</v>
      </c>
      <c r="E344" s="257">
        <v>0</v>
      </c>
      <c r="F344" s="257">
        <v>0</v>
      </c>
      <c r="G344" s="30">
        <v>0</v>
      </c>
      <c r="H344" s="30">
        <v>0</v>
      </c>
      <c r="I344" s="30">
        <v>0</v>
      </c>
      <c r="J344" s="30">
        <v>0</v>
      </c>
      <c r="K344" s="30">
        <v>0</v>
      </c>
      <c r="L344" s="30">
        <v>0</v>
      </c>
      <c r="M344" s="30">
        <v>0</v>
      </c>
      <c r="N344" s="30">
        <v>0</v>
      </c>
      <c r="O344" s="30">
        <v>0</v>
      </c>
      <c r="P344" s="30">
        <v>0</v>
      </c>
      <c r="Q344" s="30">
        <v>0</v>
      </c>
      <c r="R344" s="30">
        <v>0</v>
      </c>
      <c r="S344" s="30">
        <v>0</v>
      </c>
      <c r="T344" s="30">
        <v>0</v>
      </c>
      <c r="U344" s="30">
        <v>0</v>
      </c>
      <c r="V344" s="30">
        <v>0</v>
      </c>
      <c r="W344" s="30">
        <v>0</v>
      </c>
      <c r="X344" s="30">
        <v>0</v>
      </c>
      <c r="Y344" s="30">
        <v>0</v>
      </c>
      <c r="Z344" s="30">
        <v>0</v>
      </c>
      <c r="AA344" s="30">
        <v>0</v>
      </c>
      <c r="AB344" s="30">
        <v>0</v>
      </c>
      <c r="AC344" s="30">
        <v>0</v>
      </c>
      <c r="AD344" s="5"/>
    </row>
    <row r="345" spans="1:30">
      <c r="A345" t="s">
        <v>334</v>
      </c>
      <c r="B345" t="s">
        <v>340</v>
      </c>
      <c r="C345" s="257">
        <v>0</v>
      </c>
      <c r="D345" s="257">
        <v>0</v>
      </c>
      <c r="E345" s="257">
        <v>0</v>
      </c>
      <c r="F345" s="257">
        <v>0</v>
      </c>
      <c r="G345" s="30">
        <v>0</v>
      </c>
      <c r="H345" s="30">
        <v>0</v>
      </c>
      <c r="I345" s="30">
        <v>0</v>
      </c>
      <c r="J345" s="30">
        <v>0</v>
      </c>
      <c r="K345" s="30">
        <v>0</v>
      </c>
      <c r="L345" s="30">
        <v>0</v>
      </c>
      <c r="M345" s="30">
        <v>0</v>
      </c>
      <c r="N345" s="30">
        <v>0</v>
      </c>
      <c r="O345" s="30">
        <v>0</v>
      </c>
      <c r="P345" s="30">
        <v>0</v>
      </c>
      <c r="Q345" s="30">
        <v>0</v>
      </c>
      <c r="R345" s="30">
        <v>0</v>
      </c>
      <c r="S345" s="30">
        <v>0</v>
      </c>
      <c r="T345" s="30">
        <v>0</v>
      </c>
      <c r="U345" s="30">
        <v>0</v>
      </c>
      <c r="V345" s="30">
        <v>0</v>
      </c>
      <c r="W345" s="30">
        <v>0</v>
      </c>
      <c r="X345" s="30">
        <v>0</v>
      </c>
      <c r="Y345" s="30">
        <v>0</v>
      </c>
      <c r="Z345" s="30">
        <v>0</v>
      </c>
      <c r="AA345" s="30">
        <v>0</v>
      </c>
      <c r="AB345" s="30">
        <v>0</v>
      </c>
      <c r="AC345" s="30">
        <v>0</v>
      </c>
      <c r="AD345" s="5"/>
    </row>
    <row r="346" spans="1:30">
      <c r="B346" t="s">
        <v>339</v>
      </c>
      <c r="C346" s="30">
        <f>C282</f>
        <v>20106.843113292791</v>
      </c>
      <c r="D346" s="30">
        <f t="shared" ref="D346:AC346" si="165">D102-D318-D332</f>
        <v>295.64777516001561</v>
      </c>
      <c r="E346" s="30">
        <f t="shared" si="165"/>
        <v>4253.6393511207552</v>
      </c>
      <c r="F346" s="30">
        <f t="shared" si="165"/>
        <v>1017.1624778662165</v>
      </c>
      <c r="G346" s="30">
        <f t="shared" si="165"/>
        <v>462.1941588985502</v>
      </c>
      <c r="H346" s="30">
        <f t="shared" si="165"/>
        <v>376.12656461756251</v>
      </c>
      <c r="I346" s="30">
        <f t="shared" si="165"/>
        <v>190.0193639969855</v>
      </c>
      <c r="J346" s="30">
        <f t="shared" si="165"/>
        <v>504.1101950743556</v>
      </c>
      <c r="K346" s="30">
        <f t="shared" si="165"/>
        <v>900.91533753864883</v>
      </c>
      <c r="L346" s="30">
        <f t="shared" si="165"/>
        <v>368.30223786474545</v>
      </c>
      <c r="M346" s="30">
        <f t="shared" si="165"/>
        <v>438.72117864009897</v>
      </c>
      <c r="N346" s="30">
        <f t="shared" si="165"/>
        <v>774.04946804654378</v>
      </c>
      <c r="O346" s="30">
        <f t="shared" si="165"/>
        <v>648.86024000147108</v>
      </c>
      <c r="P346" s="30">
        <f t="shared" si="165"/>
        <v>598.56099659050449</v>
      </c>
      <c r="Q346" s="30">
        <f t="shared" si="165"/>
        <v>2402.0683131148344</v>
      </c>
      <c r="R346" s="30">
        <f t="shared" si="165"/>
        <v>714.24925643572794</v>
      </c>
      <c r="S346" s="30">
        <f t="shared" si="165"/>
        <v>883.03116210363851</v>
      </c>
      <c r="T346" s="30">
        <f t="shared" si="165"/>
        <v>845.58616978658551</v>
      </c>
      <c r="U346" s="30">
        <f t="shared" si="165"/>
        <v>549.93839462656979</v>
      </c>
      <c r="V346" s="30">
        <f t="shared" si="165"/>
        <v>1156.8825984522352</v>
      </c>
      <c r="W346" s="30">
        <f t="shared" si="165"/>
        <v>159.28093746806138</v>
      </c>
      <c r="X346" s="30">
        <f t="shared" si="165"/>
        <v>634.88822794286921</v>
      </c>
      <c r="Y346" s="30">
        <f t="shared" si="165"/>
        <v>369.41999882943361</v>
      </c>
      <c r="Z346" s="30">
        <f t="shared" si="165"/>
        <v>293.41225323063946</v>
      </c>
      <c r="AA346" s="30">
        <f t="shared" si="165"/>
        <v>342.59373567691802</v>
      </c>
      <c r="AB346" s="30">
        <f t="shared" si="165"/>
        <v>652.21352289553545</v>
      </c>
      <c r="AC346" s="30">
        <f t="shared" si="165"/>
        <v>274.96919731328495</v>
      </c>
      <c r="AD346" s="5"/>
    </row>
    <row r="347" spans="1:30">
      <c r="A347" t="s">
        <v>298</v>
      </c>
      <c r="B347" t="s">
        <v>336</v>
      </c>
      <c r="C347" s="30">
        <f>C291</f>
        <v>329.43614424109597</v>
      </c>
      <c r="D347" s="30">
        <f t="shared" ref="D347:AC347" si="166">D106-D319-D333</f>
        <v>1.9609294300065239</v>
      </c>
      <c r="E347" s="30">
        <f t="shared" si="166"/>
        <v>168.63993098056102</v>
      </c>
      <c r="F347" s="30">
        <f t="shared" si="166"/>
        <v>13.726506010045668</v>
      </c>
      <c r="G347" s="30">
        <f t="shared" si="166"/>
        <v>3.529672974011743</v>
      </c>
      <c r="H347" s="30">
        <f t="shared" si="166"/>
        <v>3.529672974011743</v>
      </c>
      <c r="I347" s="30">
        <f t="shared" si="166"/>
        <v>1.5687435440052186</v>
      </c>
      <c r="J347" s="30">
        <f t="shared" si="166"/>
        <v>9.8046471500326184</v>
      </c>
      <c r="K347" s="30">
        <f t="shared" si="166"/>
        <v>16.471807212054792</v>
      </c>
      <c r="L347" s="30">
        <f t="shared" si="166"/>
        <v>2.3531153160078278</v>
      </c>
      <c r="M347" s="30">
        <f t="shared" si="166"/>
        <v>4.7062306320156555</v>
      </c>
      <c r="N347" s="30">
        <f t="shared" si="166"/>
        <v>4.3140447460143516</v>
      </c>
      <c r="O347" s="30">
        <f t="shared" si="166"/>
        <v>5.4906024040182633</v>
      </c>
      <c r="P347" s="30">
        <f t="shared" si="166"/>
        <v>5.4906024040182633</v>
      </c>
      <c r="Q347" s="30">
        <f t="shared" si="166"/>
        <v>27.453012020091336</v>
      </c>
      <c r="R347" s="30">
        <f t="shared" si="166"/>
        <v>7.0593459480234859</v>
      </c>
      <c r="S347" s="30">
        <f t="shared" si="166"/>
        <v>10.589018922035223</v>
      </c>
      <c r="T347" s="30">
        <f t="shared" si="166"/>
        <v>3.9218588600130477</v>
      </c>
      <c r="U347" s="30">
        <f t="shared" si="166"/>
        <v>4.3140447460143516</v>
      </c>
      <c r="V347" s="30">
        <f t="shared" si="166"/>
        <v>14.903063668049583</v>
      </c>
      <c r="W347" s="30">
        <f t="shared" si="166"/>
        <v>1.1765576580039139</v>
      </c>
      <c r="X347" s="30">
        <f t="shared" si="166"/>
        <v>4.3140447460143516</v>
      </c>
      <c r="Y347" s="30">
        <f t="shared" si="166"/>
        <v>1.9609294300065239</v>
      </c>
      <c r="Z347" s="30">
        <f t="shared" si="166"/>
        <v>2.3531153160078278</v>
      </c>
      <c r="AA347" s="30">
        <f t="shared" si="166"/>
        <v>2.7453012020091325</v>
      </c>
      <c r="AB347" s="30">
        <f t="shared" si="166"/>
        <v>5.8827882900195725</v>
      </c>
      <c r="AC347" s="30">
        <f t="shared" si="166"/>
        <v>1.1765576580039139</v>
      </c>
      <c r="AD347" s="5"/>
    </row>
    <row r="348" spans="1:30">
      <c r="B348" t="s">
        <v>558</v>
      </c>
      <c r="C348" s="30">
        <f>C308</f>
        <v>4414.2152854397546</v>
      </c>
      <c r="D348" s="30">
        <f t="shared" ref="D348:AC348" si="167">D107-D320-D334</f>
        <v>49.016564417177911</v>
      </c>
      <c r="E348" s="30">
        <f t="shared" si="167"/>
        <v>1593.0383435582823</v>
      </c>
      <c r="F348" s="30">
        <f t="shared" si="167"/>
        <v>208.32039877300616</v>
      </c>
      <c r="G348" s="30">
        <f t="shared" si="167"/>
        <v>134.79555214723931</v>
      </c>
      <c r="H348" s="30">
        <f t="shared" si="167"/>
        <v>61.270705521472408</v>
      </c>
      <c r="I348" s="30">
        <f t="shared" si="167"/>
        <v>36.762423312883435</v>
      </c>
      <c r="J348" s="30">
        <f t="shared" si="167"/>
        <v>98.033128834355821</v>
      </c>
      <c r="K348" s="30">
        <f t="shared" si="167"/>
        <v>134.79555214723931</v>
      </c>
      <c r="L348" s="30">
        <f t="shared" si="167"/>
        <v>85.778987730061345</v>
      </c>
      <c r="M348" s="30">
        <f t="shared" si="167"/>
        <v>61.270705521472408</v>
      </c>
      <c r="N348" s="30">
        <f t="shared" si="167"/>
        <v>122.54141104294482</v>
      </c>
      <c r="O348" s="30">
        <f t="shared" si="167"/>
        <v>110.28726993865034</v>
      </c>
      <c r="P348" s="30">
        <f t="shared" si="167"/>
        <v>85.778987730061345</v>
      </c>
      <c r="Q348" s="30">
        <f t="shared" si="167"/>
        <v>355.37009202453999</v>
      </c>
      <c r="R348" s="30">
        <f t="shared" si="167"/>
        <v>220.57453987730068</v>
      </c>
      <c r="S348" s="30">
        <f t="shared" si="167"/>
        <v>134.79555214723931</v>
      </c>
      <c r="T348" s="30">
        <f t="shared" si="167"/>
        <v>159.30383435582823</v>
      </c>
      <c r="U348" s="30">
        <f t="shared" si="167"/>
        <v>73.52484662576687</v>
      </c>
      <c r="V348" s="30">
        <f t="shared" si="167"/>
        <v>257.33696319018406</v>
      </c>
      <c r="W348" s="30">
        <f t="shared" si="167"/>
        <v>24.508282208588955</v>
      </c>
      <c r="X348" s="30">
        <f t="shared" si="167"/>
        <v>159.30383435582823</v>
      </c>
      <c r="Y348" s="30">
        <f t="shared" si="167"/>
        <v>49.016564417177911</v>
      </c>
      <c r="Z348" s="30">
        <f t="shared" si="167"/>
        <v>49.016564417177911</v>
      </c>
      <c r="AA348" s="30">
        <f t="shared" si="167"/>
        <v>20.488148960935398</v>
      </c>
      <c r="AB348" s="30">
        <f t="shared" si="167"/>
        <v>6.7446211413954167</v>
      </c>
      <c r="AC348" s="30">
        <f t="shared" si="167"/>
        <v>122.54141104294482</v>
      </c>
      <c r="AD348" s="5"/>
    </row>
    <row r="349" spans="1:30">
      <c r="B349" t="s">
        <v>545</v>
      </c>
      <c r="C349" s="30">
        <v>0</v>
      </c>
      <c r="D349" s="30">
        <v>0</v>
      </c>
      <c r="E349" s="30">
        <v>0</v>
      </c>
      <c r="F349" s="30">
        <v>0</v>
      </c>
      <c r="G349" s="30">
        <v>0</v>
      </c>
      <c r="H349" s="30">
        <v>0</v>
      </c>
      <c r="I349" s="30">
        <v>0</v>
      </c>
      <c r="J349" s="30">
        <v>0</v>
      </c>
      <c r="K349" s="30">
        <v>0</v>
      </c>
      <c r="L349" s="30">
        <v>0</v>
      </c>
      <c r="M349" s="30">
        <v>0</v>
      </c>
      <c r="N349" s="30">
        <v>0</v>
      </c>
      <c r="O349" s="30">
        <v>0</v>
      </c>
      <c r="P349" s="30">
        <v>0</v>
      </c>
      <c r="Q349" s="30">
        <v>0</v>
      </c>
      <c r="R349" s="30">
        <v>0</v>
      </c>
      <c r="S349" s="30">
        <v>0</v>
      </c>
      <c r="T349" s="30">
        <v>0</v>
      </c>
      <c r="U349" s="30">
        <v>0</v>
      </c>
      <c r="V349" s="30">
        <v>0</v>
      </c>
      <c r="W349" s="30">
        <v>0</v>
      </c>
      <c r="X349" s="30">
        <v>0</v>
      </c>
      <c r="Y349" s="30">
        <v>0</v>
      </c>
      <c r="Z349" s="30">
        <v>0</v>
      </c>
      <c r="AA349" s="30">
        <v>0</v>
      </c>
      <c r="AB349" s="30">
        <v>0</v>
      </c>
      <c r="AC349" s="30">
        <v>0</v>
      </c>
      <c r="AD349" s="5"/>
    </row>
    <row r="350" spans="1:30" ht="13.9" customHeight="1">
      <c r="B350" t="s">
        <v>338</v>
      </c>
      <c r="C350" s="30">
        <f t="shared" ref="C350:AC350" si="168">C109*1</f>
        <v>2281.0830000000001</v>
      </c>
      <c r="D350" s="30">
        <f t="shared" si="168"/>
        <v>27.272217367775003</v>
      </c>
      <c r="E350" s="30">
        <f t="shared" si="168"/>
        <v>645.42730837539557</v>
      </c>
      <c r="F350" s="30">
        <f t="shared" si="168"/>
        <v>106.58640928123741</v>
      </c>
      <c r="G350" s="30">
        <f t="shared" si="168"/>
        <v>47.535246853071193</v>
      </c>
      <c r="H350" s="30">
        <f t="shared" si="168"/>
        <v>40.572525019293884</v>
      </c>
      <c r="I350" s="30">
        <f t="shared" si="168"/>
        <v>19.579451634811139</v>
      </c>
      <c r="J350" s="30">
        <f t="shared" si="168"/>
        <v>61.739486812834848</v>
      </c>
      <c r="K350" s="30">
        <f t="shared" si="168"/>
        <v>93.43220621584183</v>
      </c>
      <c r="L350" s="30">
        <f t="shared" si="168"/>
        <v>37.345769307403692</v>
      </c>
      <c r="M350" s="30">
        <f t="shared" si="168"/>
        <v>42.523620033327248</v>
      </c>
      <c r="N350" s="30">
        <f t="shared" si="168"/>
        <v>71.721543749350261</v>
      </c>
      <c r="O350" s="30">
        <f t="shared" si="168"/>
        <v>68.226051405279179</v>
      </c>
      <c r="P350" s="30">
        <f t="shared" si="168"/>
        <v>56.917077407906312</v>
      </c>
      <c r="Q350" s="30">
        <f t="shared" si="168"/>
        <v>260.0508342937062</v>
      </c>
      <c r="R350" s="30">
        <f t="shared" si="168"/>
        <v>70.756295418076704</v>
      </c>
      <c r="S350" s="30">
        <f t="shared" si="168"/>
        <v>93.362746658504534</v>
      </c>
      <c r="T350" s="30">
        <f t="shared" si="168"/>
        <v>76.430901736819465</v>
      </c>
      <c r="U350" s="30">
        <f t="shared" si="168"/>
        <v>55.651955401507564</v>
      </c>
      <c r="V350" s="30">
        <f t="shared" si="168"/>
        <v>123.6178927403443</v>
      </c>
      <c r="W350" s="30">
        <f t="shared" si="168"/>
        <v>15.35008314011421</v>
      </c>
      <c r="X350" s="30">
        <f t="shared" si="168"/>
        <v>62.516954823582736</v>
      </c>
      <c r="Y350" s="30">
        <f t="shared" si="168"/>
        <v>30.918604612268489</v>
      </c>
      <c r="Z350" s="30">
        <f t="shared" si="168"/>
        <v>31.393324759311717</v>
      </c>
      <c r="AA350" s="30">
        <f t="shared" si="168"/>
        <v>36.490698205009984</v>
      </c>
      <c r="AB350" s="30">
        <f t="shared" si="168"/>
        <v>76.257971390621051</v>
      </c>
      <c r="AC350" s="30">
        <f t="shared" si="168"/>
        <v>29.405823356605008</v>
      </c>
      <c r="AD350" s="5"/>
    </row>
    <row r="351" spans="1:30">
      <c r="A351" s="79"/>
      <c r="B351" s="107" t="s">
        <v>16</v>
      </c>
      <c r="C351" s="99">
        <f>SUM(C343:C350)</f>
        <v>27131.577542973639</v>
      </c>
      <c r="D351" s="99">
        <f t="shared" ref="D351:AC351" si="169">SUM(D343:D350)</f>
        <v>373.89748637497502</v>
      </c>
      <c r="E351" s="99">
        <f t="shared" si="169"/>
        <v>6660.744934034994</v>
      </c>
      <c r="F351" s="99">
        <f t="shared" si="169"/>
        <v>1345.7957919305056</v>
      </c>
      <c r="G351" s="99">
        <f t="shared" si="169"/>
        <v>648.05463087287239</v>
      </c>
      <c r="H351" s="99">
        <f t="shared" si="169"/>
        <v>481.49946813234055</v>
      </c>
      <c r="I351" s="99">
        <f t="shared" si="169"/>
        <v>247.92998248868531</v>
      </c>
      <c r="J351" s="99">
        <f t="shared" si="169"/>
        <v>673.68745787157877</v>
      </c>
      <c r="K351" s="99">
        <f t="shared" si="169"/>
        <v>1145.614903113785</v>
      </c>
      <c r="L351" s="99">
        <f t="shared" si="169"/>
        <v>493.78011021821834</v>
      </c>
      <c r="M351" s="99">
        <f t="shared" si="169"/>
        <v>547.22173482691426</v>
      </c>
      <c r="N351" s="99">
        <f t="shared" si="169"/>
        <v>972.62646758485323</v>
      </c>
      <c r="O351" s="99">
        <f t="shared" si="169"/>
        <v>832.86416374941882</v>
      </c>
      <c r="P351" s="99">
        <f t="shared" si="169"/>
        <v>746.7476641324904</v>
      </c>
      <c r="Q351" s="99">
        <f t="shared" si="169"/>
        <v>3044.9422514531716</v>
      </c>
      <c r="R351" s="99">
        <f t="shared" si="169"/>
        <v>1012.6394376791288</v>
      </c>
      <c r="S351" s="99">
        <f t="shared" si="169"/>
        <v>1121.7784798314174</v>
      </c>
      <c r="T351" s="99">
        <f t="shared" si="169"/>
        <v>1085.2427647392462</v>
      </c>
      <c r="U351" s="99">
        <f t="shared" si="169"/>
        <v>683.42924139985848</v>
      </c>
      <c r="V351" s="99">
        <f t="shared" si="169"/>
        <v>1552.7405180508131</v>
      </c>
      <c r="W351" s="99">
        <f t="shared" si="169"/>
        <v>200.31586047476844</v>
      </c>
      <c r="X351" s="99">
        <f t="shared" si="169"/>
        <v>861.02306186829458</v>
      </c>
      <c r="Y351" s="99">
        <f t="shared" si="169"/>
        <v>451.31609728888651</v>
      </c>
      <c r="Z351" s="99">
        <f t="shared" si="169"/>
        <v>376.17525772313689</v>
      </c>
      <c r="AA351" s="99">
        <f t="shared" si="169"/>
        <v>402.31788404487259</v>
      </c>
      <c r="AB351" s="99">
        <f t="shared" si="169"/>
        <v>741.09890371757149</v>
      </c>
      <c r="AC351" s="99">
        <f t="shared" si="169"/>
        <v>428.09298937083867</v>
      </c>
    </row>
    <row r="352" spans="1:30">
      <c r="B352" t="s">
        <v>210</v>
      </c>
      <c r="C352" s="5">
        <f t="shared" ref="C352:AC352" si="170">C351+C337+C323-C110</f>
        <v>0</v>
      </c>
      <c r="D352" s="5">
        <f t="shared" si="170"/>
        <v>0</v>
      </c>
      <c r="E352" s="5">
        <f t="shared" si="170"/>
        <v>0</v>
      </c>
      <c r="F352" s="5">
        <f t="shared" si="170"/>
        <v>0</v>
      </c>
      <c r="G352" s="5">
        <f t="shared" si="170"/>
        <v>0</v>
      </c>
      <c r="H352" s="5">
        <f t="shared" si="170"/>
        <v>0</v>
      </c>
      <c r="I352" s="5">
        <f t="shared" si="170"/>
        <v>0</v>
      </c>
      <c r="J352" s="5">
        <f t="shared" si="170"/>
        <v>0</v>
      </c>
      <c r="K352" s="5">
        <f t="shared" si="170"/>
        <v>0</v>
      </c>
      <c r="L352" s="5">
        <f t="shared" si="170"/>
        <v>0</v>
      </c>
      <c r="M352" s="5">
        <f t="shared" si="170"/>
        <v>0</v>
      </c>
      <c r="N352" s="5">
        <f t="shared" si="170"/>
        <v>0</v>
      </c>
      <c r="O352" s="5">
        <f t="shared" si="170"/>
        <v>0</v>
      </c>
      <c r="P352" s="5">
        <f t="shared" si="170"/>
        <v>0</v>
      </c>
      <c r="Q352" s="5">
        <f t="shared" si="170"/>
        <v>0</v>
      </c>
      <c r="R352" s="5">
        <f t="shared" si="170"/>
        <v>0</v>
      </c>
      <c r="S352" s="5">
        <f t="shared" si="170"/>
        <v>0</v>
      </c>
      <c r="T352" s="5">
        <f t="shared" si="170"/>
        <v>0</v>
      </c>
      <c r="U352" s="5">
        <f t="shared" si="170"/>
        <v>0</v>
      </c>
      <c r="V352" s="5">
        <f t="shared" si="170"/>
        <v>0</v>
      </c>
      <c r="W352" s="5">
        <f t="shared" si="170"/>
        <v>0</v>
      </c>
      <c r="X352" s="5">
        <f t="shared" si="170"/>
        <v>0</v>
      </c>
      <c r="Y352" s="5">
        <f t="shared" si="170"/>
        <v>0</v>
      </c>
      <c r="Z352" s="5">
        <f t="shared" si="170"/>
        <v>0</v>
      </c>
      <c r="AA352" s="5">
        <f t="shared" si="170"/>
        <v>0</v>
      </c>
      <c r="AB352" s="5">
        <f t="shared" si="170"/>
        <v>0</v>
      </c>
      <c r="AC352" s="5">
        <f t="shared" si="170"/>
        <v>0</v>
      </c>
    </row>
    <row r="355" spans="1:29" s="190" customFormat="1" ht="18.5">
      <c r="A355" s="192" t="s">
        <v>634</v>
      </c>
    </row>
    <row r="357" spans="1:29" ht="15.5">
      <c r="A357" s="101" t="s">
        <v>644</v>
      </c>
    </row>
    <row r="358" spans="1:29">
      <c r="A358" s="82" t="s">
        <v>676</v>
      </c>
      <c r="B358" s="82" t="s">
        <v>452</v>
      </c>
      <c r="C358" s="80" t="str">
        <f>C342</f>
        <v>IE</v>
      </c>
      <c r="D358" s="80" t="str">
        <f t="shared" ref="D358:AC358" si="171">D342</f>
        <v>IE-CW</v>
      </c>
      <c r="E358" s="80" t="str">
        <f t="shared" si="171"/>
        <v>IE-D</v>
      </c>
      <c r="F358" s="80" t="str">
        <f t="shared" si="171"/>
        <v>IE-KE</v>
      </c>
      <c r="G358" s="80" t="str">
        <f t="shared" si="171"/>
        <v>IE-KK</v>
      </c>
      <c r="H358" s="80" t="str">
        <f t="shared" si="171"/>
        <v>IE-LS</v>
      </c>
      <c r="I358" s="80" t="str">
        <f t="shared" si="171"/>
        <v>IE-LD</v>
      </c>
      <c r="J358" s="80" t="str">
        <f t="shared" si="171"/>
        <v>IE-LH</v>
      </c>
      <c r="K358" s="80" t="str">
        <f t="shared" si="171"/>
        <v>IE-MH</v>
      </c>
      <c r="L358" s="80" t="str">
        <f t="shared" si="171"/>
        <v>IE-OY</v>
      </c>
      <c r="M358" s="80" t="str">
        <f t="shared" si="171"/>
        <v>IE-WH</v>
      </c>
      <c r="N358" s="80" t="str">
        <f t="shared" si="171"/>
        <v>IE-WX</v>
      </c>
      <c r="O358" s="80" t="str">
        <f t="shared" si="171"/>
        <v>IE-WW</v>
      </c>
      <c r="P358" s="80" t="str">
        <f t="shared" si="171"/>
        <v>IE-CE</v>
      </c>
      <c r="Q358" s="80" t="str">
        <f t="shared" si="171"/>
        <v>IE-CO</v>
      </c>
      <c r="R358" s="80" t="str">
        <f t="shared" si="171"/>
        <v>IE-KY</v>
      </c>
      <c r="S358" s="80" t="str">
        <f t="shared" si="171"/>
        <v>IE-LK</v>
      </c>
      <c r="T358" s="80" t="str">
        <f t="shared" si="171"/>
        <v>IE-TA</v>
      </c>
      <c r="U358" s="80" t="str">
        <f t="shared" si="171"/>
        <v>IE-WD</v>
      </c>
      <c r="V358" s="80" t="str">
        <f t="shared" si="171"/>
        <v>IE-G</v>
      </c>
      <c r="W358" s="80" t="str">
        <f t="shared" si="171"/>
        <v>IE-LM</v>
      </c>
      <c r="X358" s="80" t="str">
        <f t="shared" si="171"/>
        <v>IE-MO</v>
      </c>
      <c r="Y358" s="80" t="str">
        <f t="shared" si="171"/>
        <v>IE-RN</v>
      </c>
      <c r="Z358" s="80" t="str">
        <f t="shared" si="171"/>
        <v>IE-SO</v>
      </c>
      <c r="AA358" s="80" t="str">
        <f t="shared" si="171"/>
        <v>IE-CN</v>
      </c>
      <c r="AB358" s="80" t="str">
        <f t="shared" si="171"/>
        <v>IE-DL</v>
      </c>
      <c r="AC358" s="80" t="str">
        <f t="shared" si="171"/>
        <v>IE-MN</v>
      </c>
    </row>
    <row r="359" spans="1:29">
      <c r="B359" t="s">
        <v>19</v>
      </c>
      <c r="C359" s="30">
        <f>SUM(D359:AC359)</f>
        <v>353571</v>
      </c>
      <c r="D359">
        <v>5799</v>
      </c>
      <c r="E359">
        <v>74245</v>
      </c>
      <c r="F359">
        <v>16042</v>
      </c>
      <c r="G359">
        <v>8206</v>
      </c>
      <c r="H359">
        <v>6014</v>
      </c>
      <c r="I359">
        <v>3931</v>
      </c>
      <c r="J359">
        <v>8128</v>
      </c>
      <c r="K359">
        <v>14762</v>
      </c>
      <c r="L359">
        <v>6515</v>
      </c>
      <c r="M359">
        <v>8096</v>
      </c>
      <c r="N359">
        <v>13961</v>
      </c>
      <c r="O359">
        <v>9390</v>
      </c>
      <c r="P359">
        <v>9420</v>
      </c>
      <c r="Q359">
        <v>41391</v>
      </c>
      <c r="R359">
        <v>11899</v>
      </c>
      <c r="S359">
        <v>13635</v>
      </c>
      <c r="T359">
        <v>13935</v>
      </c>
      <c r="U359">
        <v>8132</v>
      </c>
      <c r="V359">
        <v>20314</v>
      </c>
      <c r="W359">
        <v>3401</v>
      </c>
      <c r="X359">
        <v>13343</v>
      </c>
      <c r="Y359">
        <v>6369</v>
      </c>
      <c r="Z359">
        <v>6037</v>
      </c>
      <c r="AA359">
        <v>8043</v>
      </c>
      <c r="AB359">
        <v>14606</v>
      </c>
      <c r="AC359">
        <v>7957</v>
      </c>
    </row>
    <row r="360" spans="1:29">
      <c r="B360" t="s">
        <v>20</v>
      </c>
      <c r="C360" s="31">
        <f t="shared" ref="C360:C361" si="172">SUM(D360:AC360)</f>
        <v>667</v>
      </c>
      <c r="D360">
        <v>9</v>
      </c>
      <c r="E360">
        <v>178</v>
      </c>
      <c r="F360">
        <v>42</v>
      </c>
      <c r="G360">
        <v>12</v>
      </c>
      <c r="H360">
        <v>17</v>
      </c>
      <c r="I360">
        <v>5</v>
      </c>
      <c r="J360">
        <v>11</v>
      </c>
      <c r="K360">
        <v>19</v>
      </c>
      <c r="L360">
        <v>7</v>
      </c>
      <c r="M360">
        <v>9</v>
      </c>
      <c r="N360">
        <v>20</v>
      </c>
      <c r="O360">
        <v>36</v>
      </c>
      <c r="P360">
        <v>12</v>
      </c>
      <c r="Q360">
        <v>103</v>
      </c>
      <c r="R360">
        <v>19</v>
      </c>
      <c r="S360">
        <v>10</v>
      </c>
      <c r="T360">
        <v>21</v>
      </c>
      <c r="U360">
        <v>26</v>
      </c>
      <c r="V360">
        <v>37</v>
      </c>
      <c r="W360">
        <v>2</v>
      </c>
      <c r="X360">
        <v>17</v>
      </c>
      <c r="Y360">
        <v>11</v>
      </c>
      <c r="Z360">
        <v>8</v>
      </c>
      <c r="AA360">
        <v>5</v>
      </c>
      <c r="AB360">
        <v>20</v>
      </c>
      <c r="AC360">
        <v>11</v>
      </c>
    </row>
    <row r="361" spans="1:29">
      <c r="A361" s="79"/>
      <c r="B361" s="79" t="s">
        <v>214</v>
      </c>
      <c r="C361" s="176">
        <f t="shared" si="172"/>
        <v>223</v>
      </c>
      <c r="D361" s="79">
        <v>1</v>
      </c>
      <c r="E361" s="79">
        <v>100</v>
      </c>
      <c r="F361" s="79">
        <v>7</v>
      </c>
      <c r="G361" s="79">
        <v>3</v>
      </c>
      <c r="H361" s="79">
        <v>4</v>
      </c>
      <c r="I361" s="79">
        <v>3</v>
      </c>
      <c r="J361" s="79">
        <v>4</v>
      </c>
      <c r="K361" s="79">
        <v>2</v>
      </c>
      <c r="L361" s="79">
        <v>3</v>
      </c>
      <c r="M361" s="79">
        <v>5</v>
      </c>
      <c r="N361" s="79">
        <v>8</v>
      </c>
      <c r="O361" s="79">
        <v>10</v>
      </c>
      <c r="P361" s="79">
        <v>4</v>
      </c>
      <c r="Q361" s="79">
        <v>28</v>
      </c>
      <c r="R361" s="79">
        <v>2</v>
      </c>
      <c r="S361" s="79">
        <v>4</v>
      </c>
      <c r="T361" s="79">
        <v>6</v>
      </c>
      <c r="U361" s="79">
        <v>4</v>
      </c>
      <c r="V361" s="79">
        <v>7</v>
      </c>
      <c r="W361" s="79">
        <v>0</v>
      </c>
      <c r="X361" s="79">
        <v>2</v>
      </c>
      <c r="Y361" s="79">
        <v>3</v>
      </c>
      <c r="Z361" s="79">
        <v>1</v>
      </c>
      <c r="AA361" s="79">
        <v>2</v>
      </c>
      <c r="AB361" s="79">
        <v>9</v>
      </c>
      <c r="AC361" s="79">
        <v>1</v>
      </c>
    </row>
    <row r="362" spans="1:29">
      <c r="A362" t="s">
        <v>677</v>
      </c>
    </row>
    <row r="366" spans="1:29" ht="15.5">
      <c r="A366" s="101" t="s">
        <v>644</v>
      </c>
    </row>
    <row r="367" spans="1:29" ht="17.5">
      <c r="A367" s="82" t="s">
        <v>1013</v>
      </c>
      <c r="B367" s="82" t="s">
        <v>642</v>
      </c>
      <c r="C367" s="80" t="str">
        <f t="shared" ref="C367:AC367" si="173">C380</f>
        <v>IE</v>
      </c>
      <c r="D367" s="80" t="str">
        <f t="shared" si="173"/>
        <v>IE-CW</v>
      </c>
      <c r="E367" s="80" t="str">
        <f t="shared" si="173"/>
        <v>IE-D</v>
      </c>
      <c r="F367" s="80" t="str">
        <f t="shared" si="173"/>
        <v>IE-KE</v>
      </c>
      <c r="G367" s="80" t="str">
        <f t="shared" si="173"/>
        <v>IE-KK</v>
      </c>
      <c r="H367" s="80" t="str">
        <f t="shared" si="173"/>
        <v>IE-LS</v>
      </c>
      <c r="I367" s="80" t="str">
        <f t="shared" si="173"/>
        <v>IE-LD</v>
      </c>
      <c r="J367" s="80" t="str">
        <f t="shared" si="173"/>
        <v>IE-LH</v>
      </c>
      <c r="K367" s="80" t="str">
        <f t="shared" si="173"/>
        <v>IE-MH</v>
      </c>
      <c r="L367" s="80" t="str">
        <f t="shared" si="173"/>
        <v>IE-OY</v>
      </c>
      <c r="M367" s="80" t="str">
        <f t="shared" si="173"/>
        <v>IE-WH</v>
      </c>
      <c r="N367" s="80" t="str">
        <f t="shared" si="173"/>
        <v>IE-WX</v>
      </c>
      <c r="O367" s="80" t="str">
        <f t="shared" si="173"/>
        <v>IE-WW</v>
      </c>
      <c r="P367" s="80" t="str">
        <f t="shared" si="173"/>
        <v>IE-CE</v>
      </c>
      <c r="Q367" s="80" t="str">
        <f t="shared" si="173"/>
        <v>IE-CO</v>
      </c>
      <c r="R367" s="80" t="str">
        <f t="shared" si="173"/>
        <v>IE-KY</v>
      </c>
      <c r="S367" s="80" t="str">
        <f t="shared" si="173"/>
        <v>IE-LK</v>
      </c>
      <c r="T367" s="80" t="str">
        <f t="shared" si="173"/>
        <v>IE-TA</v>
      </c>
      <c r="U367" s="80" t="str">
        <f t="shared" si="173"/>
        <v>IE-WD</v>
      </c>
      <c r="V367" s="80" t="str">
        <f t="shared" si="173"/>
        <v>IE-G</v>
      </c>
      <c r="W367" s="80" t="str">
        <f t="shared" si="173"/>
        <v>IE-LM</v>
      </c>
      <c r="X367" s="80" t="str">
        <f t="shared" si="173"/>
        <v>IE-MO</v>
      </c>
      <c r="Y367" s="80" t="str">
        <f t="shared" si="173"/>
        <v>IE-RN</v>
      </c>
      <c r="Z367" s="80" t="str">
        <f t="shared" si="173"/>
        <v>IE-SO</v>
      </c>
      <c r="AA367" s="80" t="str">
        <f t="shared" si="173"/>
        <v>IE-CN</v>
      </c>
      <c r="AB367" s="80" t="str">
        <f t="shared" si="173"/>
        <v>IE-DL</v>
      </c>
      <c r="AC367" s="80" t="str">
        <f t="shared" si="173"/>
        <v>IE-MN</v>
      </c>
    </row>
    <row r="368" spans="1:29">
      <c r="A368" s="766" t="s">
        <v>1010</v>
      </c>
      <c r="B368" t="s">
        <v>636</v>
      </c>
      <c r="C368" s="30">
        <v>229657</v>
      </c>
      <c r="D368" s="30">
        <v>3711</v>
      </c>
      <c r="E368" s="30">
        <v>48144</v>
      </c>
      <c r="F368" s="30">
        <v>9597</v>
      </c>
      <c r="G368" s="30">
        <v>4919</v>
      </c>
      <c r="H368" s="30">
        <v>3043</v>
      </c>
      <c r="I368" s="30">
        <v>2475</v>
      </c>
      <c r="J368" s="30">
        <v>4988</v>
      </c>
      <c r="K368" s="30">
        <v>8559</v>
      </c>
      <c r="L368" s="30">
        <v>4284</v>
      </c>
      <c r="M368" s="30">
        <v>5530</v>
      </c>
      <c r="N368" s="30">
        <v>8717</v>
      </c>
      <c r="O368" s="30">
        <v>4898</v>
      </c>
      <c r="P368" s="30">
        <v>6532</v>
      </c>
      <c r="Q368" s="30">
        <v>28505</v>
      </c>
      <c r="R368" s="30">
        <v>8217</v>
      </c>
      <c r="S368" s="30">
        <v>7756</v>
      </c>
      <c r="T368" s="30">
        <v>8701</v>
      </c>
      <c r="U368" s="30">
        <v>5432</v>
      </c>
      <c r="V368" s="30">
        <v>14036</v>
      </c>
      <c r="W368" s="30">
        <v>2540</v>
      </c>
      <c r="X368" s="30">
        <v>9106</v>
      </c>
      <c r="Y368" s="30">
        <v>4418</v>
      </c>
      <c r="Z368" s="30">
        <v>4261</v>
      </c>
      <c r="AA368" s="30">
        <v>5521</v>
      </c>
      <c r="AB368" s="30">
        <v>10888</v>
      </c>
      <c r="AC368" s="30">
        <v>4878</v>
      </c>
    </row>
    <row r="369" spans="1:29">
      <c r="A369" s="766"/>
      <c r="B369" t="s">
        <v>637</v>
      </c>
      <c r="C369" s="30">
        <v>92117</v>
      </c>
      <c r="D369" s="30">
        <v>1561</v>
      </c>
      <c r="E369" s="30">
        <v>19530</v>
      </c>
      <c r="F369" s="30">
        <v>4829</v>
      </c>
      <c r="G369" s="30">
        <v>2340</v>
      </c>
      <c r="H369" s="30">
        <v>2319</v>
      </c>
      <c r="I369" s="30">
        <v>1054</v>
      </c>
      <c r="J369" s="30">
        <v>2166</v>
      </c>
      <c r="K369" s="30">
        <v>4322</v>
      </c>
      <c r="L369" s="30">
        <v>1753</v>
      </c>
      <c r="M369" s="30">
        <v>2065</v>
      </c>
      <c r="N369" s="30">
        <v>3492</v>
      </c>
      <c r="O369" s="30">
        <v>3935</v>
      </c>
      <c r="P369" s="30">
        <v>2286</v>
      </c>
      <c r="Q369" s="30">
        <v>9293</v>
      </c>
      <c r="R369" s="30">
        <v>2924</v>
      </c>
      <c r="S369" s="30">
        <v>4251</v>
      </c>
      <c r="T369" s="30">
        <v>3802</v>
      </c>
      <c r="U369" s="30">
        <v>2165</v>
      </c>
      <c r="V369" s="30">
        <v>4748</v>
      </c>
      <c r="W369" s="30">
        <v>655</v>
      </c>
      <c r="X369" s="30">
        <v>3424</v>
      </c>
      <c r="Y369" s="30">
        <v>1492</v>
      </c>
      <c r="Z369" s="30">
        <v>1348</v>
      </c>
      <c r="AA369" s="30">
        <v>1856</v>
      </c>
      <c r="AB369" s="30">
        <v>2709</v>
      </c>
      <c r="AC369" s="30">
        <v>1798</v>
      </c>
    </row>
    <row r="370" spans="1:29">
      <c r="A370" s="766" t="s">
        <v>1011</v>
      </c>
      <c r="B370" t="s">
        <v>638</v>
      </c>
      <c r="C370" s="30">
        <v>4540</v>
      </c>
      <c r="D370" s="30">
        <v>61</v>
      </c>
      <c r="E370" s="30">
        <v>1127</v>
      </c>
      <c r="F370" s="30">
        <v>228</v>
      </c>
      <c r="G370" s="30">
        <v>101</v>
      </c>
      <c r="H370" s="30">
        <v>89</v>
      </c>
      <c r="I370" s="30">
        <v>51</v>
      </c>
      <c r="J370" s="30">
        <v>152</v>
      </c>
      <c r="K370" s="30">
        <v>179</v>
      </c>
      <c r="L370" s="30">
        <v>70</v>
      </c>
      <c r="M370" s="30">
        <v>86</v>
      </c>
      <c r="N370" s="30">
        <v>151</v>
      </c>
      <c r="O370" s="30">
        <v>108</v>
      </c>
      <c r="P370" s="30">
        <v>103</v>
      </c>
      <c r="Q370" s="30">
        <v>552</v>
      </c>
      <c r="R370" s="30">
        <v>112</v>
      </c>
      <c r="S370" s="30">
        <v>239</v>
      </c>
      <c r="T370" s="30">
        <v>201</v>
      </c>
      <c r="U370" s="30">
        <v>105</v>
      </c>
      <c r="V370" s="30">
        <v>254</v>
      </c>
      <c r="W370" s="30">
        <v>30</v>
      </c>
      <c r="X370" s="30">
        <v>113</v>
      </c>
      <c r="Y370" s="30">
        <v>56</v>
      </c>
      <c r="Z370" s="30">
        <v>99</v>
      </c>
      <c r="AA370" s="30">
        <v>73</v>
      </c>
      <c r="AB370" s="30">
        <v>134</v>
      </c>
      <c r="AC370" s="30">
        <v>68</v>
      </c>
    </row>
    <row r="371" spans="1:29">
      <c r="A371" s="766"/>
      <c r="B371" t="s">
        <v>639</v>
      </c>
      <c r="C371" s="30">
        <v>6494</v>
      </c>
      <c r="D371" s="30">
        <v>86</v>
      </c>
      <c r="E371" s="30">
        <v>1839</v>
      </c>
      <c r="F371" s="30">
        <v>325</v>
      </c>
      <c r="G371" s="30">
        <v>148</v>
      </c>
      <c r="H371" s="30">
        <v>128</v>
      </c>
      <c r="I371" s="30">
        <v>83</v>
      </c>
      <c r="J371" s="30">
        <v>220</v>
      </c>
      <c r="K371" s="30">
        <v>300</v>
      </c>
      <c r="L371" s="30">
        <v>96</v>
      </c>
      <c r="M371" s="30">
        <v>112</v>
      </c>
      <c r="N371" s="30">
        <v>238</v>
      </c>
      <c r="O371" s="30">
        <v>99</v>
      </c>
      <c r="P371" s="30">
        <v>117</v>
      </c>
      <c r="Q371" s="30">
        <v>615</v>
      </c>
      <c r="R371" s="30">
        <v>150</v>
      </c>
      <c r="S371" s="30">
        <v>461</v>
      </c>
      <c r="T371" s="30">
        <v>208</v>
      </c>
      <c r="U371" s="30">
        <v>102</v>
      </c>
      <c r="V371" s="30">
        <v>293</v>
      </c>
      <c r="W371" s="30">
        <v>44</v>
      </c>
      <c r="X371" s="30">
        <v>148</v>
      </c>
      <c r="Y371" s="30">
        <v>92</v>
      </c>
      <c r="Z371" s="30">
        <v>106</v>
      </c>
      <c r="AA371" s="30">
        <v>111</v>
      </c>
      <c r="AB371" s="30">
        <v>184</v>
      </c>
      <c r="AC371" s="30">
        <v>188</v>
      </c>
    </row>
    <row r="372" spans="1:29">
      <c r="A372" s="766" t="s">
        <v>1012</v>
      </c>
      <c r="B372" t="s">
        <v>640</v>
      </c>
      <c r="C372" s="30">
        <v>8222</v>
      </c>
      <c r="D372" s="30">
        <v>137</v>
      </c>
      <c r="E372" s="30">
        <v>1618</v>
      </c>
      <c r="F372" s="30">
        <v>431</v>
      </c>
      <c r="G372" s="30">
        <v>252</v>
      </c>
      <c r="H372" s="30">
        <v>159</v>
      </c>
      <c r="I372" s="30">
        <v>83</v>
      </c>
      <c r="J372" s="30">
        <v>323</v>
      </c>
      <c r="K372" s="30">
        <v>592</v>
      </c>
      <c r="L372" s="30">
        <v>94</v>
      </c>
      <c r="M372" s="30">
        <v>118</v>
      </c>
      <c r="N372" s="30">
        <v>721</v>
      </c>
      <c r="O372" s="30">
        <v>134</v>
      </c>
      <c r="P372" s="30">
        <v>109</v>
      </c>
      <c r="Q372" s="30">
        <v>769</v>
      </c>
      <c r="R372" s="30">
        <v>139</v>
      </c>
      <c r="S372" s="30">
        <v>261</v>
      </c>
      <c r="T372" s="30">
        <v>301</v>
      </c>
      <c r="U372" s="30">
        <v>149</v>
      </c>
      <c r="V372" s="30">
        <v>329</v>
      </c>
      <c r="W372" s="30">
        <v>50</v>
      </c>
      <c r="X372" s="30">
        <v>212</v>
      </c>
      <c r="Y372" s="30">
        <v>129</v>
      </c>
      <c r="Z372" s="30">
        <v>87</v>
      </c>
      <c r="AA372" s="30">
        <v>262</v>
      </c>
      <c r="AB372" s="30">
        <v>332</v>
      </c>
      <c r="AC372" s="30">
        <v>430</v>
      </c>
    </row>
    <row r="373" spans="1:29">
      <c r="A373" s="766"/>
      <c r="B373" t="s">
        <v>641</v>
      </c>
      <c r="C373" s="30">
        <v>13429</v>
      </c>
      <c r="D373" s="30">
        <v>253</v>
      </c>
      <c r="E373" s="30">
        <v>2265</v>
      </c>
      <c r="F373" s="30">
        <v>681</v>
      </c>
      <c r="G373" s="30">
        <v>461</v>
      </c>
      <c r="H373" s="30">
        <v>296</v>
      </c>
      <c r="I373" s="30">
        <v>193</v>
      </c>
      <c r="J373" s="30">
        <v>294</v>
      </c>
      <c r="K373" s="30">
        <v>832</v>
      </c>
      <c r="L373" s="30">
        <v>229</v>
      </c>
      <c r="M373" s="30">
        <v>198</v>
      </c>
      <c r="N373" s="30">
        <v>669</v>
      </c>
      <c r="O373" s="30">
        <v>262</v>
      </c>
      <c r="P373" s="30">
        <v>288</v>
      </c>
      <c r="Q373" s="30">
        <v>1789</v>
      </c>
      <c r="R373" s="30">
        <v>377</v>
      </c>
      <c r="S373" s="30">
        <v>680</v>
      </c>
      <c r="T373" s="30">
        <v>749</v>
      </c>
      <c r="U373" s="30">
        <v>209</v>
      </c>
      <c r="V373" s="30">
        <v>697</v>
      </c>
      <c r="W373" s="30">
        <v>85</v>
      </c>
      <c r="X373" s="30">
        <v>358</v>
      </c>
      <c r="Y373" s="30">
        <v>197</v>
      </c>
      <c r="Z373" s="30">
        <v>145</v>
      </c>
      <c r="AA373" s="30">
        <v>226</v>
      </c>
      <c r="AB373" s="30">
        <v>388</v>
      </c>
      <c r="AC373" s="30">
        <v>606</v>
      </c>
    </row>
    <row r="374" spans="1:29">
      <c r="A374" s="107"/>
      <c r="B374" s="107" t="s">
        <v>16</v>
      </c>
      <c r="C374" s="194">
        <f>SUM(C368:C373)</f>
        <v>354459</v>
      </c>
      <c r="D374" s="194">
        <f t="shared" ref="D374" si="174">SUM(D368:D373)</f>
        <v>5809</v>
      </c>
      <c r="E374" s="194">
        <f t="shared" ref="E374" si="175">SUM(E368:E373)</f>
        <v>74523</v>
      </c>
      <c r="F374" s="194">
        <f t="shared" ref="F374" si="176">SUM(F368:F373)</f>
        <v>16091</v>
      </c>
      <c r="G374" s="194">
        <f t="shared" ref="G374" si="177">SUM(G368:G373)</f>
        <v>8221</v>
      </c>
      <c r="H374" s="194">
        <f t="shared" ref="H374" si="178">SUM(H368:H373)</f>
        <v>6034</v>
      </c>
      <c r="I374" s="194">
        <f t="shared" ref="I374" si="179">SUM(I368:I373)</f>
        <v>3939</v>
      </c>
      <c r="J374" s="194">
        <f t="shared" ref="J374" si="180">SUM(J368:J373)</f>
        <v>8143</v>
      </c>
      <c r="K374" s="194">
        <f t="shared" ref="K374" si="181">SUM(K368:K373)</f>
        <v>14784</v>
      </c>
      <c r="L374" s="194">
        <f t="shared" ref="L374" si="182">SUM(L368:L373)</f>
        <v>6526</v>
      </c>
      <c r="M374" s="194">
        <f t="shared" ref="M374" si="183">SUM(M368:M373)</f>
        <v>8109</v>
      </c>
      <c r="N374" s="194">
        <f t="shared" ref="N374" si="184">SUM(N368:N373)</f>
        <v>13988</v>
      </c>
      <c r="O374" s="194">
        <f t="shared" ref="O374" si="185">SUM(O368:O373)</f>
        <v>9436</v>
      </c>
      <c r="P374" s="194">
        <f t="shared" ref="P374" si="186">SUM(P368:P373)</f>
        <v>9435</v>
      </c>
      <c r="Q374" s="194">
        <f t="shared" ref="Q374" si="187">SUM(Q368:Q373)</f>
        <v>41523</v>
      </c>
      <c r="R374" s="194">
        <f t="shared" ref="R374" si="188">SUM(R368:R373)</f>
        <v>11919</v>
      </c>
      <c r="S374" s="194">
        <f t="shared" ref="S374" si="189">SUM(S368:S373)</f>
        <v>13648</v>
      </c>
      <c r="T374" s="194">
        <f t="shared" ref="T374" si="190">SUM(T368:T373)</f>
        <v>13962</v>
      </c>
      <c r="U374" s="194">
        <f t="shared" ref="U374" si="191">SUM(U368:U373)</f>
        <v>8162</v>
      </c>
      <c r="V374" s="194">
        <f t="shared" ref="V374" si="192">SUM(V368:V373)</f>
        <v>20357</v>
      </c>
      <c r="W374" s="194">
        <f t="shared" ref="W374" si="193">SUM(W368:W373)</f>
        <v>3404</v>
      </c>
      <c r="X374" s="194">
        <f t="shared" ref="X374" si="194">SUM(X368:X373)</f>
        <v>13361</v>
      </c>
      <c r="Y374" s="194">
        <f t="shared" ref="Y374" si="195">SUM(Y368:Y373)</f>
        <v>6384</v>
      </c>
      <c r="Z374" s="194">
        <f t="shared" ref="Z374" si="196">SUM(Z368:Z373)</f>
        <v>6046</v>
      </c>
      <c r="AA374" s="194">
        <f t="shared" ref="AA374" si="197">SUM(AA368:AA373)</f>
        <v>8049</v>
      </c>
      <c r="AB374" s="194">
        <f t="shared" ref="AB374" si="198">SUM(AB368:AB373)</f>
        <v>14635</v>
      </c>
      <c r="AC374" s="194">
        <f t="shared" ref="AC374" si="199">SUM(AC368:AC373)</f>
        <v>7968</v>
      </c>
    </row>
    <row r="375" spans="1:29">
      <c r="A375" t="s">
        <v>643</v>
      </c>
    </row>
    <row r="379" spans="1:29" ht="15.5">
      <c r="A379" s="101" t="s">
        <v>645</v>
      </c>
    </row>
    <row r="380" spans="1:29" ht="17.5">
      <c r="A380" s="82" t="s">
        <v>1013</v>
      </c>
      <c r="B380" s="82" t="s">
        <v>642</v>
      </c>
      <c r="C380" s="80" t="str">
        <f t="shared" ref="C380:AC380" si="200">C342</f>
        <v>IE</v>
      </c>
      <c r="D380" s="80" t="str">
        <f t="shared" si="200"/>
        <v>IE-CW</v>
      </c>
      <c r="E380" s="80" t="str">
        <f t="shared" si="200"/>
        <v>IE-D</v>
      </c>
      <c r="F380" s="80" t="str">
        <f t="shared" si="200"/>
        <v>IE-KE</v>
      </c>
      <c r="G380" s="80" t="str">
        <f t="shared" si="200"/>
        <v>IE-KK</v>
      </c>
      <c r="H380" s="80" t="str">
        <f t="shared" si="200"/>
        <v>IE-LS</v>
      </c>
      <c r="I380" s="80" t="str">
        <f t="shared" si="200"/>
        <v>IE-LD</v>
      </c>
      <c r="J380" s="80" t="str">
        <f t="shared" si="200"/>
        <v>IE-LH</v>
      </c>
      <c r="K380" s="80" t="str">
        <f t="shared" si="200"/>
        <v>IE-MH</v>
      </c>
      <c r="L380" s="80" t="str">
        <f t="shared" si="200"/>
        <v>IE-OY</v>
      </c>
      <c r="M380" s="80" t="str">
        <f t="shared" si="200"/>
        <v>IE-WH</v>
      </c>
      <c r="N380" s="80" t="str">
        <f t="shared" si="200"/>
        <v>IE-WX</v>
      </c>
      <c r="O380" s="80" t="str">
        <f t="shared" si="200"/>
        <v>IE-WW</v>
      </c>
      <c r="P380" s="80" t="str">
        <f t="shared" si="200"/>
        <v>IE-CE</v>
      </c>
      <c r="Q380" s="80" t="str">
        <f t="shared" si="200"/>
        <v>IE-CO</v>
      </c>
      <c r="R380" s="80" t="str">
        <f t="shared" si="200"/>
        <v>IE-KY</v>
      </c>
      <c r="S380" s="80" t="str">
        <f t="shared" si="200"/>
        <v>IE-LK</v>
      </c>
      <c r="T380" s="80" t="str">
        <f t="shared" si="200"/>
        <v>IE-TA</v>
      </c>
      <c r="U380" s="80" t="str">
        <f t="shared" si="200"/>
        <v>IE-WD</v>
      </c>
      <c r="V380" s="80" t="str">
        <f t="shared" si="200"/>
        <v>IE-G</v>
      </c>
      <c r="W380" s="80" t="str">
        <f t="shared" si="200"/>
        <v>IE-LM</v>
      </c>
      <c r="X380" s="80" t="str">
        <f t="shared" si="200"/>
        <v>IE-MO</v>
      </c>
      <c r="Y380" s="80" t="str">
        <f t="shared" si="200"/>
        <v>IE-RN</v>
      </c>
      <c r="Z380" s="80" t="str">
        <f t="shared" si="200"/>
        <v>IE-SO</v>
      </c>
      <c r="AA380" s="80" t="str">
        <f t="shared" si="200"/>
        <v>IE-CN</v>
      </c>
      <c r="AB380" s="80" t="str">
        <f t="shared" si="200"/>
        <v>IE-DL</v>
      </c>
      <c r="AC380" s="80" t="str">
        <f t="shared" si="200"/>
        <v>IE-MN</v>
      </c>
    </row>
    <row r="381" spans="1:29">
      <c r="A381" s="766" t="s">
        <v>1010</v>
      </c>
      <c r="B381" t="s">
        <v>636</v>
      </c>
      <c r="C381">
        <v>4320</v>
      </c>
      <c r="D381">
        <v>68</v>
      </c>
      <c r="E381">
        <v>1005</v>
      </c>
      <c r="F381">
        <v>189</v>
      </c>
      <c r="G381">
        <v>86</v>
      </c>
      <c r="H381">
        <v>56</v>
      </c>
      <c r="I381">
        <v>45</v>
      </c>
      <c r="J381">
        <v>96</v>
      </c>
      <c r="K381">
        <v>165</v>
      </c>
      <c r="L381">
        <v>80</v>
      </c>
      <c r="M381">
        <v>107</v>
      </c>
      <c r="N381">
        <v>165</v>
      </c>
      <c r="O381">
        <v>87</v>
      </c>
      <c r="P381">
        <v>121</v>
      </c>
      <c r="Q381">
        <v>507</v>
      </c>
      <c r="R381">
        <v>145</v>
      </c>
      <c r="S381">
        <v>145</v>
      </c>
      <c r="T381">
        <v>155</v>
      </c>
      <c r="U381">
        <v>96</v>
      </c>
      <c r="V381">
        <v>262</v>
      </c>
      <c r="W381">
        <v>46</v>
      </c>
      <c r="X381">
        <v>163</v>
      </c>
      <c r="Y381">
        <v>82</v>
      </c>
      <c r="Z381">
        <v>76</v>
      </c>
      <c r="AA381">
        <v>98</v>
      </c>
      <c r="AB381">
        <v>189</v>
      </c>
      <c r="AC381">
        <v>88</v>
      </c>
    </row>
    <row r="382" spans="1:29">
      <c r="A382" s="766"/>
      <c r="B382" t="s">
        <v>637</v>
      </c>
      <c r="C382">
        <v>2098</v>
      </c>
      <c r="D382">
        <v>36</v>
      </c>
      <c r="E382">
        <v>466</v>
      </c>
      <c r="F382">
        <v>112</v>
      </c>
      <c r="G382">
        <v>53</v>
      </c>
      <c r="H382">
        <v>53</v>
      </c>
      <c r="I382">
        <v>24</v>
      </c>
      <c r="J382">
        <v>49</v>
      </c>
      <c r="K382">
        <v>107</v>
      </c>
      <c r="L382">
        <v>38</v>
      </c>
      <c r="M382">
        <v>45</v>
      </c>
      <c r="N382">
        <v>78</v>
      </c>
      <c r="O382">
        <v>87</v>
      </c>
      <c r="P382">
        <v>51</v>
      </c>
      <c r="Q382">
        <v>201</v>
      </c>
      <c r="R382">
        <v>65</v>
      </c>
      <c r="S382">
        <v>100</v>
      </c>
      <c r="T382">
        <v>84</v>
      </c>
      <c r="U382">
        <v>43</v>
      </c>
      <c r="V382">
        <v>105</v>
      </c>
      <c r="W382">
        <v>15</v>
      </c>
      <c r="X382">
        <v>78</v>
      </c>
      <c r="Y382">
        <v>34</v>
      </c>
      <c r="Z382">
        <v>29</v>
      </c>
      <c r="AA382">
        <v>45</v>
      </c>
      <c r="AB382">
        <v>58</v>
      </c>
      <c r="AC382">
        <v>43</v>
      </c>
    </row>
    <row r="383" spans="1:29">
      <c r="A383" s="766" t="s">
        <v>1011</v>
      </c>
      <c r="B383" t="s">
        <v>638</v>
      </c>
      <c r="C383">
        <v>113</v>
      </c>
      <c r="D383">
        <v>2</v>
      </c>
      <c r="E383">
        <v>33</v>
      </c>
      <c r="F383">
        <v>4</v>
      </c>
      <c r="G383">
        <v>2</v>
      </c>
      <c r="H383">
        <v>2</v>
      </c>
      <c r="I383">
        <v>1</v>
      </c>
      <c r="J383">
        <v>4</v>
      </c>
      <c r="K383">
        <v>4</v>
      </c>
      <c r="L383">
        <v>1</v>
      </c>
      <c r="M383">
        <v>2</v>
      </c>
      <c r="N383">
        <v>4</v>
      </c>
      <c r="O383">
        <v>2</v>
      </c>
      <c r="P383">
        <v>2</v>
      </c>
      <c r="Q383">
        <v>15</v>
      </c>
      <c r="R383">
        <v>2</v>
      </c>
      <c r="S383">
        <v>6</v>
      </c>
      <c r="T383">
        <v>5</v>
      </c>
      <c r="U383">
        <v>2</v>
      </c>
      <c r="V383">
        <v>6</v>
      </c>
      <c r="W383">
        <v>1</v>
      </c>
      <c r="X383">
        <v>2</v>
      </c>
      <c r="Y383">
        <v>2</v>
      </c>
      <c r="Z383">
        <v>2</v>
      </c>
      <c r="AA383">
        <v>2</v>
      </c>
      <c r="AB383">
        <v>3</v>
      </c>
      <c r="AC383">
        <v>2</v>
      </c>
    </row>
    <row r="384" spans="1:29">
      <c r="A384" s="766"/>
      <c r="B384" t="s">
        <v>639</v>
      </c>
      <c r="C384">
        <v>220</v>
      </c>
      <c r="D384">
        <v>3</v>
      </c>
      <c r="E384">
        <v>69</v>
      </c>
      <c r="F384">
        <v>11</v>
      </c>
      <c r="G384">
        <v>4</v>
      </c>
      <c r="H384">
        <v>4</v>
      </c>
      <c r="I384">
        <v>2</v>
      </c>
      <c r="J384">
        <v>8</v>
      </c>
      <c r="K384">
        <v>10</v>
      </c>
      <c r="L384">
        <v>3</v>
      </c>
      <c r="M384">
        <v>4</v>
      </c>
      <c r="N384">
        <v>9</v>
      </c>
      <c r="O384">
        <v>3</v>
      </c>
      <c r="P384">
        <v>3</v>
      </c>
      <c r="Q384">
        <v>19</v>
      </c>
      <c r="R384">
        <v>5</v>
      </c>
      <c r="S384">
        <v>16</v>
      </c>
      <c r="T384">
        <v>6</v>
      </c>
      <c r="U384">
        <v>3</v>
      </c>
      <c r="V384">
        <v>9</v>
      </c>
      <c r="W384">
        <v>1</v>
      </c>
      <c r="X384">
        <v>5</v>
      </c>
      <c r="Y384">
        <v>4</v>
      </c>
      <c r="Z384">
        <v>3</v>
      </c>
      <c r="AA384">
        <v>4</v>
      </c>
      <c r="AB384">
        <v>5</v>
      </c>
      <c r="AC384">
        <v>6</v>
      </c>
    </row>
    <row r="385" spans="1:29">
      <c r="A385" s="766" t="s">
        <v>1012</v>
      </c>
      <c r="B385" t="s">
        <v>640</v>
      </c>
      <c r="C385">
        <v>360</v>
      </c>
      <c r="D385">
        <v>5</v>
      </c>
      <c r="E385">
        <v>71</v>
      </c>
      <c r="F385">
        <v>22</v>
      </c>
      <c r="G385">
        <v>13</v>
      </c>
      <c r="H385">
        <v>7</v>
      </c>
      <c r="I385">
        <v>3</v>
      </c>
      <c r="J385">
        <v>15</v>
      </c>
      <c r="K385">
        <v>30</v>
      </c>
      <c r="L385">
        <v>3</v>
      </c>
      <c r="M385">
        <v>5</v>
      </c>
      <c r="N385">
        <v>34</v>
      </c>
      <c r="O385">
        <v>5</v>
      </c>
      <c r="P385">
        <v>4</v>
      </c>
      <c r="Q385">
        <v>35</v>
      </c>
      <c r="R385">
        <v>5</v>
      </c>
      <c r="S385">
        <v>12</v>
      </c>
      <c r="T385">
        <v>10</v>
      </c>
      <c r="U385">
        <v>6</v>
      </c>
      <c r="V385">
        <v>11</v>
      </c>
      <c r="W385">
        <v>2</v>
      </c>
      <c r="X385">
        <v>6</v>
      </c>
      <c r="Y385">
        <v>5</v>
      </c>
      <c r="Z385">
        <v>3</v>
      </c>
      <c r="AA385">
        <v>14</v>
      </c>
      <c r="AB385">
        <v>12</v>
      </c>
      <c r="AC385">
        <v>20</v>
      </c>
    </row>
    <row r="386" spans="1:29">
      <c r="A386" s="766"/>
      <c r="B386" t="s">
        <v>641</v>
      </c>
      <c r="C386">
        <v>780</v>
      </c>
      <c r="D386">
        <v>16</v>
      </c>
      <c r="E386">
        <v>126</v>
      </c>
      <c r="F386">
        <v>40</v>
      </c>
      <c r="G386">
        <v>30</v>
      </c>
      <c r="H386">
        <v>19</v>
      </c>
      <c r="I386">
        <v>12</v>
      </c>
      <c r="J386">
        <v>17</v>
      </c>
      <c r="K386">
        <v>42</v>
      </c>
      <c r="L386">
        <v>14</v>
      </c>
      <c r="M386">
        <v>11</v>
      </c>
      <c r="N386">
        <v>44</v>
      </c>
      <c r="O386">
        <v>16</v>
      </c>
      <c r="P386">
        <v>17</v>
      </c>
      <c r="Q386">
        <v>101</v>
      </c>
      <c r="R386">
        <v>21</v>
      </c>
      <c r="S386">
        <v>42</v>
      </c>
      <c r="T386">
        <v>42</v>
      </c>
      <c r="U386">
        <v>13</v>
      </c>
      <c r="V386">
        <v>35</v>
      </c>
      <c r="W386">
        <v>5</v>
      </c>
      <c r="X386">
        <v>16</v>
      </c>
      <c r="Y386">
        <v>11</v>
      </c>
      <c r="Z386">
        <v>8</v>
      </c>
      <c r="AA386">
        <v>16</v>
      </c>
      <c r="AB386">
        <v>23</v>
      </c>
      <c r="AC386">
        <v>41</v>
      </c>
    </row>
    <row r="387" spans="1:29">
      <c r="A387" s="107"/>
      <c r="B387" s="107" t="s">
        <v>16</v>
      </c>
      <c r="C387" s="193">
        <f>SUM(C381:C386)</f>
        <v>7891</v>
      </c>
      <c r="D387" s="193">
        <f t="shared" ref="D387:AC387" si="201">SUM(D381:D386)</f>
        <v>130</v>
      </c>
      <c r="E387" s="193">
        <f t="shared" si="201"/>
        <v>1770</v>
      </c>
      <c r="F387" s="193">
        <f t="shared" si="201"/>
        <v>378</v>
      </c>
      <c r="G387" s="193">
        <f t="shared" si="201"/>
        <v>188</v>
      </c>
      <c r="H387" s="193">
        <f t="shared" si="201"/>
        <v>141</v>
      </c>
      <c r="I387" s="193">
        <f t="shared" si="201"/>
        <v>87</v>
      </c>
      <c r="J387" s="193">
        <f t="shared" si="201"/>
        <v>189</v>
      </c>
      <c r="K387" s="193">
        <f t="shared" si="201"/>
        <v>358</v>
      </c>
      <c r="L387" s="193">
        <f t="shared" si="201"/>
        <v>139</v>
      </c>
      <c r="M387" s="193">
        <f t="shared" si="201"/>
        <v>174</v>
      </c>
      <c r="N387" s="193">
        <f t="shared" si="201"/>
        <v>334</v>
      </c>
      <c r="O387" s="193">
        <f t="shared" si="201"/>
        <v>200</v>
      </c>
      <c r="P387" s="193">
        <f t="shared" si="201"/>
        <v>198</v>
      </c>
      <c r="Q387" s="193">
        <f t="shared" si="201"/>
        <v>878</v>
      </c>
      <c r="R387" s="193">
        <f t="shared" si="201"/>
        <v>243</v>
      </c>
      <c r="S387" s="193">
        <f t="shared" si="201"/>
        <v>321</v>
      </c>
      <c r="T387" s="193">
        <f t="shared" si="201"/>
        <v>302</v>
      </c>
      <c r="U387" s="193">
        <f t="shared" si="201"/>
        <v>163</v>
      </c>
      <c r="V387" s="193">
        <f t="shared" si="201"/>
        <v>428</v>
      </c>
      <c r="W387" s="193">
        <f t="shared" si="201"/>
        <v>70</v>
      </c>
      <c r="X387" s="193">
        <f t="shared" si="201"/>
        <v>270</v>
      </c>
      <c r="Y387" s="193">
        <f t="shared" si="201"/>
        <v>138</v>
      </c>
      <c r="Z387" s="193">
        <f t="shared" si="201"/>
        <v>121</v>
      </c>
      <c r="AA387" s="193">
        <f t="shared" si="201"/>
        <v>179</v>
      </c>
      <c r="AB387" s="193">
        <f t="shared" si="201"/>
        <v>290</v>
      </c>
      <c r="AC387" s="193">
        <f t="shared" si="201"/>
        <v>200</v>
      </c>
    </row>
    <row r="388" spans="1:29">
      <c r="A388" t="s">
        <v>643</v>
      </c>
    </row>
    <row r="392" spans="1:29" ht="15.5">
      <c r="A392" s="101" t="s">
        <v>1057</v>
      </c>
    </row>
    <row r="393" spans="1:29">
      <c r="A393" s="82" t="s">
        <v>676</v>
      </c>
      <c r="B393" s="82" t="s">
        <v>1056</v>
      </c>
      <c r="C393" s="80" t="str">
        <f>C380</f>
        <v>IE</v>
      </c>
      <c r="D393" s="80" t="str">
        <f t="shared" ref="D393:AC393" si="202">D380</f>
        <v>IE-CW</v>
      </c>
      <c r="E393" s="80" t="str">
        <f t="shared" si="202"/>
        <v>IE-D</v>
      </c>
      <c r="F393" s="80" t="str">
        <f t="shared" si="202"/>
        <v>IE-KE</v>
      </c>
      <c r="G393" s="80" t="str">
        <f t="shared" si="202"/>
        <v>IE-KK</v>
      </c>
      <c r="H393" s="80" t="str">
        <f t="shared" si="202"/>
        <v>IE-LS</v>
      </c>
      <c r="I393" s="80" t="str">
        <f t="shared" si="202"/>
        <v>IE-LD</v>
      </c>
      <c r="J393" s="80" t="str">
        <f t="shared" si="202"/>
        <v>IE-LH</v>
      </c>
      <c r="K393" s="80" t="str">
        <f t="shared" si="202"/>
        <v>IE-MH</v>
      </c>
      <c r="L393" s="80" t="str">
        <f t="shared" si="202"/>
        <v>IE-OY</v>
      </c>
      <c r="M393" s="80" t="str">
        <f t="shared" si="202"/>
        <v>IE-WH</v>
      </c>
      <c r="N393" s="80" t="str">
        <f t="shared" si="202"/>
        <v>IE-WX</v>
      </c>
      <c r="O393" s="80" t="str">
        <f t="shared" si="202"/>
        <v>IE-WW</v>
      </c>
      <c r="P393" s="80" t="str">
        <f t="shared" si="202"/>
        <v>IE-CE</v>
      </c>
      <c r="Q393" s="80" t="str">
        <f t="shared" si="202"/>
        <v>IE-CO</v>
      </c>
      <c r="R393" s="80" t="str">
        <f t="shared" si="202"/>
        <v>IE-KY</v>
      </c>
      <c r="S393" s="80" t="str">
        <f t="shared" si="202"/>
        <v>IE-LK</v>
      </c>
      <c r="T393" s="80" t="str">
        <f t="shared" si="202"/>
        <v>IE-TA</v>
      </c>
      <c r="U393" s="80" t="str">
        <f t="shared" si="202"/>
        <v>IE-WD</v>
      </c>
      <c r="V393" s="80" t="str">
        <f t="shared" si="202"/>
        <v>IE-G</v>
      </c>
      <c r="W393" s="80" t="str">
        <f t="shared" si="202"/>
        <v>IE-LM</v>
      </c>
      <c r="X393" s="80" t="str">
        <f t="shared" si="202"/>
        <v>IE-MO</v>
      </c>
      <c r="Y393" s="80" t="str">
        <f t="shared" si="202"/>
        <v>IE-RN</v>
      </c>
      <c r="Z393" s="80" t="str">
        <f t="shared" si="202"/>
        <v>IE-SO</v>
      </c>
      <c r="AA393" s="80" t="str">
        <f t="shared" si="202"/>
        <v>IE-CN</v>
      </c>
      <c r="AB393" s="80" t="str">
        <f t="shared" si="202"/>
        <v>IE-DL</v>
      </c>
      <c r="AC393" s="80" t="str">
        <f t="shared" si="202"/>
        <v>IE-MN</v>
      </c>
    </row>
    <row r="394" spans="1:29">
      <c r="A394" t="s">
        <v>1053</v>
      </c>
      <c r="B394" t="s">
        <v>1047</v>
      </c>
      <c r="C394" s="30">
        <f>((C368*AF!D133*ACT2FLO!E70)+(C369*AF!D134*ACT2FLO!E71))/1000000</f>
        <v>275.993624899</v>
      </c>
      <c r="D394" s="30">
        <f>((D368*AF!E133*ACT2FLO!F70)+(D369*AF!E134*ACT2FLO!F71))/1000000</f>
        <v>4.4664439269999994</v>
      </c>
      <c r="E394" s="30">
        <f>((E368*AF!F133*ACT2FLO!G70)+(E369*AF!F134*ACT2FLO!G71))/1000000</f>
        <v>63.264013847999998</v>
      </c>
      <c r="F394" s="30">
        <f>((F368*AF!G133*ACT2FLO!H70)+(F369*AF!G134*ACT2FLO!H71))/1000000</f>
        <v>12.95299578</v>
      </c>
      <c r="G394" s="30">
        <f>((G368*AF!H133*ACT2FLO!I70)+(G369*AF!H134*ACT2FLO!I71))/1000000</f>
        <v>5.9712435900000003</v>
      </c>
      <c r="H394" s="30">
        <f>((H368*AF!I133*ACT2FLO!J70)+(H369*AF!I134*ACT2FLO!J71))/1000000</f>
        <v>4.6924343829999993</v>
      </c>
      <c r="I394" s="30">
        <f>((I368*AF!J133*ACT2FLO!K70)+(I369*AF!J134*ACT2FLO!K71))/1000000</f>
        <v>2.9547502029999997</v>
      </c>
      <c r="J394" s="30">
        <f>((J368*AF!K133*ACT2FLO!L70)+(J369*AF!K134*ACT2FLO!L71))/1000000</f>
        <v>6.2321199459999992</v>
      </c>
      <c r="K394" s="30">
        <f>((K368*AF!L133*ACT2FLO!M70)+(K369*AF!L134*ACT2FLO!M71))/1000000</f>
        <v>11.666045855999998</v>
      </c>
      <c r="L394" s="30">
        <f>((L368*AF!M133*ACT2FLO!N70)+(L369*AF!M134*ACT2FLO!N71))/1000000</f>
        <v>5.0565246279999991</v>
      </c>
      <c r="M394" s="30">
        <f>((M368*AF!N133*ACT2FLO!O70)+(M369*AF!N134*ACT2FLO!O71))/1000000</f>
        <v>6.5503635049999991</v>
      </c>
      <c r="N394" s="30">
        <f>((N368*AF!O133*ACT2FLO!P70)+(N369*AF!O134*ACT2FLO!P71))/1000000</f>
        <v>10.433975886000001</v>
      </c>
      <c r="O394" s="30">
        <f>((O368*AF!P133*ACT2FLO!Q70)+(O369*AF!P134*ACT2FLO!Q71))/1000000</f>
        <v>7.4718604279999994</v>
      </c>
      <c r="P394" s="30">
        <f>((P368*AF!Q133*ACT2FLO!R70)+(P369*AF!Q134*ACT2FLO!R71))/1000000</f>
        <v>7.3643639539999999</v>
      </c>
      <c r="Q394" s="30">
        <f>((Q368*AF!R133*ACT2FLO!S70)+(Q369*AF!R134*ACT2FLO!S71))/1000000</f>
        <v>30.442963742999996</v>
      </c>
      <c r="R394" s="30">
        <f>((R368*AF!S133*ACT2FLO!T70)+(R369*AF!S134*ACT2FLO!T71))/1000000</f>
        <v>9.0589121250000009</v>
      </c>
      <c r="S394" s="30">
        <f>((S368*AF!T133*ACT2FLO!U70)+(S369*AF!T134*ACT2FLO!U71))/1000000</f>
        <v>10.553827076999999</v>
      </c>
      <c r="T394" s="30">
        <f>((T368*AF!U133*ACT2FLO!V70)+(T369*AF!U134*ACT2FLO!V71))/1000000</f>
        <v>10.269840026999999</v>
      </c>
      <c r="U394" s="30">
        <f>((U368*AF!V133*ACT2FLO!W70)+(U369*AF!V134*ACT2FLO!W71))/1000000</f>
        <v>5.9749364299999996</v>
      </c>
      <c r="V394" s="30">
        <f>((V368*AF!W133*ACT2FLO!X70)+(V369*AF!W134*ACT2FLO!X71))/1000000</f>
        <v>15.756442527999997</v>
      </c>
      <c r="W394" s="30">
        <f>((W368*AF!X133*ACT2FLO!Y70)+(W369*AF!X134*ACT2FLO!Y71))/1000000</f>
        <v>2.6189747699999995</v>
      </c>
      <c r="X394" s="30">
        <f>((X368*AF!Y133*ACT2FLO!Z70)+(X369*AF!Y134*ACT2FLO!Z71))/1000000</f>
        <v>10.367365531999999</v>
      </c>
      <c r="Y394" s="30">
        <f>((Y368*AF!Z133*ACT2FLO!AA70)+(Y369*AF!Z134*ACT2FLO!AA71))/1000000</f>
        <v>4.9898322299999993</v>
      </c>
      <c r="Z394" s="30">
        <f>((Z368*AF!AA133*ACT2FLO!AB70)+(Z369*AF!AA134*ACT2FLO!AB71))/1000000</f>
        <v>4.5254536869999988</v>
      </c>
      <c r="AA394" s="30">
        <f>((AA368*AF!AB133*ACT2FLO!AC70)+(AA369*AF!AB134*ACT2FLO!AC71))/1000000</f>
        <v>6.1400258999999995</v>
      </c>
      <c r="AB394" s="30">
        <f>((AB368*AF!AC133*ACT2FLO!AD70)+(AB369*AF!AC134*ACT2FLO!AD71))/1000000</f>
        <v>10.612086616000001</v>
      </c>
      <c r="AC394" s="30">
        <f>((AC368*AF!AD133*ACT2FLO!AE70)+(AC369*AF!AD134*ACT2FLO!AE71))/1000000</f>
        <v>5.6079158639999998</v>
      </c>
    </row>
    <row r="395" spans="1:29">
      <c r="A395" t="s">
        <v>1054</v>
      </c>
      <c r="B395" t="s">
        <v>1048</v>
      </c>
      <c r="C395" s="30">
        <f>((C370*AF!D135*ACT2FLO!E72)+(C371*AF!D136*ACT2FLO!E72))/1000000</f>
        <v>1170.4876383179999</v>
      </c>
      <c r="D395" s="30">
        <f>((D370*AF!E135*ACT2FLO!F72)+(D371*AF!E136*ACT2FLO!F72))/1000000</f>
        <v>16.53365346</v>
      </c>
      <c r="E395" s="30">
        <f>((E370*AF!F135*ACT2FLO!G72)+(E371*AF!F136*ACT2FLO!G72))/1000000</f>
        <v>357.163885548</v>
      </c>
      <c r="F395" s="30">
        <f>((F370*AF!G135*ACT2FLO!H72)+(F371*AF!G136*ACT2FLO!H72))/1000000</f>
        <v>51.199073261999999</v>
      </c>
      <c r="G395" s="30">
        <f>((G370*AF!H135*ACT2FLO!I72)+(G371*AF!H136*ACT2FLO!I72))/1000000</f>
        <v>22.551935357999998</v>
      </c>
      <c r="H395" s="30">
        <f>((H370*AF!I135*ACT2FLO!J72)+(H371*AF!I136*ACT2FLO!J72))/1000000</f>
        <v>20.480825129999999</v>
      </c>
      <c r="I395" s="30">
        <f>((I370*AF!J135*ACT2FLO!K72)+(I371*AF!J136*ACT2FLO!K72))/1000000</f>
        <v>12.040452686999998</v>
      </c>
      <c r="J395" s="30">
        <f>((J370*AF!K135*ACT2FLO!L72)+(J371*AF!K136*ACT2FLO!L72))/1000000</f>
        <v>39.986357148000003</v>
      </c>
      <c r="K395" s="30">
        <f>((K370*AF!L135*ACT2FLO!M72)+(K371*AF!L136*ACT2FLO!M72))/1000000</f>
        <v>49.596653441999997</v>
      </c>
      <c r="L395" s="30">
        <f>((L370*AF!M135*ACT2FLO!N72)+(L371*AF!M136*ACT2FLO!N72))/1000000</f>
        <v>14.99562693</v>
      </c>
      <c r="M395" s="30">
        <f>((M370*AF!N135*ACT2FLO!O72)+(M371*AF!N136*ACT2FLO!O72))/1000000</f>
        <v>19.197188982</v>
      </c>
      <c r="N395" s="30">
        <f>((N370*AF!O135*ACT2FLO!P72)+(N371*AF!O136*ACT2FLO!P72))/1000000</f>
        <v>46.276485524999998</v>
      </c>
      <c r="O395" s="30">
        <f>((O370*AF!P135*ACT2FLO!Q72)+(O371*AF!P136*ACT2FLO!Q72))/1000000</f>
        <v>19.091451195000001</v>
      </c>
      <c r="P395" s="30">
        <f>((P370*AF!Q135*ACT2FLO!R72)+(P371*AF!Q136*ACT2FLO!R72))/1000000</f>
        <v>20.042311391999998</v>
      </c>
      <c r="Q395" s="30">
        <f>((Q370*AF!R135*ACT2FLO!S72)+(Q371*AF!R136*ACT2FLO!S72))/1000000</f>
        <v>121.040140986</v>
      </c>
      <c r="R395" s="30">
        <f>((R370*AF!S135*ACT2FLO!T72)+(R371*AF!S136*ACT2FLO!T72))/1000000</f>
        <v>25.302389525999995</v>
      </c>
      <c r="S395" s="30">
        <f>((S370*AF!T135*ACT2FLO!U72)+(S371*AF!T136*ACT2FLO!U72))/1000000</f>
        <v>78.658455326999999</v>
      </c>
      <c r="T395" s="30">
        <f>((T370*AF!U135*ACT2FLO!V72)+(T371*AF!U136*ACT2FLO!V72))/1000000</f>
        <v>38.391040613999991</v>
      </c>
      <c r="U395" s="30">
        <f>((U370*AF!V135*ACT2FLO!W72)+(U371*AF!V136*ACT2FLO!W72))/1000000</f>
        <v>18.87123879</v>
      </c>
      <c r="V395" s="30">
        <f>((V370*AF!W135*ACT2FLO!X72)+(V371*AF!W136*ACT2FLO!X72))/1000000</f>
        <v>55.882260588000001</v>
      </c>
      <c r="W395" s="30">
        <f>((W370*AF!X135*ACT2FLO!Y72)+(W371*AF!X136*ACT2FLO!Y72))/1000000</f>
        <v>6.8616267300000002</v>
      </c>
      <c r="X395" s="30">
        <f>((X370*AF!Y135*ACT2FLO!Z72)+(X371*AF!Y136*ACT2FLO!Z72))/1000000</f>
        <v>25.900186197</v>
      </c>
      <c r="Y395" s="30">
        <f>((Y370*AF!Z135*ACT2FLO!AA72)+(Y371*AF!Z136*ACT2FLO!AA72))/1000000</f>
        <v>18.203593139999999</v>
      </c>
      <c r="Z395" s="30">
        <f>((Z370*AF!AA135*ACT2FLO!AB72)+(Z371*AF!AA136*ACT2FLO!AB72))/1000000</f>
        <v>16.478126981999999</v>
      </c>
      <c r="AA395" s="30">
        <f>((AA370*AF!AB135*ACT2FLO!AC72)+(AA371*AF!AB136*ACT2FLO!AC72))/1000000</f>
        <v>20.703387731999999</v>
      </c>
      <c r="AB395" s="30">
        <f>((AB370*AF!AC135*ACT2FLO!AD72)+(AB371*AF!AC136*ACT2FLO!AD72))/1000000</f>
        <v>26.293456008</v>
      </c>
      <c r="AC395" s="30">
        <f>((AC370*AF!AD135*ACT2FLO!AE72)+(AC371*AF!AD136*ACT2FLO!AE72))/1000000</f>
        <v>28.794416915999999</v>
      </c>
    </row>
    <row r="396" spans="1:29">
      <c r="A396" t="s">
        <v>1055</v>
      </c>
      <c r="B396" t="s">
        <v>1049</v>
      </c>
      <c r="C396" s="2">
        <f>((C372*AF!D137*ACT2FLO!E73)+(C373*AF!D138*ACT2FLO!E73))/1000000</f>
        <v>10447.393318175999</v>
      </c>
      <c r="D396" s="2">
        <f>((D372*AF!E137*ACT2FLO!F73)+(D373*AF!E138*ACT2FLO!F73))/1000000</f>
        <v>191.25112679999998</v>
      </c>
      <c r="E396" s="2">
        <f>((E372*AF!F137*ACT2FLO!G73)+(E373*AF!F138*ACT2FLO!G73))/1000000</f>
        <v>1801.6202282399997</v>
      </c>
      <c r="F396" s="2">
        <f>((F372*AF!G137*ACT2FLO!H73)+(F373*AF!G138*ACT2FLO!H73))/1000000</f>
        <v>567.11463907200005</v>
      </c>
      <c r="G396" s="2">
        <f>((G372*AF!H137*ACT2FLO!I73)+(G373*AF!H138*ACT2FLO!I73))/1000000</f>
        <v>401.39321097599998</v>
      </c>
      <c r="H396" s="2">
        <f>((H372*AF!I137*ACT2FLO!J73)+(H373*AF!I138*ACT2FLO!J73))/1000000</f>
        <v>232.66431216000001</v>
      </c>
      <c r="I396" s="2">
        <f>((I372*AF!J137*ACT2FLO!K73)+(I373*AF!J138*ACT2FLO!K73))/1000000</f>
        <v>142.62160694399998</v>
      </c>
      <c r="J396" s="2">
        <f>((J372*AF!K137*ACT2FLO!L73)+(J373*AF!K138*ACT2FLO!L73))/1000000</f>
        <v>290.99081644799998</v>
      </c>
      <c r="K396" s="2">
        <f>((K372*AF!L137*ACT2FLO!M73)+(K373*AF!L138*ACT2FLO!M73))/1000000</f>
        <v>657.40236825600005</v>
      </c>
      <c r="L396" s="2">
        <f>((L372*AF!M137*ACT2FLO!N73)+(L373*AF!M138*ACT2FLO!N73))/1000000</f>
        <v>160.64494147199997</v>
      </c>
      <c r="M396" s="2">
        <f>((M372*AF!N137*ACT2FLO!O73)+(M373*AF!N138*ACT2FLO!O73))/1000000</f>
        <v>146.17946937599999</v>
      </c>
      <c r="N396" s="2">
        <f>((N372*AF!O137*ACT2FLO!P73)+(N373*AF!O138*ACT2FLO!P73))/1000000</f>
        <v>719.12865115199997</v>
      </c>
      <c r="O396" s="2">
        <f>((O372*AF!P137*ACT2FLO!Q73)+(O373*AF!P138*ACT2FLO!Q73))/1000000</f>
        <v>190.43531231999995</v>
      </c>
      <c r="P396" s="2">
        <f>((P372*AF!Q137*ACT2FLO!R73)+(P373*AF!Q138*ACT2FLO!R73))/1000000</f>
        <v>191.792928096</v>
      </c>
      <c r="Q396" s="2">
        <f>((Q372*AF!R137*ACT2FLO!S73)+(Q373*AF!R138*ACT2FLO!S73))/1000000</f>
        <v>1251.9188758079999</v>
      </c>
      <c r="R396" s="2">
        <f>((R372*AF!S137*ACT2FLO!T73)+(R373*AF!S138*ACT2FLO!T73))/1000000</f>
        <v>245.403101472</v>
      </c>
      <c r="S396" s="2">
        <f>((S372*AF!T137*ACT2FLO!U73)+(S373*AF!T138*ACT2FLO!U73))/1000000</f>
        <v>496.25415859199995</v>
      </c>
      <c r="T396" s="2">
        <f>((T372*AF!U137*ACT2FLO!V73)+(T373*AF!U138*ACT2FLO!V73))/1000000</f>
        <v>482.837056464</v>
      </c>
      <c r="U396" s="2">
        <f>((U372*AF!V137*ACT2FLO!W73)+(U373*AF!V138*ACT2FLO!W73))/1000000</f>
        <v>170.67215726399999</v>
      </c>
      <c r="V396" s="2">
        <f>((V372*AF!W137*ACT2FLO!X73)+(V373*AF!W138*ACT2FLO!X73))/1000000</f>
        <v>428.07617073599999</v>
      </c>
      <c r="W396" s="2">
        <f>((W372*AF!X137*ACT2FLO!Y73)+(W373*AF!X138*ACT2FLO!Y73))/1000000</f>
        <v>68.119661039999997</v>
      </c>
      <c r="X396" s="2">
        <f>((X372*AF!Y137*ACT2FLO!Z73)+(X373*AF!Y138*ACT2FLO!Z73))/1000000</f>
        <v>203.87141971199998</v>
      </c>
      <c r="Y396" s="2">
        <f>((Y372*AF!Z137*ACT2FLO!AA73)+(Y373*AF!Z138*ACT2FLO!AA73))/1000000</f>
        <v>150.88424860799998</v>
      </c>
      <c r="Z396" s="2">
        <f>((Z372*AF!AA137*ACT2FLO!AB73)+(Z373*AF!AA138*ACT2FLO!AB73))/1000000</f>
        <v>104.698798368</v>
      </c>
      <c r="AA396" s="2">
        <f>((AA372*AF!AB137*ACT2FLO!AC73)+(AA373*AF!AB138*ACT2FLO!AC73))/1000000</f>
        <v>273.25984943999998</v>
      </c>
      <c r="AB396" s="2">
        <f>((AB372*AF!AC137*ACT2FLO!AD73)+(AB373*AF!AC138*ACT2FLO!AD73))/1000000</f>
        <v>318.60472243199996</v>
      </c>
      <c r="AC396" s="2">
        <f>((AC372*AF!AD137*ACT2FLO!AE73)+(AC373*AF!AD138*ACT2FLO!AE73))/1000000</f>
        <v>558.08887142399988</v>
      </c>
    </row>
    <row r="397" spans="1:29">
      <c r="A397" s="107"/>
      <c r="B397" s="107" t="s">
        <v>16</v>
      </c>
      <c r="C397" s="341">
        <f t="shared" ref="C397:AC397" si="203">SUM(C394:C396)</f>
        <v>11893.874581392998</v>
      </c>
      <c r="D397" s="341">
        <f t="shared" si="203"/>
        <v>212.25122418699999</v>
      </c>
      <c r="E397" s="341">
        <f t="shared" si="203"/>
        <v>2222.0481276359997</v>
      </c>
      <c r="F397" s="341">
        <f t="shared" si="203"/>
        <v>631.26670811400004</v>
      </c>
      <c r="G397" s="341">
        <f t="shared" si="203"/>
        <v>429.91638992399999</v>
      </c>
      <c r="H397" s="341">
        <f t="shared" si="203"/>
        <v>257.83757167300001</v>
      </c>
      <c r="I397" s="341">
        <f t="shared" si="203"/>
        <v>157.61680983399998</v>
      </c>
      <c r="J397" s="341">
        <f t="shared" si="203"/>
        <v>337.20929354199995</v>
      </c>
      <c r="K397" s="341">
        <f t="shared" si="203"/>
        <v>718.66506755400007</v>
      </c>
      <c r="L397" s="341">
        <f t="shared" si="203"/>
        <v>180.69709302999996</v>
      </c>
      <c r="M397" s="341">
        <f t="shared" si="203"/>
        <v>171.92702186299999</v>
      </c>
      <c r="N397" s="341">
        <f t="shared" si="203"/>
        <v>775.83911256299996</v>
      </c>
      <c r="O397" s="341">
        <f t="shared" si="203"/>
        <v>216.99862394299996</v>
      </c>
      <c r="P397" s="341">
        <f t="shared" si="203"/>
        <v>219.19960344200001</v>
      </c>
      <c r="Q397" s="341">
        <f t="shared" si="203"/>
        <v>1403.4019805369999</v>
      </c>
      <c r="R397" s="341">
        <f t="shared" si="203"/>
        <v>279.76440312300002</v>
      </c>
      <c r="S397" s="341">
        <f t="shared" si="203"/>
        <v>585.46644099599996</v>
      </c>
      <c r="T397" s="341">
        <f t="shared" si="203"/>
        <v>531.49793710500001</v>
      </c>
      <c r="U397" s="341">
        <f t="shared" si="203"/>
        <v>195.51833248399998</v>
      </c>
      <c r="V397" s="341">
        <f t="shared" si="203"/>
        <v>499.71487385199998</v>
      </c>
      <c r="W397" s="341">
        <f t="shared" si="203"/>
        <v>77.600262539999989</v>
      </c>
      <c r="X397" s="341">
        <f t="shared" si="203"/>
        <v>240.13897144099997</v>
      </c>
      <c r="Y397" s="341">
        <f t="shared" si="203"/>
        <v>174.07767397799998</v>
      </c>
      <c r="Z397" s="341">
        <f t="shared" si="203"/>
        <v>125.702379037</v>
      </c>
      <c r="AA397" s="341">
        <f t="shared" si="203"/>
        <v>300.103263072</v>
      </c>
      <c r="AB397" s="341">
        <f t="shared" si="203"/>
        <v>355.51026505599998</v>
      </c>
      <c r="AC397" s="341">
        <f t="shared" si="203"/>
        <v>592.49120420399993</v>
      </c>
    </row>
    <row r="401" spans="1:31" ht="15.5">
      <c r="A401" s="366" t="s">
        <v>1058</v>
      </c>
    </row>
    <row r="402" spans="1:31">
      <c r="A402" s="82" t="s">
        <v>676</v>
      </c>
      <c r="B402" s="82" t="s">
        <v>1056</v>
      </c>
      <c r="C402" s="80" t="str">
        <f>C393</f>
        <v>IE</v>
      </c>
      <c r="D402" s="80" t="str">
        <f t="shared" ref="D402:AC402" si="204">D393</f>
        <v>IE-CW</v>
      </c>
      <c r="E402" s="80" t="str">
        <f t="shared" si="204"/>
        <v>IE-D</v>
      </c>
      <c r="F402" s="80" t="str">
        <f t="shared" si="204"/>
        <v>IE-KE</v>
      </c>
      <c r="G402" s="80" t="str">
        <f t="shared" si="204"/>
        <v>IE-KK</v>
      </c>
      <c r="H402" s="80" t="str">
        <f t="shared" si="204"/>
        <v>IE-LS</v>
      </c>
      <c r="I402" s="80" t="str">
        <f t="shared" si="204"/>
        <v>IE-LD</v>
      </c>
      <c r="J402" s="80" t="str">
        <f t="shared" si="204"/>
        <v>IE-LH</v>
      </c>
      <c r="K402" s="80" t="str">
        <f t="shared" si="204"/>
        <v>IE-MH</v>
      </c>
      <c r="L402" s="80" t="str">
        <f t="shared" si="204"/>
        <v>IE-OY</v>
      </c>
      <c r="M402" s="80" t="str">
        <f t="shared" si="204"/>
        <v>IE-WH</v>
      </c>
      <c r="N402" s="80" t="str">
        <f t="shared" si="204"/>
        <v>IE-WX</v>
      </c>
      <c r="O402" s="80" t="str">
        <f t="shared" si="204"/>
        <v>IE-WW</v>
      </c>
      <c r="P402" s="80" t="str">
        <f t="shared" si="204"/>
        <v>IE-CE</v>
      </c>
      <c r="Q402" s="80" t="str">
        <f t="shared" si="204"/>
        <v>IE-CO</v>
      </c>
      <c r="R402" s="80" t="str">
        <f t="shared" si="204"/>
        <v>IE-KY</v>
      </c>
      <c r="S402" s="80" t="str">
        <f t="shared" si="204"/>
        <v>IE-LK</v>
      </c>
      <c r="T402" s="80" t="str">
        <f t="shared" si="204"/>
        <v>IE-TA</v>
      </c>
      <c r="U402" s="80" t="str">
        <f t="shared" si="204"/>
        <v>IE-WD</v>
      </c>
      <c r="V402" s="80" t="str">
        <f t="shared" si="204"/>
        <v>IE-G</v>
      </c>
      <c r="W402" s="80" t="str">
        <f t="shared" si="204"/>
        <v>IE-LM</v>
      </c>
      <c r="X402" s="80" t="str">
        <f t="shared" si="204"/>
        <v>IE-MO</v>
      </c>
      <c r="Y402" s="80" t="str">
        <f t="shared" si="204"/>
        <v>IE-RN</v>
      </c>
      <c r="Z402" s="80" t="str">
        <f t="shared" si="204"/>
        <v>IE-SO</v>
      </c>
      <c r="AA402" s="80" t="str">
        <f t="shared" si="204"/>
        <v>IE-CN</v>
      </c>
      <c r="AB402" s="80" t="str">
        <f t="shared" si="204"/>
        <v>IE-DL</v>
      </c>
      <c r="AC402" s="80" t="str">
        <f t="shared" si="204"/>
        <v>IE-MN</v>
      </c>
    </row>
    <row r="403" spans="1:31">
      <c r="A403" t="s">
        <v>1053</v>
      </c>
      <c r="B403" t="s">
        <v>1047</v>
      </c>
      <c r="C403" s="365">
        <f>ACT2FLO!E70*C424/C394</f>
        <v>4.5493804447819669E-2</v>
      </c>
      <c r="D403" s="365">
        <f>ACT2FLO!F70*D424/D394</f>
        <v>4.3358329895848091E-2</v>
      </c>
      <c r="E403" s="365">
        <f>ACT2FLO!G70*E424/E394</f>
        <v>4.5230346590859345E-2</v>
      </c>
      <c r="F403" s="365">
        <f>ACT2FLO!H70*F424/F394</f>
        <v>4.0522019628972429E-2</v>
      </c>
      <c r="G403" s="365">
        <f>ACT2FLO!I70*G424/G394</f>
        <v>5.6528172751623862E-2</v>
      </c>
      <c r="H403" s="365">
        <f>ACT2FLO!J70*H424/H394</f>
        <v>5.1234809195997238E-2</v>
      </c>
      <c r="I403" s="365">
        <f>1.06*ACT2FLO!K70*I424/I394</f>
        <v>4.1621421936233714E-2</v>
      </c>
      <c r="J403" s="365">
        <f>ACT2FLO!L70*J424/J394</f>
        <v>4.8785042392482061E-2</v>
      </c>
      <c r="K403" s="365">
        <f>ACT2FLO!M70*K424/K394</f>
        <v>3.9439590734345581E-2</v>
      </c>
      <c r="L403" s="365">
        <f>ACT2FLO!N70*L424/L394</f>
        <v>4.3764359626499945E-2</v>
      </c>
      <c r="M403" s="365">
        <f>ACT2FLO!O70*M424/M394</f>
        <v>3.8467691311872873E-2</v>
      </c>
      <c r="N403" s="365">
        <f>ACT2FLO!P70*N424/N394</f>
        <v>4.8810559062806416E-2</v>
      </c>
      <c r="O403" s="365">
        <f>ACT2FLO!Q70*O424/O394</f>
        <v>4.4965658844273497E-2</v>
      </c>
      <c r="P403" s="365">
        <f>1.05*ACT2FLO!R70*P424/P394</f>
        <v>4.7139181399312009E-2</v>
      </c>
      <c r="Q403" s="365">
        <f>ACT2FLO!S70*Q424/Q394</f>
        <v>5.8108430041832138E-2</v>
      </c>
      <c r="R403" s="365">
        <f>1.08*ACT2FLO!T70*R424/R394</f>
        <v>5.7382652048294305E-2</v>
      </c>
      <c r="S403" s="365">
        <f>ACT2FLO!U70*S424/S394</f>
        <v>5.1386499612748299E-2</v>
      </c>
      <c r="T403" s="365">
        <f>ACT2FLO!V70*T424/T394</f>
        <v>4.3230543351130864E-2</v>
      </c>
      <c r="U403" s="365">
        <f>ACT2FLO!W70*U424/U394</f>
        <v>6.6139532565710202E-2</v>
      </c>
      <c r="V403" s="365">
        <f>ACT2FLO!X70*V424/V394</f>
        <v>4.1792599254131077E-2</v>
      </c>
      <c r="W403" s="365">
        <f>ACT2FLO!Y70*W424/W394</f>
        <v>3.3532465950634381E-2</v>
      </c>
      <c r="X403" s="365">
        <f>ACT2FLO!Z70*X424/X394</f>
        <v>3.2122225057614875E-2</v>
      </c>
      <c r="Y403" s="365">
        <f>ACT2FLO!AA70*Y424/Y394</f>
        <v>3.3007311961299503E-2</v>
      </c>
      <c r="Z403" s="365">
        <f>ACT2FLO!AB70*Z424/Z394</f>
        <v>3.9688187235904247E-2</v>
      </c>
      <c r="AA403" s="365">
        <f>ACT2FLO!AC70*AA424/AA394</f>
        <v>3.4001497512077837E-2</v>
      </c>
      <c r="AB403" s="365">
        <f>ACT2FLO!AD70*AB424/AB394</f>
        <v>4.1112182905093803E-2</v>
      </c>
      <c r="AC403" s="365">
        <f>ACT2FLO!AE70*AC424/AC394</f>
        <v>2.9999770313504304E-2</v>
      </c>
    </row>
    <row r="404" spans="1:31">
      <c r="A404" t="s">
        <v>1054</v>
      </c>
      <c r="B404" t="s">
        <v>1048</v>
      </c>
      <c r="C404" s="365">
        <f>ACT2FLO!E72*C425/C395</f>
        <v>3.4214970486616658</v>
      </c>
      <c r="D404" s="365">
        <f>1.5*ACT2FLO!F72*D425/D395</f>
        <v>5.6038764788433317</v>
      </c>
      <c r="E404" s="365">
        <f>1.5*ACT2FLO!G72*E425/E395</f>
        <v>3.8330287131577809</v>
      </c>
      <c r="F404" s="365">
        <f>1.5*ACT2FLO!H72*F425/F395</f>
        <v>4.9048096746472645</v>
      </c>
      <c r="G404" s="365">
        <f>1.5*ACT2FLO!I72*G425/G395</f>
        <v>7.1609208014409687</v>
      </c>
      <c r="H404" s="365">
        <f>1.5*ACT2FLO!J72*H425/H395</f>
        <v>5.6161517651135364</v>
      </c>
      <c r="I404" s="365">
        <f>1.5*ACT2FLO!K72*I425/I395</f>
        <v>4.6101170984987014</v>
      </c>
      <c r="J404" s="365">
        <f>1.5*ACT2FLO!L72*J425/J395</f>
        <v>3.6377563086767704</v>
      </c>
      <c r="K404" s="365">
        <f>1.5*ACT2FLO!M72*K425/K395</f>
        <v>4.4384022412948205</v>
      </c>
      <c r="L404" s="365">
        <f>1.5*ACT2FLO!N72*L425/L395</f>
        <v>7.0604280368629988</v>
      </c>
      <c r="M404" s="365">
        <f>1.5*ACT2FLO!O72*M425/M395</f>
        <v>6.2798148089184771</v>
      </c>
      <c r="N404" s="365">
        <f>1.5*ACT2FLO!P72*N425/N395</f>
        <v>5.2653372676002732</v>
      </c>
      <c r="O404" s="365">
        <f>1.5*ACT2FLO!Q72*O425/O395</f>
        <v>8.4196438935239382</v>
      </c>
      <c r="P404" s="365">
        <f>1.5*ACT2FLO!R72*P425/P395</f>
        <v>7.8922917064124984</v>
      </c>
      <c r="Q404" s="365">
        <f>1.5*ACT2FLO!S72*Q425/Q395</f>
        <v>6.9922927793807528</v>
      </c>
      <c r="R404" s="365">
        <f>1.5*ACT2FLO!T72*R425/R395</f>
        <v>9.101109158130571</v>
      </c>
      <c r="S404" s="365">
        <f>1.5*ACT2FLO!U72*S425/S395</f>
        <v>3.2986523626645048</v>
      </c>
      <c r="T404" s="365">
        <f>1.5*ACT2FLO!V72*T425/T395</f>
        <v>5.5328314696599277</v>
      </c>
      <c r="U404" s="365">
        <f>1.5*ACT2FLO!W72*U425/U395</f>
        <v>10.01882874950007</v>
      </c>
      <c r="V404" s="365">
        <f>1.5*ACT2FLO!X72*V425/V395</f>
        <v>5.6377594191267457</v>
      </c>
      <c r="W404" s="365">
        <f>1.5*ACT2FLO!Y72*W425/W395</f>
        <v>6.1234005825452709</v>
      </c>
      <c r="X404" s="365">
        <f>1.5*ACT2FLO!Z72*X425/X395</f>
        <v>6.1516851346980319</v>
      </c>
      <c r="Y404" s="365">
        <f>1.5*ACT2FLO!AA72*Y425/Y395</f>
        <v>4.3287443192786723</v>
      </c>
      <c r="Z404" s="365">
        <f>1.5*ACT2FLO!AB72*Z425/Z395</f>
        <v>5.2148100704369913</v>
      </c>
      <c r="AA404" s="365">
        <f>1.5*ACT2FLO!AC72*AA425/AA395</f>
        <v>4.8244719476360425</v>
      </c>
      <c r="AB404" s="365">
        <f>1.5*ACT2FLO!AD72*AB425/AB395</f>
        <v>7.9386490387867692</v>
      </c>
      <c r="AC404" s="365">
        <f>1.5*ACT2FLO!AE72*AC425/AC395</f>
        <v>2.7953364240099825</v>
      </c>
    </row>
    <row r="405" spans="1:31">
      <c r="A405" s="79" t="s">
        <v>1055</v>
      </c>
      <c r="B405" s="79" t="s">
        <v>1049</v>
      </c>
      <c r="C405" s="367">
        <f>ACT2FLO!E73*C426/C396</f>
        <v>8.8684138883531567</v>
      </c>
      <c r="D405" s="367">
        <f>1.5*ACT2FLO!F73*D426/D396</f>
        <v>11.207900828300826</v>
      </c>
      <c r="E405" s="367">
        <f>1.5*ACT2FLO!G73*E426/E396</f>
        <v>17.579934779985763</v>
      </c>
      <c r="F405" s="367">
        <f>1.5*ACT2FLO!H73*F426/F396</f>
        <v>10.244347438236131</v>
      </c>
      <c r="G405" s="367">
        <f>1.5*ACT2FLO!I73*G426/G396</f>
        <v>9.3079397454844361</v>
      </c>
      <c r="H405" s="367">
        <f>1.5*ACT2FLO!J73*H426/H396</f>
        <v>11.437402611644858</v>
      </c>
      <c r="I405" s="367">
        <f>1.5*ACT2FLO!K73*I426/I396</f>
        <v>9.0041007164514202</v>
      </c>
      <c r="J405" s="367">
        <f>1.5*ACT2FLO!L73*J426/J396</f>
        <v>11.564771534647889</v>
      </c>
      <c r="K405" s="367">
        <f>1.5*ACT2FLO!M73*K426/K396</f>
        <v>7.7467343790123158</v>
      </c>
      <c r="L405" s="367">
        <f>1.5*ACT2FLO!N73*L426/L396</f>
        <v>15.247530151851587</v>
      </c>
      <c r="M405" s="367">
        <f>1.5*ACT2FLO!O73*M426/M396</f>
        <v>19.07958803231476</v>
      </c>
      <c r="N405" s="367">
        <f>1.5*ACT2FLO!P73*N426/N396</f>
        <v>7.8388231978119034</v>
      </c>
      <c r="O405" s="367">
        <f>1.5*ACT2FLO!Q73*O426/O396</f>
        <v>19.527924171137613</v>
      </c>
      <c r="P405" s="367">
        <f>1.5*ACT2FLO!R73*P426/P396</f>
        <v>19.080477632961422</v>
      </c>
      <c r="Q405" s="367">
        <f>1.5*ACT2FLO!S73*Q426/Q396</f>
        <v>15.640251608652607</v>
      </c>
      <c r="R405" s="367">
        <f>1.5*ACT2FLO!T73*R426/R396</f>
        <v>21.709344523674044</v>
      </c>
      <c r="S405" s="367">
        <f>1.5*ACT2FLO!U73*S426/S396</f>
        <v>12.096192803330524</v>
      </c>
      <c r="T405" s="367">
        <f>1.5*ACT2FLO!V73*T426/T396</f>
        <v>10.177652761285335</v>
      </c>
      <c r="U405" s="367">
        <f>1.5*ACT2FLO!W73*U426/U396</f>
        <v>25.628641309867906</v>
      </c>
      <c r="V405" s="367">
        <f>1.5*ACT2FLO!X73*V426/V396</f>
        <v>17.026694731183554</v>
      </c>
      <c r="W405" s="367">
        <f>1.5*ACT2FLO!Y73*W426/W396</f>
        <v>14.269809625707298</v>
      </c>
      <c r="X405" s="367">
        <f>1.5*ACT2FLO!Z73*X426/X396</f>
        <v>18.080545739903158</v>
      </c>
      <c r="Y405" s="367">
        <f>1.5*ACT2FLO!AA73*Y426/Y396</f>
        <v>12.08220076069405</v>
      </c>
      <c r="Z405" s="367">
        <f>1.5*ACT2FLO!AB73*Z426/Z396</f>
        <v>18.987839011037483</v>
      </c>
      <c r="AA405" s="367">
        <f>1.5*ACT2FLO!AC73*AA426/AA396</f>
        <v>8.4564147260632616</v>
      </c>
      <c r="AB405" s="367">
        <f>1.5*ACT2FLO!AD73*AB426/AB396</f>
        <v>15.156990021486887</v>
      </c>
      <c r="AC405" s="367">
        <f>1.5*ACT2FLO!AE73*AC426/AC396</f>
        <v>3.3366442643954035</v>
      </c>
    </row>
    <row r="406" spans="1:31">
      <c r="A406" s="340"/>
      <c r="B406" s="340"/>
      <c r="D406" s="342"/>
      <c r="E406" s="299"/>
      <c r="F406" s="342"/>
      <c r="G406" s="342"/>
      <c r="H406" s="342"/>
      <c r="I406" s="342"/>
      <c r="J406" s="342"/>
      <c r="K406" s="342"/>
      <c r="L406" s="342"/>
      <c r="M406" s="342"/>
      <c r="N406" s="342"/>
      <c r="O406" s="342"/>
      <c r="P406" s="342"/>
      <c r="Q406" s="342"/>
      <c r="R406" s="342"/>
      <c r="S406" s="342"/>
      <c r="T406" s="342"/>
      <c r="U406" s="342"/>
      <c r="V406" s="342"/>
      <c r="W406" s="342"/>
      <c r="X406" s="342"/>
      <c r="Y406" s="342"/>
      <c r="Z406" s="342"/>
      <c r="AA406" s="342"/>
      <c r="AB406" s="342"/>
      <c r="AC406" s="342"/>
    </row>
    <row r="407" spans="1:31">
      <c r="A407" s="340"/>
      <c r="B407" s="340"/>
      <c r="C407" s="700"/>
      <c r="D407" s="299"/>
      <c r="E407" s="299"/>
      <c r="F407" s="342"/>
      <c r="G407" s="342"/>
      <c r="H407" s="342"/>
      <c r="I407" s="342"/>
      <c r="J407" s="342"/>
      <c r="K407" s="342"/>
      <c r="L407" s="342"/>
      <c r="M407" s="342"/>
      <c r="N407" s="342"/>
      <c r="O407" s="342"/>
      <c r="P407" s="342"/>
      <c r="Q407" s="342"/>
      <c r="R407" s="342"/>
      <c r="S407" s="342"/>
      <c r="T407" s="342"/>
      <c r="U407" s="342"/>
      <c r="V407" s="342"/>
      <c r="W407" s="342"/>
      <c r="X407" s="342"/>
      <c r="Y407" s="342"/>
      <c r="Z407" s="342"/>
      <c r="AA407" s="342"/>
      <c r="AB407" s="342"/>
      <c r="AC407" s="342"/>
    </row>
    <row r="408" spans="1:31">
      <c r="C408" s="700"/>
      <c r="D408" s="699"/>
    </row>
    <row r="409" spans="1:31" ht="15.5">
      <c r="A409" s="101" t="s">
        <v>1018</v>
      </c>
      <c r="C409" s="700"/>
      <c r="L409" s="300"/>
    </row>
    <row r="410" spans="1:31" ht="17.5">
      <c r="A410" s="82" t="s">
        <v>1013</v>
      </c>
      <c r="B410" s="82" t="s">
        <v>642</v>
      </c>
      <c r="C410" s="82" t="s">
        <v>1015</v>
      </c>
      <c r="D410" s="82" t="s">
        <v>1016</v>
      </c>
      <c r="E410" s="82" t="s">
        <v>1046</v>
      </c>
      <c r="F410" s="82" t="s">
        <v>1046</v>
      </c>
      <c r="G410" s="300"/>
      <c r="J410" s="82" t="s">
        <v>1051</v>
      </c>
      <c r="K410" s="82" t="s">
        <v>1050</v>
      </c>
      <c r="L410" s="82" t="s">
        <v>1052</v>
      </c>
      <c r="M410" s="300"/>
      <c r="N410" s="300"/>
      <c r="O410" s="300"/>
      <c r="P410" s="300"/>
      <c r="Q410" s="300"/>
      <c r="R410" s="300"/>
      <c r="S410" s="300"/>
      <c r="T410" s="300"/>
      <c r="U410" s="300"/>
      <c r="V410" s="300"/>
      <c r="W410" s="300"/>
      <c r="X410" s="300"/>
      <c r="Y410" s="300"/>
      <c r="Z410" s="300"/>
      <c r="AA410" s="300"/>
      <c r="AB410" s="300"/>
      <c r="AC410" s="300"/>
      <c r="AD410" s="300"/>
      <c r="AE410" s="300"/>
    </row>
    <row r="411" spans="1:31">
      <c r="A411" s="766" t="s">
        <v>1010</v>
      </c>
      <c r="B411" t="s">
        <v>636</v>
      </c>
      <c r="E411" s="300"/>
      <c r="F411" s="775">
        <f>D412*1000/(C368+C369)</f>
        <v>20.719511209731053</v>
      </c>
      <c r="G411" s="300"/>
      <c r="I411" t="s">
        <v>1047</v>
      </c>
      <c r="J411" s="364">
        <v>140.52000000000001</v>
      </c>
      <c r="K411">
        <v>292</v>
      </c>
      <c r="L411" s="342">
        <f>F411*K411/J411</f>
        <v>43.05506172246988</v>
      </c>
      <c r="M411" s="300"/>
      <c r="N411" s="300"/>
      <c r="O411" s="300"/>
      <c r="P411" s="300"/>
      <c r="Q411" s="300"/>
      <c r="R411" s="300"/>
      <c r="S411" s="300"/>
      <c r="T411" s="300"/>
      <c r="U411" s="300"/>
      <c r="V411" s="300"/>
      <c r="W411" s="300"/>
      <c r="X411" s="300"/>
      <c r="Y411" s="300"/>
      <c r="Z411" s="300"/>
      <c r="AA411" s="300"/>
      <c r="AB411" s="300"/>
      <c r="AC411" s="300"/>
      <c r="AD411" s="300"/>
      <c r="AE411" s="300"/>
    </row>
    <row r="412" spans="1:31">
      <c r="A412" s="766"/>
      <c r="B412" t="s">
        <v>637</v>
      </c>
      <c r="C412">
        <v>292</v>
      </c>
      <c r="D412">
        <v>6667</v>
      </c>
      <c r="E412" s="359">
        <f>D412*1000/(C368+C369)</f>
        <v>20.719511209731053</v>
      </c>
      <c r="F412" s="775"/>
      <c r="G412" s="300"/>
      <c r="I412" t="s">
        <v>1048</v>
      </c>
      <c r="J412" s="361">
        <v>485.95331592500008</v>
      </c>
      <c r="K412">
        <v>1140</v>
      </c>
      <c r="L412" s="342">
        <f>F413*K412/J412</f>
        <v>3512.9035392776655</v>
      </c>
      <c r="M412" s="300"/>
      <c r="N412" s="300"/>
      <c r="O412" s="300"/>
      <c r="P412" s="300"/>
      <c r="Q412" s="300"/>
      <c r="R412" s="300"/>
      <c r="S412" s="300"/>
      <c r="T412" s="300"/>
      <c r="U412" s="300"/>
      <c r="V412" s="300"/>
      <c r="W412" s="300"/>
      <c r="X412" s="300"/>
      <c r="Y412" s="300"/>
      <c r="Z412" s="300"/>
      <c r="AA412" s="300"/>
      <c r="AB412" s="300"/>
      <c r="AC412" s="300"/>
      <c r="AD412" s="300"/>
      <c r="AE412" s="300"/>
    </row>
    <row r="413" spans="1:31">
      <c r="A413" s="766" t="s">
        <v>1011</v>
      </c>
      <c r="B413" t="s">
        <v>638</v>
      </c>
      <c r="C413">
        <v>246</v>
      </c>
      <c r="D413">
        <v>4107</v>
      </c>
      <c r="E413" s="359">
        <f>D413*1000/(C370)</f>
        <v>904.6255506607929</v>
      </c>
      <c r="F413" s="776">
        <f>(1000*(D413+D414))/(C370+C371)</f>
        <v>1497.4623889795178</v>
      </c>
      <c r="G413" s="300"/>
      <c r="I413" t="s">
        <v>1049</v>
      </c>
      <c r="J413" s="361">
        <v>6457.963038912002</v>
      </c>
      <c r="K413">
        <v>10106</v>
      </c>
      <c r="L413" s="342">
        <f>F415*K413/J413</f>
        <v>9168.1678434403839</v>
      </c>
      <c r="M413" s="300"/>
      <c r="N413" s="300"/>
      <c r="O413" s="300"/>
      <c r="P413" s="300"/>
      <c r="Q413" s="300"/>
      <c r="R413" s="300"/>
      <c r="S413" s="300"/>
      <c r="T413" s="300"/>
      <c r="U413" s="300"/>
      <c r="V413" s="300"/>
      <c r="W413" s="300"/>
      <c r="X413" s="300"/>
      <c r="Y413" s="300"/>
      <c r="Z413" s="300"/>
      <c r="AA413" s="300"/>
      <c r="AB413" s="300"/>
      <c r="AC413" s="300"/>
      <c r="AD413" s="300"/>
      <c r="AE413" s="300"/>
    </row>
    <row r="414" spans="1:31">
      <c r="A414" s="766"/>
      <c r="B414" t="s">
        <v>639</v>
      </c>
      <c r="C414">
        <v>894</v>
      </c>
      <c r="D414">
        <v>12416</v>
      </c>
      <c r="E414" s="359">
        <f>D414*1000/(C371)</f>
        <v>1911.9186941792423</v>
      </c>
      <c r="F414" s="776"/>
      <c r="G414" s="300"/>
      <c r="H414" s="359"/>
      <c r="I414" s="300"/>
      <c r="J414" s="300"/>
      <c r="K414" s="300"/>
      <c r="L414" s="300"/>
      <c r="M414" s="300"/>
      <c r="N414" s="300"/>
      <c r="O414" s="300"/>
      <c r="P414" s="300"/>
      <c r="Q414" s="300"/>
      <c r="R414" s="300"/>
      <c r="S414" s="300"/>
      <c r="T414" s="300"/>
      <c r="U414" s="300"/>
      <c r="V414" s="300"/>
      <c r="W414" s="300"/>
      <c r="X414" s="300"/>
      <c r="Y414" s="300"/>
      <c r="Z414" s="300"/>
      <c r="AA414" s="300"/>
      <c r="AB414" s="300"/>
      <c r="AC414" s="300"/>
      <c r="AD414" s="300"/>
      <c r="AE414" s="300"/>
    </row>
    <row r="415" spans="1:31">
      <c r="A415" s="766" t="s">
        <v>1012</v>
      </c>
      <c r="B415" t="s">
        <v>640</v>
      </c>
      <c r="C415">
        <v>2606</v>
      </c>
      <c r="D415">
        <v>35975</v>
      </c>
      <c r="E415" s="359">
        <f>D415*1000/(C372)</f>
        <v>4375.45609340793</v>
      </c>
      <c r="F415" s="776">
        <f>1000*(D415+D416)/(C372+C373)</f>
        <v>5858.6670361646111</v>
      </c>
      <c r="G415" s="300"/>
      <c r="H415" s="300"/>
      <c r="I415" s="300"/>
      <c r="J415" s="300"/>
      <c r="K415" s="300"/>
      <c r="L415" s="300"/>
      <c r="M415" s="300"/>
      <c r="N415" s="300"/>
      <c r="O415" s="300"/>
      <c r="P415" s="300"/>
      <c r="Q415" s="300"/>
      <c r="R415" s="300"/>
      <c r="S415" s="300"/>
      <c r="T415" s="300"/>
      <c r="U415" s="300"/>
      <c r="V415" s="300"/>
      <c r="W415" s="300"/>
      <c r="X415" s="300"/>
      <c r="Y415" s="300"/>
      <c r="Z415" s="300"/>
      <c r="AA415" s="300"/>
      <c r="AB415" s="300"/>
      <c r="AC415" s="300"/>
      <c r="AD415" s="300"/>
      <c r="AE415" s="300"/>
    </row>
    <row r="416" spans="1:31">
      <c r="A416" s="766"/>
      <c r="B416" t="s">
        <v>641</v>
      </c>
      <c r="C416">
        <v>7500</v>
      </c>
      <c r="D416">
        <v>90871</v>
      </c>
      <c r="E416" s="359">
        <f>D416*1000/(C373)</f>
        <v>6766.7734008489088</v>
      </c>
      <c r="F416" s="776"/>
      <c r="G416" s="300"/>
      <c r="H416" s="359"/>
      <c r="I416" s="300"/>
      <c r="J416" s="300"/>
      <c r="K416" s="300"/>
      <c r="L416" s="300"/>
      <c r="M416" s="300"/>
      <c r="N416" s="300"/>
      <c r="O416" s="300"/>
      <c r="P416" s="300"/>
      <c r="Q416" s="300"/>
      <c r="R416" s="300"/>
      <c r="S416" s="300"/>
      <c r="T416" s="300"/>
      <c r="U416" s="300"/>
      <c r="V416" s="300"/>
      <c r="W416" s="300"/>
      <c r="X416" s="300"/>
      <c r="Y416" s="300"/>
      <c r="Z416" s="300"/>
      <c r="AA416" s="300"/>
      <c r="AB416" s="300"/>
      <c r="AC416" s="300"/>
      <c r="AD416" s="300"/>
      <c r="AE416" s="300"/>
    </row>
    <row r="417" spans="1:31">
      <c r="A417" s="107"/>
      <c r="B417" s="107" t="s">
        <v>16</v>
      </c>
      <c r="C417" s="341">
        <f>SUM(C411:C416)</f>
        <v>11538</v>
      </c>
      <c r="D417" s="341">
        <f>SUM(D411:D416)</f>
        <v>150036</v>
      </c>
      <c r="E417" s="360">
        <f>D417*1000/(C374)</f>
        <v>423.2816771474275</v>
      </c>
      <c r="F417" s="193"/>
      <c r="G417" s="300"/>
      <c r="H417" s="300"/>
      <c r="I417" s="300"/>
      <c r="J417" s="300"/>
      <c r="K417" s="300"/>
      <c r="L417" s="300"/>
      <c r="M417" s="300"/>
      <c r="N417" s="300"/>
      <c r="O417" s="300"/>
      <c r="P417" s="300"/>
      <c r="Q417" s="300"/>
      <c r="R417" s="300"/>
      <c r="S417" s="300"/>
      <c r="T417" s="300"/>
      <c r="U417" s="300"/>
      <c r="V417" s="300"/>
      <c r="W417" s="300"/>
      <c r="X417" s="300"/>
      <c r="Y417" s="300"/>
      <c r="Z417" s="300"/>
      <c r="AA417" s="300"/>
      <c r="AB417" s="300"/>
      <c r="AC417" s="300"/>
      <c r="AD417" s="300"/>
      <c r="AE417" s="300"/>
    </row>
    <row r="418" spans="1:31">
      <c r="A418" t="s">
        <v>1017</v>
      </c>
      <c r="B418" s="340"/>
      <c r="C418" s="342"/>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c r="AA418" s="300"/>
      <c r="AB418" s="300"/>
      <c r="AC418" s="300"/>
      <c r="AD418" s="300"/>
      <c r="AE418" s="300"/>
    </row>
    <row r="419" spans="1:31">
      <c r="A419" s="340"/>
      <c r="B419" s="340"/>
      <c r="C419" s="342"/>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c r="AA419" s="300"/>
      <c r="AB419" s="300"/>
      <c r="AC419" s="300"/>
    </row>
    <row r="420" spans="1:31">
      <c r="A420" s="340"/>
      <c r="B420" s="340"/>
      <c r="C420" s="342"/>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c r="AA420" s="300"/>
      <c r="AB420" s="300"/>
      <c r="AC420" s="300"/>
    </row>
    <row r="421" spans="1:31">
      <c r="A421" s="340"/>
      <c r="B421" s="340"/>
      <c r="C421" s="342"/>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c r="AA421" s="300"/>
      <c r="AB421" s="300"/>
      <c r="AC421" s="300"/>
    </row>
    <row r="422" spans="1:31" ht="15.5">
      <c r="A422" s="101" t="s">
        <v>1014</v>
      </c>
    </row>
    <row r="423" spans="1:31" ht="17.5">
      <c r="A423" s="82" t="s">
        <v>1013</v>
      </c>
      <c r="B423" s="82" t="s">
        <v>642</v>
      </c>
      <c r="C423" s="80" t="str">
        <f t="shared" ref="C423:AC423" si="205">C380</f>
        <v>IE</v>
      </c>
      <c r="D423" s="80" t="str">
        <f t="shared" si="205"/>
        <v>IE-CW</v>
      </c>
      <c r="E423" s="80" t="str">
        <f t="shared" si="205"/>
        <v>IE-D</v>
      </c>
      <c r="F423" s="80" t="str">
        <f t="shared" si="205"/>
        <v>IE-KE</v>
      </c>
      <c r="G423" s="80" t="str">
        <f t="shared" si="205"/>
        <v>IE-KK</v>
      </c>
      <c r="H423" s="80" t="str">
        <f t="shared" si="205"/>
        <v>IE-LS</v>
      </c>
      <c r="I423" s="80" t="str">
        <f t="shared" si="205"/>
        <v>IE-LD</v>
      </c>
      <c r="J423" s="80" t="str">
        <f t="shared" si="205"/>
        <v>IE-LH</v>
      </c>
      <c r="K423" s="80" t="str">
        <f t="shared" si="205"/>
        <v>IE-MH</v>
      </c>
      <c r="L423" s="80" t="str">
        <f t="shared" si="205"/>
        <v>IE-OY</v>
      </c>
      <c r="M423" s="80" t="str">
        <f t="shared" si="205"/>
        <v>IE-WH</v>
      </c>
      <c r="N423" s="80" t="str">
        <f t="shared" si="205"/>
        <v>IE-WX</v>
      </c>
      <c r="O423" s="80" t="str">
        <f t="shared" si="205"/>
        <v>IE-WW</v>
      </c>
      <c r="P423" s="80" t="str">
        <f t="shared" si="205"/>
        <v>IE-CE</v>
      </c>
      <c r="Q423" s="80" t="str">
        <f t="shared" si="205"/>
        <v>IE-CO</v>
      </c>
      <c r="R423" s="80" t="str">
        <f t="shared" si="205"/>
        <v>IE-KY</v>
      </c>
      <c r="S423" s="80" t="str">
        <f t="shared" si="205"/>
        <v>IE-LK</v>
      </c>
      <c r="T423" s="80" t="str">
        <f t="shared" si="205"/>
        <v>IE-TA</v>
      </c>
      <c r="U423" s="80" t="str">
        <f t="shared" si="205"/>
        <v>IE-WD</v>
      </c>
      <c r="V423" s="80" t="str">
        <f t="shared" si="205"/>
        <v>IE-G</v>
      </c>
      <c r="W423" s="80" t="str">
        <f t="shared" si="205"/>
        <v>IE-LM</v>
      </c>
      <c r="X423" s="80" t="str">
        <f t="shared" si="205"/>
        <v>IE-MO</v>
      </c>
      <c r="Y423" s="80" t="str">
        <f t="shared" si="205"/>
        <v>IE-RN</v>
      </c>
      <c r="Z423" s="80" t="str">
        <f t="shared" si="205"/>
        <v>IE-SO</v>
      </c>
      <c r="AA423" s="80" t="str">
        <f t="shared" si="205"/>
        <v>IE-CN</v>
      </c>
      <c r="AB423" s="80" t="str">
        <f t="shared" si="205"/>
        <v>IE-DL</v>
      </c>
      <c r="AC423" s="80" t="str">
        <f t="shared" si="205"/>
        <v>IE-MN</v>
      </c>
    </row>
    <row r="424" spans="1:31">
      <c r="A424" s="343" t="s">
        <v>1010</v>
      </c>
      <c r="B424" t="s">
        <v>1019</v>
      </c>
      <c r="C424">
        <f>C412</f>
        <v>292</v>
      </c>
      <c r="D424" s="6">
        <f>$C424*D$480</f>
        <v>4.5036639360040285</v>
      </c>
      <c r="E424" s="6">
        <f t="shared" ref="D424:M426" si="206">$C424*E$480</f>
        <v>66.545424955208503</v>
      </c>
      <c r="F424" s="6">
        <f t="shared" si="206"/>
        <v>12.206547657003652</v>
      </c>
      <c r="G424" s="6">
        <f t="shared" si="206"/>
        <v>7.8498485859894576</v>
      </c>
      <c r="H424" s="6">
        <f t="shared" si="206"/>
        <v>5.5910693087846983</v>
      </c>
      <c r="I424" s="6">
        <f t="shared" si="206"/>
        <v>2.6981330608871263</v>
      </c>
      <c r="J424" s="6">
        <f t="shared" si="206"/>
        <v>7.0705636223405346</v>
      </c>
      <c r="K424" s="6">
        <f t="shared" si="206"/>
        <v>10.700094745319726</v>
      </c>
      <c r="L424" s="6">
        <f t="shared" si="206"/>
        <v>5.146408425117345</v>
      </c>
      <c r="M424" s="6">
        <f t="shared" si="206"/>
        <v>5.8599386346720381</v>
      </c>
      <c r="N424" s="6">
        <f t="shared" ref="N424:W426" si="207">$C424*N$480</f>
        <v>11.843911540546534</v>
      </c>
      <c r="O424" s="6">
        <f t="shared" si="207"/>
        <v>7.8134215566854737</v>
      </c>
      <c r="P424" s="6">
        <f t="shared" si="207"/>
        <v>7.688817017013525</v>
      </c>
      <c r="Q424" s="6">
        <f t="shared" si="207"/>
        <v>41.139368114561577</v>
      </c>
      <c r="R424" s="6">
        <f t="shared" si="207"/>
        <v>11.193462584085903</v>
      </c>
      <c r="S424" s="6">
        <f t="shared" si="207"/>
        <v>12.61219141872728</v>
      </c>
      <c r="T424" s="6">
        <f t="shared" si="207"/>
        <v>10.324901499916336</v>
      </c>
      <c r="U424" s="6">
        <f t="shared" si="207"/>
        <v>9.1902209904658907</v>
      </c>
      <c r="V424" s="6">
        <f t="shared" si="207"/>
        <v>15.314016005661671</v>
      </c>
      <c r="W424" s="6">
        <f t="shared" si="207"/>
        <v>2.0423414488510581</v>
      </c>
      <c r="X424" s="6">
        <f t="shared" ref="X424:AC426" si="208">$C424*X$480</f>
        <v>7.7447174156619347</v>
      </c>
      <c r="Y424" s="6">
        <f t="shared" si="208"/>
        <v>3.830254629073413</v>
      </c>
      <c r="Z424" s="6">
        <f t="shared" si="208"/>
        <v>4.1769082152806787</v>
      </c>
      <c r="AA424" s="6">
        <f t="shared" si="208"/>
        <v>4.8551180316963602</v>
      </c>
      <c r="AB424" s="6">
        <f t="shared" si="208"/>
        <v>10.146187115388139</v>
      </c>
      <c r="AC424" s="6">
        <f t="shared" si="208"/>
        <v>3.9124694850571404</v>
      </c>
    </row>
    <row r="425" spans="1:31">
      <c r="A425" s="343" t="s">
        <v>1011</v>
      </c>
      <c r="B425" t="s">
        <v>1020</v>
      </c>
      <c r="C425" s="2">
        <f>C413+C414</f>
        <v>1140</v>
      </c>
      <c r="D425" s="6">
        <f t="shared" si="206"/>
        <v>17.58279755837189</v>
      </c>
      <c r="E425" s="6">
        <f t="shared" si="206"/>
        <v>259.80063167444416</v>
      </c>
      <c r="F425" s="6">
        <f t="shared" si="206"/>
        <v>47.65569975679508</v>
      </c>
      <c r="G425" s="6">
        <f t="shared" si="206"/>
        <v>30.646669137082128</v>
      </c>
      <c r="H425" s="6">
        <f t="shared" si="206"/>
        <v>21.828147301419712</v>
      </c>
      <c r="I425" s="6">
        <f t="shared" si="206"/>
        <v>10.533807155518234</v>
      </c>
      <c r="J425" s="6">
        <f t="shared" si="206"/>
        <v>27.604255237904827</v>
      </c>
      <c r="K425" s="6">
        <f t="shared" si="206"/>
        <v>41.774342498850984</v>
      </c>
      <c r="L425" s="6">
        <f t="shared" si="206"/>
        <v>20.09214248162251</v>
      </c>
      <c r="M425" s="6">
        <f t="shared" si="206"/>
        <v>22.877842614815492</v>
      </c>
      <c r="N425" s="6">
        <f t="shared" si="207"/>
        <v>46.239928617202224</v>
      </c>
      <c r="O425" s="6">
        <f t="shared" si="207"/>
        <v>30.504454022676164</v>
      </c>
      <c r="P425" s="6">
        <f t="shared" si="207"/>
        <v>30.017984244504856</v>
      </c>
      <c r="Q425" s="6">
        <f t="shared" si="207"/>
        <v>160.61260154315136</v>
      </c>
      <c r="R425" s="6">
        <f t="shared" si="207"/>
        <v>43.700504609102502</v>
      </c>
      <c r="S425" s="6">
        <f t="shared" si="207"/>
        <v>49.239377456675001</v>
      </c>
      <c r="T425" s="6">
        <f t="shared" si="207"/>
        <v>40.309546951728159</v>
      </c>
      <c r="U425" s="6">
        <f t="shared" si="207"/>
        <v>35.879629894284641</v>
      </c>
      <c r="V425" s="6">
        <f t="shared" si="207"/>
        <v>59.787596734432547</v>
      </c>
      <c r="W425" s="6">
        <f t="shared" si="207"/>
        <v>7.9735248345555005</v>
      </c>
      <c r="X425" s="6">
        <f t="shared" si="208"/>
        <v>30.236225526899336</v>
      </c>
      <c r="Y425" s="6">
        <f t="shared" si="208"/>
        <v>14.953733825834558</v>
      </c>
      <c r="Z425" s="6">
        <f t="shared" si="208"/>
        <v>16.307107415821825</v>
      </c>
      <c r="AA425" s="6">
        <f t="shared" si="208"/>
        <v>18.954912863472092</v>
      </c>
      <c r="AB425" s="6">
        <f t="shared" si="208"/>
        <v>39.611826409392052</v>
      </c>
      <c r="AC425" s="6">
        <f t="shared" si="208"/>
        <v>15.27470963344226</v>
      </c>
    </row>
    <row r="426" spans="1:31">
      <c r="A426" s="343" t="s">
        <v>1012</v>
      </c>
      <c r="B426" t="s">
        <v>1021</v>
      </c>
      <c r="C426">
        <f>C415+C416</f>
        <v>10106</v>
      </c>
      <c r="D426" s="6">
        <f t="shared" si="206"/>
        <v>155.86995800430381</v>
      </c>
      <c r="E426" s="6">
        <f t="shared" si="206"/>
        <v>2303.1098102648534</v>
      </c>
      <c r="F426" s="6">
        <f t="shared" si="206"/>
        <v>422.46359801944828</v>
      </c>
      <c r="G426" s="6">
        <f t="shared" si="206"/>
        <v>271.68003359592279</v>
      </c>
      <c r="H426" s="6">
        <f t="shared" si="206"/>
        <v>193.50461107732247</v>
      </c>
      <c r="I426" s="6">
        <f t="shared" si="206"/>
        <v>93.381276415497609</v>
      </c>
      <c r="J426" s="6">
        <f t="shared" si="206"/>
        <v>244.70930125812822</v>
      </c>
      <c r="K426" s="6">
        <f t="shared" si="206"/>
        <v>370.32588183630531</v>
      </c>
      <c r="L426" s="6">
        <f t="shared" si="206"/>
        <v>178.11508063094482</v>
      </c>
      <c r="M426" s="6">
        <f t="shared" si="206"/>
        <v>202.81006795203979</v>
      </c>
      <c r="N426" s="6">
        <f t="shared" si="207"/>
        <v>409.91291105740851</v>
      </c>
      <c r="O426" s="6">
        <f t="shared" si="207"/>
        <v>270.41930908172395</v>
      </c>
      <c r="P426" s="6">
        <f t="shared" si="207"/>
        <v>266.10679717102289</v>
      </c>
      <c r="Q426" s="6">
        <f t="shared" si="207"/>
        <v>1423.8166238553399</v>
      </c>
      <c r="R426" s="6">
        <f t="shared" si="207"/>
        <v>387.40113998209637</v>
      </c>
      <c r="S426" s="6">
        <f t="shared" si="207"/>
        <v>436.5027619097873</v>
      </c>
      <c r="T426" s="6">
        <f t="shared" si="207"/>
        <v>357.34059780189892</v>
      </c>
      <c r="U426" s="6">
        <f t="shared" si="207"/>
        <v>318.06977167687774</v>
      </c>
      <c r="V426" s="6">
        <f t="shared" si="207"/>
        <v>530.01180052471523</v>
      </c>
      <c r="W426" s="6">
        <f t="shared" si="207"/>
        <v>70.684598226331474</v>
      </c>
      <c r="X426" s="6">
        <f t="shared" si="208"/>
        <v>268.04148699547778</v>
      </c>
      <c r="Y426" s="6">
        <f t="shared" si="208"/>
        <v>132.563538634986</v>
      </c>
      <c r="Z426" s="6">
        <f t="shared" si="208"/>
        <v>144.56107679324157</v>
      </c>
      <c r="AA426" s="6">
        <f t="shared" si="208"/>
        <v>168.03363982302542</v>
      </c>
      <c r="AB426" s="6">
        <f t="shared" si="208"/>
        <v>351.15536639764571</v>
      </c>
      <c r="AC426" s="6">
        <f t="shared" si="208"/>
        <v>135.4089610136557</v>
      </c>
    </row>
    <row r="427" spans="1:31">
      <c r="A427" s="107"/>
      <c r="B427" s="107" t="s">
        <v>16</v>
      </c>
      <c r="C427" s="341">
        <f t="shared" ref="C427:AC427" si="209">SUM(C424:C426)</f>
        <v>11538</v>
      </c>
      <c r="D427" s="341">
        <f t="shared" si="209"/>
        <v>177.95641949867974</v>
      </c>
      <c r="E427" s="341">
        <f t="shared" si="209"/>
        <v>2629.455866894506</v>
      </c>
      <c r="F427" s="341">
        <f t="shared" si="209"/>
        <v>482.32584543324703</v>
      </c>
      <c r="G427" s="341">
        <f t="shared" si="209"/>
        <v>310.17655131899437</v>
      </c>
      <c r="H427" s="341">
        <f t="shared" si="209"/>
        <v>220.92382768752688</v>
      </c>
      <c r="I427" s="341">
        <f t="shared" si="209"/>
        <v>106.61321663190297</v>
      </c>
      <c r="J427" s="341">
        <f t="shared" si="209"/>
        <v>279.38412011837357</v>
      </c>
      <c r="K427" s="341">
        <f t="shared" si="209"/>
        <v>422.80031908047602</v>
      </c>
      <c r="L427" s="341">
        <f t="shared" si="209"/>
        <v>203.35363153768466</v>
      </c>
      <c r="M427" s="341">
        <f t="shared" si="209"/>
        <v>231.54784920152733</v>
      </c>
      <c r="N427" s="341">
        <f t="shared" si="209"/>
        <v>467.99675121515725</v>
      </c>
      <c r="O427" s="341">
        <f t="shared" si="209"/>
        <v>308.73718466108562</v>
      </c>
      <c r="P427" s="341">
        <f t="shared" si="209"/>
        <v>303.81359843254126</v>
      </c>
      <c r="Q427" s="341">
        <f t="shared" si="209"/>
        <v>1625.5685935130527</v>
      </c>
      <c r="R427" s="341">
        <f t="shared" si="209"/>
        <v>442.29510717528478</v>
      </c>
      <c r="S427" s="341">
        <f t="shared" si="209"/>
        <v>498.35433078518957</v>
      </c>
      <c r="T427" s="341">
        <f t="shared" si="209"/>
        <v>407.97504625354344</v>
      </c>
      <c r="U427" s="341">
        <f t="shared" si="209"/>
        <v>363.13962256162824</v>
      </c>
      <c r="V427" s="341">
        <f t="shared" si="209"/>
        <v>605.11341326480942</v>
      </c>
      <c r="W427" s="341">
        <f t="shared" si="209"/>
        <v>80.700464509738026</v>
      </c>
      <c r="X427" s="341">
        <f t="shared" si="209"/>
        <v>306.02242993803907</v>
      </c>
      <c r="Y427" s="341">
        <f t="shared" si="209"/>
        <v>151.34752708989396</v>
      </c>
      <c r="Z427" s="341">
        <f t="shared" si="209"/>
        <v>165.04509242434406</v>
      </c>
      <c r="AA427" s="341">
        <f t="shared" si="209"/>
        <v>191.84367071819389</v>
      </c>
      <c r="AB427" s="341">
        <f t="shared" si="209"/>
        <v>400.91337992242592</v>
      </c>
      <c r="AC427" s="341">
        <f t="shared" si="209"/>
        <v>154.59614013215509</v>
      </c>
    </row>
    <row r="428" spans="1:31">
      <c r="A428" s="340"/>
      <c r="B428" s="340"/>
      <c r="C428" s="342"/>
      <c r="D428" s="342"/>
      <c r="E428" s="342"/>
      <c r="F428" s="342"/>
      <c r="G428" s="342"/>
      <c r="H428" s="342"/>
      <c r="I428" s="342"/>
      <c r="J428" s="342"/>
      <c r="K428" s="342"/>
      <c r="L428" s="342"/>
      <c r="M428" s="342"/>
      <c r="N428" s="342"/>
      <c r="O428" s="342"/>
      <c r="P428" s="342"/>
      <c r="Q428" s="342"/>
      <c r="R428" s="342"/>
      <c r="S428" s="342"/>
      <c r="T428" s="342"/>
      <c r="U428" s="342"/>
      <c r="V428" s="342"/>
      <c r="W428" s="342"/>
      <c r="X428" s="342"/>
      <c r="Y428" s="342"/>
      <c r="Z428" s="342"/>
      <c r="AA428" s="342"/>
      <c r="AB428" s="342"/>
      <c r="AC428" s="342"/>
    </row>
    <row r="429" spans="1:31">
      <c r="A429" s="340"/>
      <c r="B429" s="340"/>
      <c r="C429" s="342"/>
      <c r="D429" s="355"/>
      <c r="E429" s="355"/>
      <c r="F429" s="355"/>
      <c r="G429" s="355"/>
      <c r="H429" s="355"/>
      <c r="I429" s="342"/>
      <c r="J429" s="342"/>
      <c r="K429" s="342"/>
      <c r="L429" s="342"/>
      <c r="M429" s="342"/>
      <c r="N429" s="342"/>
      <c r="O429" s="342"/>
      <c r="P429" s="342"/>
      <c r="Q429" s="342"/>
      <c r="R429" s="342"/>
      <c r="S429" s="342"/>
      <c r="T429" s="342"/>
      <c r="U429" s="342"/>
      <c r="V429" s="342"/>
      <c r="W429" s="342"/>
      <c r="X429" s="342"/>
      <c r="Y429" s="342"/>
      <c r="Z429" s="342"/>
      <c r="AA429" s="342"/>
      <c r="AB429" s="342"/>
      <c r="AC429" s="342"/>
    </row>
    <row r="430" spans="1:31">
      <c r="A430" s="340"/>
      <c r="B430" s="340"/>
      <c r="C430" s="342"/>
      <c r="D430" s="342"/>
      <c r="E430" s="342"/>
      <c r="F430" s="342"/>
      <c r="G430" s="342"/>
      <c r="H430" s="342"/>
      <c r="I430" s="342"/>
      <c r="J430" s="342"/>
      <c r="K430" s="342"/>
      <c r="L430" s="342"/>
      <c r="M430" s="342"/>
      <c r="N430" s="342"/>
      <c r="O430" s="342"/>
      <c r="P430" s="342"/>
      <c r="Q430" s="342"/>
      <c r="R430" s="342"/>
      <c r="S430" s="342"/>
      <c r="T430" s="342"/>
      <c r="U430" s="342"/>
      <c r="V430" s="342"/>
      <c r="W430" s="342"/>
      <c r="X430" s="342"/>
      <c r="Y430" s="342"/>
      <c r="Z430" s="342"/>
      <c r="AA430" s="342"/>
      <c r="AB430" s="342"/>
      <c r="AC430" s="342"/>
    </row>
    <row r="431" spans="1:31" ht="15.5">
      <c r="A431" s="101" t="s">
        <v>1030</v>
      </c>
    </row>
    <row r="432" spans="1:31" ht="17.5">
      <c r="A432" s="82"/>
      <c r="B432" s="82" t="s">
        <v>642</v>
      </c>
      <c r="C432" s="80" t="str">
        <f>C423</f>
        <v>IE</v>
      </c>
      <c r="D432" s="80" t="str">
        <f t="shared" ref="D432:AC432" si="210">D423</f>
        <v>IE-CW</v>
      </c>
      <c r="E432" s="80" t="str">
        <f t="shared" si="210"/>
        <v>IE-D</v>
      </c>
      <c r="F432" s="80" t="str">
        <f t="shared" si="210"/>
        <v>IE-KE</v>
      </c>
      <c r="G432" s="80" t="str">
        <f t="shared" si="210"/>
        <v>IE-KK</v>
      </c>
      <c r="H432" s="80" t="str">
        <f t="shared" si="210"/>
        <v>IE-LS</v>
      </c>
      <c r="I432" s="80" t="str">
        <f t="shared" si="210"/>
        <v>IE-LD</v>
      </c>
      <c r="J432" s="80" t="str">
        <f t="shared" si="210"/>
        <v>IE-LH</v>
      </c>
      <c r="K432" s="80" t="str">
        <f t="shared" si="210"/>
        <v>IE-MH</v>
      </c>
      <c r="L432" s="80" t="str">
        <f t="shared" si="210"/>
        <v>IE-OY</v>
      </c>
      <c r="M432" s="80" t="str">
        <f t="shared" si="210"/>
        <v>IE-WH</v>
      </c>
      <c r="N432" s="80" t="str">
        <f t="shared" si="210"/>
        <v>IE-WX</v>
      </c>
      <c r="O432" s="80" t="str">
        <f t="shared" si="210"/>
        <v>IE-WW</v>
      </c>
      <c r="P432" s="80" t="str">
        <f t="shared" si="210"/>
        <v>IE-CE</v>
      </c>
      <c r="Q432" s="80" t="str">
        <f t="shared" si="210"/>
        <v>IE-CO</v>
      </c>
      <c r="R432" s="80" t="str">
        <f t="shared" si="210"/>
        <v>IE-KY</v>
      </c>
      <c r="S432" s="80" t="str">
        <f t="shared" si="210"/>
        <v>IE-LK</v>
      </c>
      <c r="T432" s="80" t="str">
        <f t="shared" si="210"/>
        <v>IE-TA</v>
      </c>
      <c r="U432" s="80" t="str">
        <f t="shared" si="210"/>
        <v>IE-WD</v>
      </c>
      <c r="V432" s="80" t="str">
        <f t="shared" si="210"/>
        <v>IE-G</v>
      </c>
      <c r="W432" s="80" t="str">
        <f t="shared" si="210"/>
        <v>IE-LM</v>
      </c>
      <c r="X432" s="80" t="str">
        <f t="shared" si="210"/>
        <v>IE-MO</v>
      </c>
      <c r="Y432" s="80" t="str">
        <f t="shared" si="210"/>
        <v>IE-RN</v>
      </c>
      <c r="Z432" s="80" t="str">
        <f t="shared" si="210"/>
        <v>IE-SO</v>
      </c>
      <c r="AA432" s="80" t="str">
        <f t="shared" si="210"/>
        <v>IE-CN</v>
      </c>
      <c r="AB432" s="80" t="str">
        <f t="shared" si="210"/>
        <v>IE-DL</v>
      </c>
      <c r="AC432" s="80" t="str">
        <f t="shared" si="210"/>
        <v>IE-MN</v>
      </c>
    </row>
    <row r="433" spans="1:29">
      <c r="A433" s="343" t="s">
        <v>1010</v>
      </c>
      <c r="B433" t="s">
        <v>1019</v>
      </c>
      <c r="C433" s="5">
        <f t="shared" ref="C433:AC433" si="211">C424/SUM(C381:C382)</f>
        <v>4.5497039576191958E-2</v>
      </c>
      <c r="D433" s="5">
        <f t="shared" si="211"/>
        <v>4.3304460923115656E-2</v>
      </c>
      <c r="E433" s="5">
        <f t="shared" si="211"/>
        <v>4.5238222267306935E-2</v>
      </c>
      <c r="F433" s="5">
        <f t="shared" si="211"/>
        <v>4.0553314475095192E-2</v>
      </c>
      <c r="G433" s="5">
        <f t="shared" si="211"/>
        <v>5.6473730834456531E-2</v>
      </c>
      <c r="H433" s="5">
        <f t="shared" si="211"/>
        <v>5.1294213842061454E-2</v>
      </c>
      <c r="I433" s="5">
        <f t="shared" si="211"/>
        <v>3.9103377694016325E-2</v>
      </c>
      <c r="J433" s="5">
        <f t="shared" si="211"/>
        <v>4.876250774027955E-2</v>
      </c>
      <c r="K433" s="5">
        <f t="shared" si="211"/>
        <v>3.9338583622498993E-2</v>
      </c>
      <c r="L433" s="5">
        <f t="shared" si="211"/>
        <v>4.3613630721333431E-2</v>
      </c>
      <c r="M433" s="5">
        <f t="shared" si="211"/>
        <v>3.8552227859684464E-2</v>
      </c>
      <c r="N433" s="5">
        <f t="shared" si="211"/>
        <v>4.8740376710068041E-2</v>
      </c>
      <c r="O433" s="5">
        <f t="shared" si="211"/>
        <v>4.4904721590146399E-2</v>
      </c>
      <c r="P433" s="5">
        <f t="shared" si="211"/>
        <v>4.4702424517520496E-2</v>
      </c>
      <c r="Q433" s="5">
        <f t="shared" si="211"/>
        <v>5.810645213921127E-2</v>
      </c>
      <c r="R433" s="5">
        <f t="shared" si="211"/>
        <v>5.3302202781361448E-2</v>
      </c>
      <c r="S433" s="5">
        <f t="shared" si="211"/>
        <v>5.1478332321335835E-2</v>
      </c>
      <c r="T433" s="5">
        <f t="shared" si="211"/>
        <v>4.3200424685842412E-2</v>
      </c>
      <c r="U433" s="5">
        <f t="shared" si="211"/>
        <v>6.6116697773135905E-2</v>
      </c>
      <c r="V433" s="5">
        <f t="shared" si="211"/>
        <v>4.1727564048124444E-2</v>
      </c>
      <c r="W433" s="5">
        <f t="shared" si="211"/>
        <v>3.348100735821407E-2</v>
      </c>
      <c r="X433" s="5">
        <f t="shared" si="211"/>
        <v>3.2135756911460311E-2</v>
      </c>
      <c r="Y433" s="5">
        <f t="shared" si="211"/>
        <v>3.3019436457529423E-2</v>
      </c>
      <c r="Z433" s="5">
        <f t="shared" si="211"/>
        <v>3.9780078240768367E-2</v>
      </c>
      <c r="AA433" s="5">
        <f t="shared" si="211"/>
        <v>3.3951874347526993E-2</v>
      </c>
      <c r="AB433" s="5">
        <f t="shared" si="211"/>
        <v>4.1077680629101776E-2</v>
      </c>
      <c r="AC433" s="5">
        <f t="shared" si="211"/>
        <v>2.9866179275245347E-2</v>
      </c>
    </row>
    <row r="434" spans="1:29">
      <c r="A434" s="343" t="s">
        <v>1011</v>
      </c>
      <c r="B434" t="s">
        <v>1020</v>
      </c>
      <c r="C434" s="5">
        <f t="shared" ref="C434:AC434" si="212">C425/SUM(C383:C384)</f>
        <v>3.4234234234234235</v>
      </c>
      <c r="D434" s="5">
        <f t="shared" si="212"/>
        <v>3.516559511674378</v>
      </c>
      <c r="E434" s="5">
        <f t="shared" si="212"/>
        <v>2.547065016416119</v>
      </c>
      <c r="F434" s="5">
        <f t="shared" si="212"/>
        <v>3.1770466504530055</v>
      </c>
      <c r="G434" s="5">
        <f t="shared" si="212"/>
        <v>5.107778189513688</v>
      </c>
      <c r="H434" s="5">
        <f t="shared" si="212"/>
        <v>3.6380245502366186</v>
      </c>
      <c r="I434" s="5">
        <f t="shared" si="212"/>
        <v>3.5112690518394114</v>
      </c>
      <c r="J434" s="5">
        <f t="shared" si="212"/>
        <v>2.3003546031587354</v>
      </c>
      <c r="K434" s="5">
        <f t="shared" si="212"/>
        <v>2.9838816070607845</v>
      </c>
      <c r="L434" s="5">
        <f t="shared" si="212"/>
        <v>5.0230356204056275</v>
      </c>
      <c r="M434" s="5">
        <f t="shared" si="212"/>
        <v>3.8129737691359153</v>
      </c>
      <c r="N434" s="5">
        <f t="shared" si="212"/>
        <v>3.5569175859386326</v>
      </c>
      <c r="O434" s="5">
        <f t="shared" si="212"/>
        <v>6.1008908045352328</v>
      </c>
      <c r="P434" s="5">
        <f t="shared" si="212"/>
        <v>6.0035968489009708</v>
      </c>
      <c r="Q434" s="5">
        <f t="shared" si="212"/>
        <v>4.723900045386805</v>
      </c>
      <c r="R434" s="5">
        <f t="shared" si="212"/>
        <v>6.2429292298717858</v>
      </c>
      <c r="S434" s="5">
        <f t="shared" si="212"/>
        <v>2.2381535207579546</v>
      </c>
      <c r="T434" s="5">
        <f t="shared" si="212"/>
        <v>3.6645042683389235</v>
      </c>
      <c r="U434" s="5">
        <f t="shared" si="212"/>
        <v>7.1759259788569283</v>
      </c>
      <c r="V434" s="5">
        <f t="shared" si="212"/>
        <v>3.985839782295503</v>
      </c>
      <c r="W434" s="5">
        <f t="shared" si="212"/>
        <v>3.9867624172777503</v>
      </c>
      <c r="X434" s="5">
        <f t="shared" si="212"/>
        <v>4.3194607895570476</v>
      </c>
      <c r="Y434" s="5">
        <f t="shared" si="212"/>
        <v>2.4922889709724263</v>
      </c>
      <c r="Z434" s="5">
        <f t="shared" si="212"/>
        <v>3.2614214831643649</v>
      </c>
      <c r="AA434" s="5">
        <f t="shared" si="212"/>
        <v>3.1591521439120154</v>
      </c>
      <c r="AB434" s="5">
        <f t="shared" si="212"/>
        <v>4.9514783011740064</v>
      </c>
      <c r="AC434" s="5">
        <f t="shared" si="212"/>
        <v>1.9093387041802825</v>
      </c>
    </row>
    <row r="435" spans="1:29">
      <c r="A435" s="344" t="s">
        <v>1012</v>
      </c>
      <c r="B435" s="79" t="s">
        <v>1021</v>
      </c>
      <c r="C435" s="250">
        <f t="shared" ref="C435:AC435" si="213">C426/SUM(C385:C386)</f>
        <v>8.8649122807017537</v>
      </c>
      <c r="D435" s="250">
        <f t="shared" si="213"/>
        <v>7.4223789525858956</v>
      </c>
      <c r="E435" s="250">
        <f t="shared" si="213"/>
        <v>11.690912742461185</v>
      </c>
      <c r="F435" s="250">
        <f t="shared" si="213"/>
        <v>6.8139290003136823</v>
      </c>
      <c r="G435" s="250">
        <f t="shared" si="213"/>
        <v>6.3181403161842509</v>
      </c>
      <c r="H435" s="250">
        <f t="shared" si="213"/>
        <v>7.4424850414354795</v>
      </c>
      <c r="I435" s="250">
        <f t="shared" si="213"/>
        <v>6.2254184276998403</v>
      </c>
      <c r="J435" s="250">
        <f t="shared" si="213"/>
        <v>7.6471656643165069</v>
      </c>
      <c r="K435" s="250">
        <f t="shared" si="213"/>
        <v>5.1434150255042406</v>
      </c>
      <c r="L435" s="250">
        <f t="shared" si="213"/>
        <v>10.477357684173224</v>
      </c>
      <c r="M435" s="250">
        <f t="shared" si="213"/>
        <v>12.675629247002487</v>
      </c>
      <c r="N435" s="250">
        <f t="shared" si="213"/>
        <v>5.2552937315052377</v>
      </c>
      <c r="O435" s="250">
        <f t="shared" si="213"/>
        <v>12.877109956272569</v>
      </c>
      <c r="P435" s="250">
        <f t="shared" si="213"/>
        <v>12.671752246239185</v>
      </c>
      <c r="Q435" s="250">
        <f t="shared" si="213"/>
        <v>10.469239881289264</v>
      </c>
      <c r="R435" s="250">
        <f t="shared" si="213"/>
        <v>14.900043845465245</v>
      </c>
      <c r="S435" s="250">
        <f t="shared" si="213"/>
        <v>8.083384479810876</v>
      </c>
      <c r="T435" s="250">
        <f t="shared" si="213"/>
        <v>6.8719345731134407</v>
      </c>
      <c r="U435" s="250">
        <f t="shared" si="213"/>
        <v>16.74051429878304</v>
      </c>
      <c r="V435" s="250">
        <f t="shared" si="213"/>
        <v>11.521995663580766</v>
      </c>
      <c r="W435" s="250">
        <f t="shared" si="213"/>
        <v>10.097799746618781</v>
      </c>
      <c r="X435" s="250">
        <f t="shared" si="213"/>
        <v>12.183703954339899</v>
      </c>
      <c r="Y435" s="250">
        <f t="shared" si="213"/>
        <v>8.2852211646866252</v>
      </c>
      <c r="Z435" s="250">
        <f t="shared" si="213"/>
        <v>13.14191607211287</v>
      </c>
      <c r="AA435" s="250">
        <f t="shared" si="213"/>
        <v>5.6011213274341811</v>
      </c>
      <c r="AB435" s="250">
        <f t="shared" si="213"/>
        <v>10.033010468504163</v>
      </c>
      <c r="AC435" s="250">
        <f t="shared" si="213"/>
        <v>2.219819033010749</v>
      </c>
    </row>
    <row r="436" spans="1:29">
      <c r="A436" s="340"/>
      <c r="B436" s="340"/>
      <c r="C436" s="342"/>
      <c r="D436" s="342"/>
      <c r="E436" s="342"/>
      <c r="F436" s="342"/>
      <c r="G436" s="342"/>
      <c r="H436" s="342"/>
      <c r="I436" s="342"/>
      <c r="J436" s="342"/>
      <c r="K436" s="342"/>
      <c r="L436" s="342"/>
      <c r="M436" s="342"/>
      <c r="N436" s="342"/>
      <c r="O436" s="342"/>
      <c r="P436" s="342"/>
      <c r="Q436" s="342"/>
      <c r="R436" s="342"/>
      <c r="S436" s="342"/>
      <c r="T436" s="342"/>
      <c r="U436" s="342"/>
      <c r="V436" s="342"/>
      <c r="W436" s="342"/>
      <c r="X436" s="342"/>
      <c r="Y436" s="342"/>
      <c r="Z436" s="342"/>
      <c r="AA436" s="342"/>
      <c r="AB436" s="342"/>
      <c r="AC436" s="342"/>
    </row>
    <row r="437" spans="1:29">
      <c r="A437" s="340"/>
      <c r="B437" s="340"/>
      <c r="C437" s="342"/>
      <c r="D437" s="342"/>
      <c r="E437" s="342"/>
      <c r="F437" s="342"/>
      <c r="G437" s="342"/>
      <c r="H437" s="342"/>
      <c r="I437" s="342"/>
      <c r="J437" s="342"/>
      <c r="K437" s="342"/>
      <c r="L437" s="342"/>
      <c r="M437" s="342"/>
      <c r="N437" s="342"/>
      <c r="O437" s="342"/>
      <c r="P437" s="342"/>
      <c r="Q437" s="342"/>
      <c r="R437" s="342"/>
      <c r="S437" s="342"/>
      <c r="T437" s="342"/>
      <c r="U437" s="342"/>
      <c r="V437" s="342"/>
      <c r="W437" s="342"/>
      <c r="X437" s="342"/>
      <c r="Y437" s="342"/>
      <c r="Z437" s="342"/>
      <c r="AA437" s="342"/>
      <c r="AB437" s="342"/>
      <c r="AC437" s="342"/>
    </row>
    <row r="438" spans="1:29">
      <c r="A438" s="340"/>
      <c r="B438" s="340"/>
      <c r="C438" s="342"/>
      <c r="D438" s="342"/>
      <c r="E438" s="342"/>
      <c r="F438" s="342"/>
      <c r="G438" s="342"/>
      <c r="H438" s="342"/>
      <c r="I438" s="342"/>
      <c r="J438" s="342"/>
      <c r="K438" s="342"/>
      <c r="L438" s="342"/>
      <c r="M438" s="342"/>
      <c r="N438" s="342"/>
      <c r="O438" s="342"/>
      <c r="P438" s="342"/>
      <c r="Q438" s="342"/>
      <c r="R438" s="342"/>
      <c r="S438" s="342"/>
      <c r="T438" s="342"/>
      <c r="U438" s="342"/>
      <c r="V438" s="342"/>
      <c r="W438" s="342"/>
      <c r="X438" s="342"/>
      <c r="Y438" s="342"/>
      <c r="Z438" s="342"/>
      <c r="AA438" s="342"/>
      <c r="AB438" s="342"/>
      <c r="AC438" s="342"/>
    </row>
    <row r="439" spans="1:29">
      <c r="A439" s="340"/>
      <c r="B439" s="340"/>
      <c r="C439" s="30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c r="AA439" s="300"/>
      <c r="AB439" s="300"/>
      <c r="AC439" s="300"/>
    </row>
    <row r="440" spans="1:29">
      <c r="A440" s="340"/>
      <c r="B440" s="340"/>
      <c r="C440" s="30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c r="AA440" s="300"/>
      <c r="AB440" s="300"/>
      <c r="AC440" s="300"/>
    </row>
    <row r="442" spans="1:29" ht="15.5">
      <c r="A442" s="101" t="s">
        <v>662</v>
      </c>
    </row>
    <row r="443" spans="1:29" ht="15.5">
      <c r="A443" s="82" t="s">
        <v>316</v>
      </c>
      <c r="B443" s="770" t="s">
        <v>659</v>
      </c>
      <c r="C443" s="770"/>
      <c r="D443" s="770"/>
      <c r="E443" s="770"/>
      <c r="F443" s="770"/>
      <c r="G443" s="770"/>
      <c r="H443" s="770"/>
      <c r="I443" s="770"/>
      <c r="J443" s="770"/>
      <c r="K443" s="770"/>
      <c r="L443" s="770"/>
    </row>
    <row r="444" spans="1:29">
      <c r="B444" s="196" t="s">
        <v>646</v>
      </c>
      <c r="C444" s="199" t="s">
        <v>647</v>
      </c>
      <c r="D444" s="202" t="s">
        <v>648</v>
      </c>
      <c r="E444" s="204" t="s">
        <v>649</v>
      </c>
      <c r="F444" s="36" t="s">
        <v>650</v>
      </c>
      <c r="G444" s="207" t="s">
        <v>651</v>
      </c>
      <c r="H444" t="s">
        <v>345</v>
      </c>
      <c r="I444" s="209" t="s">
        <v>652</v>
      </c>
      <c r="J444" s="210" t="s">
        <v>653</v>
      </c>
      <c r="K444" s="196" t="s">
        <v>654</v>
      </c>
      <c r="L444" s="196" t="s">
        <v>655</v>
      </c>
    </row>
    <row r="445" spans="1:29" ht="15.5">
      <c r="A445" s="198" t="s">
        <v>658</v>
      </c>
    </row>
    <row r="446" spans="1:29">
      <c r="A446" s="195" t="s">
        <v>656</v>
      </c>
      <c r="B446">
        <v>11537</v>
      </c>
      <c r="C446">
        <v>863</v>
      </c>
      <c r="D446">
        <v>913</v>
      </c>
      <c r="E446">
        <v>1054</v>
      </c>
      <c r="F446">
        <v>1180</v>
      </c>
      <c r="G446">
        <v>1840</v>
      </c>
      <c r="H446">
        <v>2185</v>
      </c>
      <c r="I446">
        <v>1266</v>
      </c>
      <c r="J446">
        <v>666</v>
      </c>
      <c r="K446">
        <v>401</v>
      </c>
      <c r="L446">
        <v>1169</v>
      </c>
    </row>
    <row r="447" spans="1:29">
      <c r="A447" s="195" t="s">
        <v>647</v>
      </c>
      <c r="B447">
        <v>1006</v>
      </c>
      <c r="C447">
        <v>302</v>
      </c>
      <c r="D447">
        <v>62</v>
      </c>
      <c r="E447">
        <v>34</v>
      </c>
      <c r="F447">
        <v>50</v>
      </c>
      <c r="G447">
        <v>65</v>
      </c>
      <c r="H447">
        <v>165</v>
      </c>
      <c r="I447">
        <v>110</v>
      </c>
      <c r="J447">
        <v>47</v>
      </c>
      <c r="K447">
        <v>77</v>
      </c>
      <c r="L447">
        <v>95</v>
      </c>
    </row>
    <row r="448" spans="1:29">
      <c r="A448" s="195" t="s">
        <v>648</v>
      </c>
      <c r="B448">
        <v>812</v>
      </c>
      <c r="C448">
        <v>44</v>
      </c>
      <c r="D448">
        <v>296</v>
      </c>
      <c r="E448">
        <v>62</v>
      </c>
      <c r="F448">
        <v>44</v>
      </c>
      <c r="G448">
        <v>53</v>
      </c>
      <c r="H448">
        <v>171</v>
      </c>
      <c r="I448">
        <v>41</v>
      </c>
      <c r="J448">
        <v>42</v>
      </c>
      <c r="K448">
        <v>14</v>
      </c>
      <c r="L448">
        <v>44</v>
      </c>
    </row>
    <row r="449" spans="1:12">
      <c r="A449" s="195" t="s">
        <v>649</v>
      </c>
      <c r="B449">
        <v>1086</v>
      </c>
      <c r="C449">
        <v>33</v>
      </c>
      <c r="D449">
        <v>83</v>
      </c>
      <c r="E449">
        <v>376</v>
      </c>
      <c r="F449">
        <v>106</v>
      </c>
      <c r="G449">
        <v>192</v>
      </c>
      <c r="H449">
        <v>147</v>
      </c>
      <c r="I449">
        <v>48</v>
      </c>
      <c r="J449">
        <v>47</v>
      </c>
      <c r="K449">
        <v>11</v>
      </c>
      <c r="L449">
        <v>42</v>
      </c>
    </row>
    <row r="450" spans="1:12">
      <c r="A450" s="195" t="s">
        <v>650</v>
      </c>
      <c r="B450">
        <v>1010</v>
      </c>
      <c r="C450">
        <v>25</v>
      </c>
      <c r="D450">
        <v>47</v>
      </c>
      <c r="E450">
        <v>66</v>
      </c>
      <c r="F450">
        <v>360</v>
      </c>
      <c r="G450">
        <v>113</v>
      </c>
      <c r="H450">
        <v>136</v>
      </c>
      <c r="I450">
        <v>90</v>
      </c>
      <c r="J450">
        <v>56</v>
      </c>
      <c r="K450">
        <v>37</v>
      </c>
      <c r="L450">
        <v>80</v>
      </c>
    </row>
    <row r="451" spans="1:12">
      <c r="A451" s="195" t="s">
        <v>651</v>
      </c>
      <c r="B451">
        <v>1518</v>
      </c>
      <c r="C451">
        <v>16</v>
      </c>
      <c r="D451">
        <v>30</v>
      </c>
      <c r="E451">
        <v>174</v>
      </c>
      <c r="F451">
        <v>156</v>
      </c>
      <c r="G451">
        <v>712</v>
      </c>
      <c r="H451">
        <v>249</v>
      </c>
      <c r="I451">
        <v>60</v>
      </c>
      <c r="J451">
        <v>53</v>
      </c>
      <c r="K451">
        <v>26</v>
      </c>
      <c r="L451">
        <v>43</v>
      </c>
    </row>
    <row r="452" spans="1:12">
      <c r="A452" s="195" t="s">
        <v>345</v>
      </c>
      <c r="B452">
        <v>2741</v>
      </c>
      <c r="C452">
        <v>190</v>
      </c>
      <c r="D452">
        <v>238</v>
      </c>
      <c r="E452">
        <v>228</v>
      </c>
      <c r="F452">
        <v>235</v>
      </c>
      <c r="G452">
        <v>490</v>
      </c>
      <c r="H452">
        <v>614</v>
      </c>
      <c r="I452">
        <v>374</v>
      </c>
      <c r="J452">
        <v>178</v>
      </c>
      <c r="K452">
        <v>108</v>
      </c>
      <c r="L452">
        <v>86</v>
      </c>
    </row>
    <row r="453" spans="1:12">
      <c r="A453" s="195" t="s">
        <v>652</v>
      </c>
      <c r="B453">
        <v>1308</v>
      </c>
      <c r="C453">
        <v>107</v>
      </c>
      <c r="D453">
        <v>48</v>
      </c>
      <c r="E453">
        <v>49</v>
      </c>
      <c r="F453">
        <v>120</v>
      </c>
      <c r="G453">
        <v>91</v>
      </c>
      <c r="H453">
        <v>300</v>
      </c>
      <c r="I453">
        <v>421</v>
      </c>
      <c r="J453">
        <v>73</v>
      </c>
      <c r="K453">
        <v>48</v>
      </c>
      <c r="L453">
        <v>51</v>
      </c>
    </row>
    <row r="454" spans="1:12">
      <c r="A454" s="195" t="s">
        <v>653</v>
      </c>
      <c r="B454">
        <v>697</v>
      </c>
      <c r="C454">
        <v>58</v>
      </c>
      <c r="D454">
        <v>73</v>
      </c>
      <c r="E454">
        <v>45</v>
      </c>
      <c r="F454">
        <v>64</v>
      </c>
      <c r="G454">
        <v>48</v>
      </c>
      <c r="H454">
        <v>122</v>
      </c>
      <c r="I454">
        <v>62</v>
      </c>
      <c r="J454">
        <v>156</v>
      </c>
      <c r="K454">
        <v>37</v>
      </c>
      <c r="L454">
        <v>31</v>
      </c>
    </row>
    <row r="455" spans="1:12">
      <c r="A455" s="195" t="s">
        <v>654</v>
      </c>
      <c r="B455">
        <v>231</v>
      </c>
      <c r="C455">
        <v>55</v>
      </c>
      <c r="D455">
        <v>12</v>
      </c>
      <c r="E455">
        <v>3</v>
      </c>
      <c r="F455">
        <v>12</v>
      </c>
      <c r="G455">
        <v>26</v>
      </c>
      <c r="H455">
        <v>51</v>
      </c>
      <c r="I455">
        <v>25</v>
      </c>
      <c r="J455">
        <v>5</v>
      </c>
      <c r="K455">
        <v>27</v>
      </c>
      <c r="L455">
        <v>15</v>
      </c>
    </row>
    <row r="456" spans="1:12">
      <c r="A456" s="197" t="s">
        <v>655</v>
      </c>
      <c r="B456" s="79">
        <v>1128</v>
      </c>
      <c r="C456" s="79">
        <v>32</v>
      </c>
      <c r="D456" s="79">
        <v>23</v>
      </c>
      <c r="E456" s="79">
        <v>18</v>
      </c>
      <c r="F456" s="79">
        <v>32</v>
      </c>
      <c r="G456" s="79">
        <v>50</v>
      </c>
      <c r="H456" s="79">
        <v>231</v>
      </c>
      <c r="I456" s="79">
        <v>35</v>
      </c>
      <c r="J456" s="79">
        <v>10</v>
      </c>
      <c r="K456" s="79">
        <v>15</v>
      </c>
      <c r="L456" s="79">
        <v>682</v>
      </c>
    </row>
    <row r="457" spans="1:12">
      <c r="A457" t="s">
        <v>657</v>
      </c>
    </row>
    <row r="461" spans="1:12">
      <c r="A461" s="82" t="s">
        <v>663</v>
      </c>
      <c r="B461" s="777" t="s">
        <v>664</v>
      </c>
      <c r="C461" s="777"/>
      <c r="D461" s="777"/>
      <c r="E461" s="777"/>
      <c r="F461" s="777"/>
    </row>
    <row r="462" spans="1:12">
      <c r="A462" s="199" t="s">
        <v>647</v>
      </c>
      <c r="B462" t="s">
        <v>368</v>
      </c>
      <c r="C462" t="s">
        <v>367</v>
      </c>
      <c r="D462" t="s">
        <v>369</v>
      </c>
      <c r="E462" t="s">
        <v>366</v>
      </c>
      <c r="F462" t="s">
        <v>363</v>
      </c>
    </row>
    <row r="463" spans="1:12">
      <c r="A463" s="202" t="s">
        <v>648</v>
      </c>
      <c r="B463" t="s">
        <v>364</v>
      </c>
      <c r="C463" t="s">
        <v>365</v>
      </c>
      <c r="D463" t="s">
        <v>362</v>
      </c>
    </row>
    <row r="464" spans="1:12">
      <c r="A464" s="204" t="s">
        <v>649</v>
      </c>
      <c r="B464" t="s">
        <v>356</v>
      </c>
      <c r="C464" t="s">
        <v>360</v>
      </c>
      <c r="D464" t="s">
        <v>359</v>
      </c>
    </row>
    <row r="465" spans="1:29">
      <c r="A465" s="36" t="s">
        <v>650</v>
      </c>
      <c r="B465" t="s">
        <v>344</v>
      </c>
      <c r="C465" t="s">
        <v>347</v>
      </c>
      <c r="D465" t="s">
        <v>354</v>
      </c>
      <c r="E465" t="s">
        <v>361</v>
      </c>
    </row>
    <row r="466" spans="1:29">
      <c r="A466" s="207" t="s">
        <v>651</v>
      </c>
      <c r="B466" t="s">
        <v>358</v>
      </c>
      <c r="C466" t="s">
        <v>357</v>
      </c>
    </row>
    <row r="467" spans="1:29">
      <c r="A467" t="s">
        <v>345</v>
      </c>
      <c r="B467" t="s">
        <v>345</v>
      </c>
    </row>
    <row r="468" spans="1:29">
      <c r="A468" s="209" t="s">
        <v>652</v>
      </c>
      <c r="B468" t="s">
        <v>346</v>
      </c>
      <c r="C468" t="s">
        <v>351</v>
      </c>
      <c r="D468" t="s">
        <v>665</v>
      </c>
      <c r="E468" t="s">
        <v>350</v>
      </c>
    </row>
    <row r="469" spans="1:29">
      <c r="A469" s="210" t="s">
        <v>653</v>
      </c>
      <c r="B469" s="79" t="s">
        <v>348</v>
      </c>
      <c r="C469" s="79" t="s">
        <v>352</v>
      </c>
      <c r="D469" s="79" t="s">
        <v>666</v>
      </c>
      <c r="E469" s="79" t="s">
        <v>353</v>
      </c>
      <c r="F469" s="79"/>
    </row>
    <row r="474" spans="1:29" ht="15.5">
      <c r="A474" s="101" t="s">
        <v>667</v>
      </c>
    </row>
    <row r="475" spans="1:29">
      <c r="A475" s="82"/>
      <c r="B475" s="82" t="s">
        <v>63</v>
      </c>
      <c r="C475" s="82" t="str">
        <f t="shared" ref="C475:AC475" si="214">C380</f>
        <v>IE</v>
      </c>
      <c r="D475" s="205" t="str">
        <f t="shared" si="214"/>
        <v>IE-CW</v>
      </c>
      <c r="E475" s="211" t="str">
        <f t="shared" si="214"/>
        <v>IE-D</v>
      </c>
      <c r="F475" s="208" t="str">
        <f t="shared" si="214"/>
        <v>IE-KE</v>
      </c>
      <c r="G475" s="205" t="str">
        <f t="shared" si="214"/>
        <v>IE-KK</v>
      </c>
      <c r="H475" s="82" t="str">
        <f t="shared" si="214"/>
        <v>IE-LS</v>
      </c>
      <c r="I475" s="82" t="str">
        <f t="shared" si="214"/>
        <v>IE-LD</v>
      </c>
      <c r="J475" s="208" t="str">
        <f t="shared" si="214"/>
        <v>IE-LH</v>
      </c>
      <c r="K475" s="208" t="str">
        <f t="shared" si="214"/>
        <v>IE-MH</v>
      </c>
      <c r="L475" s="82" t="str">
        <f t="shared" si="214"/>
        <v>IE-OY</v>
      </c>
      <c r="M475" s="82" t="str">
        <f t="shared" si="214"/>
        <v>IE-WH</v>
      </c>
      <c r="N475" s="205" t="str">
        <f t="shared" si="214"/>
        <v>IE-WX</v>
      </c>
      <c r="O475" s="208" t="str">
        <f t="shared" si="214"/>
        <v>IE-WW</v>
      </c>
      <c r="P475" s="203" t="str">
        <f t="shared" si="214"/>
        <v>IE-CE</v>
      </c>
      <c r="Q475" s="206" t="str">
        <f t="shared" si="214"/>
        <v>IE-CO</v>
      </c>
      <c r="R475" s="206" t="str">
        <f t="shared" si="214"/>
        <v>IE-KY</v>
      </c>
      <c r="S475" s="203" t="str">
        <f t="shared" si="214"/>
        <v>IE-LK</v>
      </c>
      <c r="T475" s="203" t="str">
        <f t="shared" si="214"/>
        <v>IE-TA</v>
      </c>
      <c r="U475" s="205" t="str">
        <f t="shared" si="214"/>
        <v>IE-WD</v>
      </c>
      <c r="V475" s="201" t="str">
        <f t="shared" si="214"/>
        <v>IE-G</v>
      </c>
      <c r="W475" s="200" t="str">
        <f t="shared" si="214"/>
        <v>IE-LM</v>
      </c>
      <c r="X475" s="201" t="str">
        <f t="shared" si="214"/>
        <v>IE-MO</v>
      </c>
      <c r="Y475" s="201" t="str">
        <f t="shared" si="214"/>
        <v>IE-RN</v>
      </c>
      <c r="Z475" s="200" t="str">
        <f t="shared" si="214"/>
        <v>IE-SO</v>
      </c>
      <c r="AA475" s="200" t="str">
        <f t="shared" si="214"/>
        <v>IE-CN</v>
      </c>
      <c r="AB475" s="200" t="str">
        <f t="shared" si="214"/>
        <v>IE-DL</v>
      </c>
      <c r="AC475" s="200" t="str">
        <f t="shared" si="214"/>
        <v>IE-MN</v>
      </c>
    </row>
    <row r="476" spans="1:29">
      <c r="A476" t="s">
        <v>370</v>
      </c>
      <c r="B476" t="s">
        <v>669</v>
      </c>
      <c r="C476" s="212">
        <f t="shared" ref="C476:AC476" si="215">B138</f>
        <v>4857000.0000000037</v>
      </c>
      <c r="D476" s="212">
        <f t="shared" si="215"/>
        <v>58069.41691963128</v>
      </c>
      <c r="E476" s="212">
        <f t="shared" si="215"/>
        <v>1374277.23444491</v>
      </c>
      <c r="F476" s="212">
        <f t="shared" si="215"/>
        <v>226949.29990665423</v>
      </c>
      <c r="G476" s="212">
        <f t="shared" si="215"/>
        <v>101214.50818114332</v>
      </c>
      <c r="H476" s="212">
        <f t="shared" si="215"/>
        <v>86389.120439155668</v>
      </c>
      <c r="I476" s="212">
        <f t="shared" si="215"/>
        <v>41689.581918009018</v>
      </c>
      <c r="J476" s="212">
        <f t="shared" si="215"/>
        <v>131458.91116190821</v>
      </c>
      <c r="K476" s="212">
        <f t="shared" si="215"/>
        <v>198940.68983476012</v>
      </c>
      <c r="L476" s="212">
        <f t="shared" si="215"/>
        <v>79518.545149851998</v>
      </c>
      <c r="M476" s="212">
        <f t="shared" si="215"/>
        <v>90543.492938166033</v>
      </c>
      <c r="N476" s="212">
        <f t="shared" si="215"/>
        <v>152713.2234954162</v>
      </c>
      <c r="O476" s="212">
        <f t="shared" si="215"/>
        <v>145270.44025817615</v>
      </c>
      <c r="P476" s="212">
        <f t="shared" si="215"/>
        <v>121190.78743307506</v>
      </c>
      <c r="Q476" s="212">
        <f t="shared" si="215"/>
        <v>553713.69746937393</v>
      </c>
      <c r="R476" s="212">
        <f t="shared" si="215"/>
        <v>150657.96678402266</v>
      </c>
      <c r="S476" s="212">
        <f t="shared" si="215"/>
        <v>198792.79294982113</v>
      </c>
      <c r="T476" s="212">
        <f t="shared" si="215"/>
        <v>162740.63229427967</v>
      </c>
      <c r="U476" s="212">
        <f t="shared" si="215"/>
        <v>118497.02417015182</v>
      </c>
      <c r="V476" s="212">
        <f t="shared" si="215"/>
        <v>263213.61609369441</v>
      </c>
      <c r="W476" s="212">
        <f t="shared" si="215"/>
        <v>32684.191592999803</v>
      </c>
      <c r="X476" s="212">
        <f t="shared" si="215"/>
        <v>133114.33629470808</v>
      </c>
      <c r="Y476" s="212">
        <f t="shared" si="215"/>
        <v>65833.493389669806</v>
      </c>
      <c r="Z476" s="212">
        <f t="shared" si="215"/>
        <v>66844.292099839033</v>
      </c>
      <c r="AA476" s="212">
        <f t="shared" si="215"/>
        <v>77697.883497327202</v>
      </c>
      <c r="AB476" s="212">
        <f t="shared" si="215"/>
        <v>162372.42004970741</v>
      </c>
      <c r="AC476" s="212">
        <f t="shared" si="215"/>
        <v>62612.401233550299</v>
      </c>
    </row>
    <row r="477" spans="1:29">
      <c r="A477" t="s">
        <v>670</v>
      </c>
      <c r="B477" t="s">
        <v>668</v>
      </c>
      <c r="C477" s="2">
        <f>SUM(D477:AC477)</f>
        <v>9966.9999999999982</v>
      </c>
      <c r="D477" s="2">
        <f>F446*D476/(D476+G476+N476+U476)</f>
        <v>159.1703588572295</v>
      </c>
      <c r="E477" s="2">
        <f>H446</f>
        <v>2185</v>
      </c>
      <c r="F477" s="2">
        <f>I446*F476/(F476+J476+K476+O476)</f>
        <v>408.92386083033193</v>
      </c>
      <c r="G477" s="2">
        <f>F446*G476/(D476+G476+N476+U476)</f>
        <v>277.43260468841072</v>
      </c>
      <c r="H477" s="2">
        <f>J446*H476/(H476+I476+L476+M476)</f>
        <v>192.97984611752955</v>
      </c>
      <c r="I477" s="2">
        <f>J446*I476/(H476+I476+L476+M476)</f>
        <v>93.128035826083391</v>
      </c>
      <c r="J477" s="2">
        <f>I446*J476/(F476+J476+K476+O476)</f>
        <v>236.86649623942267</v>
      </c>
      <c r="K477" s="2">
        <f>I446*K476/(F476+J476+K476+O476)</f>
        <v>358.45713116074887</v>
      </c>
      <c r="L477" s="2">
        <f>J446*L476/(H476+I476+L476+M476)</f>
        <v>177.63205052326197</v>
      </c>
      <c r="M477" s="2">
        <f>J446*M476/(H476+I476+L476+M476)</f>
        <v>202.2600675331251</v>
      </c>
      <c r="N477" s="2">
        <f>F446*N476/(D476+G476+N476+U476)</f>
        <v>418.5924342869057</v>
      </c>
      <c r="O477" s="2">
        <f>I446*O476/(F476+J476+K476+O476)</f>
        <v>261.75251176949638</v>
      </c>
      <c r="P477" s="2">
        <f>E446*P476/(P476+S476+T476)</f>
        <v>264.61297486207627</v>
      </c>
      <c r="Q477" s="2">
        <f>G446*Q476/(Q476+R476)</f>
        <v>1446.4426311407162</v>
      </c>
      <c r="R477" s="2">
        <f>G446*R476/(Q476+R476)</f>
        <v>393.55736885928394</v>
      </c>
      <c r="S477" s="2">
        <f>E446*S476/(P476+S476+T476)</f>
        <v>434.05240148837129</v>
      </c>
      <c r="T477" s="2">
        <f>E446*T476/(P476+S476+T476)</f>
        <v>355.33462364955238</v>
      </c>
      <c r="U477" s="2">
        <f>F446*U476/(D476+G476+N476+U476)</f>
        <v>324.80460216745405</v>
      </c>
      <c r="V477" s="2">
        <f>D446*V476/(V476+X476+Y476)</f>
        <v>519.97853496620019</v>
      </c>
      <c r="W477" s="2">
        <f>C446*W476/(W476+Z476+AA476+AB476+AC476)</f>
        <v>70.128475171999312</v>
      </c>
      <c r="X477" s="2">
        <f>D446*X476/(V476+X476+Y476)</f>
        <v>262.96738974507235</v>
      </c>
      <c r="Y477" s="2">
        <f>D446*Y476/(V476+X476+Y476)</f>
        <v>130.05407528872743</v>
      </c>
      <c r="Z477" s="2">
        <f>C446*Z476/(W476+Z476+AA476+AB476+AC476)</f>
        <v>143.42371802512091</v>
      </c>
      <c r="AA477" s="2">
        <f>C446*AA476/(W476+Z476+AA476+AB476+AC476)</f>
        <v>166.71160668774871</v>
      </c>
      <c r="AB477" s="2">
        <f>C446*AB476/(W476+Z476+AA476+AB476+AC476)</f>
        <v>348.39259204783781</v>
      </c>
      <c r="AC477" s="2">
        <f>C446*AC476/(W476+Z476+AA476+AB476+AC476)</f>
        <v>134.34360806729339</v>
      </c>
    </row>
    <row r="478" spans="1:29">
      <c r="A478" t="s">
        <v>671</v>
      </c>
      <c r="B478" t="s">
        <v>668</v>
      </c>
      <c r="C478" s="2">
        <f>SUM(D478:AC478)</f>
        <v>1569.9999999999995</v>
      </c>
      <c r="D478" s="2">
        <f>(K446+L446)*D476/C476</f>
        <v>18.77063713482006</v>
      </c>
      <c r="E478" s="2">
        <f>(K446+L446)*E476/C476</f>
        <v>444.22797160356333</v>
      </c>
      <c r="F478" s="2">
        <f>(K446+L446)*F476/C476</f>
        <v>73.360181357514278</v>
      </c>
      <c r="G478" s="2">
        <f>(K446+L446)*G476/C476</f>
        <v>32.717063587480929</v>
      </c>
      <c r="H478" s="2">
        <f>(K446+L446)*H476/C476</f>
        <v>27.924834072364487</v>
      </c>
      <c r="I478" s="2">
        <f>(K446+L446)*I476/C476</f>
        <v>13.475940624104203</v>
      </c>
      <c r="J478" s="2">
        <f>(K446+L446)*J476/C476</f>
        <v>42.493409619970294</v>
      </c>
      <c r="K478" s="2">
        <f>(K446+L446)*K476/C476</f>
        <v>64.306543759640348</v>
      </c>
      <c r="L478" s="2">
        <f>(K446+L446)*L476/C476</f>
        <v>25.703956328035318</v>
      </c>
      <c r="M478" s="2">
        <f>(K446+L446)*M476/C476</f>
        <v>29.267713385406747</v>
      </c>
      <c r="N478" s="2">
        <f>(K446+L446)*N476/C476</f>
        <v>49.363755587359123</v>
      </c>
      <c r="O478" s="2">
        <f>(K446+L446)*O476/C476</f>
        <v>46.957914598586861</v>
      </c>
      <c r="P478" s="2">
        <f>(K446+L446)*P476/C476</f>
        <v>39.174292005338216</v>
      </c>
      <c r="Q478" s="2">
        <f>(K446+L446)*Q476/C476</f>
        <v>178.98507412536884</v>
      </c>
      <c r="R478" s="2">
        <f>(K446+L446)*R476/C476</f>
        <v>48.699404540027878</v>
      </c>
      <c r="S478" s="2">
        <f>(K446+L446)*S476/C476</f>
        <v>64.258736860452728</v>
      </c>
      <c r="T478" s="2">
        <f>(K446+L446)*T476/C476</f>
        <v>52.605063352278954</v>
      </c>
      <c r="U478" s="2">
        <f>(K446+L446)*U476/C476</f>
        <v>38.303547034617715</v>
      </c>
      <c r="V478" s="2">
        <f>(K446+L446)*V476/C476</f>
        <v>85.082433038315813</v>
      </c>
      <c r="W478" s="2">
        <f>(K446+L446)*W476/C476</f>
        <v>10.564995017708391</v>
      </c>
      <c r="X478" s="2">
        <f>(K446+L446)*X476/C476</f>
        <v>43.028517188118492</v>
      </c>
      <c r="Y478" s="2">
        <f>(K446+L446)*Y476/C476</f>
        <v>21.280334490792981</v>
      </c>
      <c r="Z478" s="2">
        <f>(K446+L446)*Z476/C476</f>
        <v>21.607069919033808</v>
      </c>
      <c r="AA478" s="2">
        <f>(K446+L446)*AA476/C476</f>
        <v>25.115436913898211</v>
      </c>
      <c r="AB478" s="2">
        <f>(K446+L446)*AB476/C476</f>
        <v>52.486040658439457</v>
      </c>
      <c r="AC478" s="2">
        <f>(K446+L446)*AC476/C476</f>
        <v>20.239133196762175</v>
      </c>
    </row>
    <row r="479" spans="1:29">
      <c r="A479" t="s">
        <v>672</v>
      </c>
      <c r="B479" t="s">
        <v>668</v>
      </c>
      <c r="C479" s="2">
        <f>SUM(D479:AC479)</f>
        <v>11536.999999999998</v>
      </c>
      <c r="D479" s="2">
        <f>D477+D478</f>
        <v>177.94099599204955</v>
      </c>
      <c r="E479" s="2">
        <f>E477+E478</f>
        <v>2629.2279716035632</v>
      </c>
      <c r="F479" s="2">
        <f t="shared" ref="F479:AC479" si="216">F477+F478</f>
        <v>482.28404218784624</v>
      </c>
      <c r="G479" s="2">
        <f t="shared" si="216"/>
        <v>310.14966827589166</v>
      </c>
      <c r="H479" s="2">
        <f t="shared" si="216"/>
        <v>220.90468018989404</v>
      </c>
      <c r="I479" s="2">
        <f t="shared" si="216"/>
        <v>106.60397645018759</v>
      </c>
      <c r="J479" s="2">
        <f t="shared" si="216"/>
        <v>279.35990585939294</v>
      </c>
      <c r="K479" s="2">
        <f t="shared" si="216"/>
        <v>422.76367492038924</v>
      </c>
      <c r="L479" s="2">
        <f t="shared" si="216"/>
        <v>203.33600685129727</v>
      </c>
      <c r="M479" s="2">
        <f t="shared" si="216"/>
        <v>231.52778091853185</v>
      </c>
      <c r="N479" s="2">
        <f t="shared" si="216"/>
        <v>467.95618987426485</v>
      </c>
      <c r="O479" s="2">
        <f t="shared" si="216"/>
        <v>308.71042636808323</v>
      </c>
      <c r="P479" s="2">
        <f t="shared" si="216"/>
        <v>303.78726686741447</v>
      </c>
      <c r="Q479" s="2">
        <f t="shared" si="216"/>
        <v>1625.427705266085</v>
      </c>
      <c r="R479" s="2">
        <f t="shared" si="216"/>
        <v>442.25677339931184</v>
      </c>
      <c r="S479" s="2">
        <f t="shared" si="216"/>
        <v>498.31113834882399</v>
      </c>
      <c r="T479" s="2">
        <f t="shared" si="216"/>
        <v>407.93968700183132</v>
      </c>
      <c r="U479" s="2">
        <f t="shared" si="216"/>
        <v>363.10814920207179</v>
      </c>
      <c r="V479" s="2">
        <f t="shared" si="216"/>
        <v>605.06096800451598</v>
      </c>
      <c r="W479" s="2">
        <f t="shared" si="216"/>
        <v>80.69347018970771</v>
      </c>
      <c r="X479" s="2">
        <f t="shared" si="216"/>
        <v>305.99590693319084</v>
      </c>
      <c r="Y479" s="2">
        <f t="shared" si="216"/>
        <v>151.3344097795204</v>
      </c>
      <c r="Z479" s="2">
        <f t="shared" si="216"/>
        <v>165.03078794415472</v>
      </c>
      <c r="AA479" s="2">
        <f t="shared" si="216"/>
        <v>191.82704360164692</v>
      </c>
      <c r="AB479" s="2">
        <f t="shared" si="216"/>
        <v>400.87863270627724</v>
      </c>
      <c r="AC479" s="2">
        <f t="shared" si="216"/>
        <v>154.58274126405556</v>
      </c>
    </row>
    <row r="480" spans="1:29">
      <c r="A480" t="s">
        <v>674</v>
      </c>
      <c r="B480" t="s">
        <v>577</v>
      </c>
      <c r="C480" s="28">
        <f>SUM(D480:AC480)</f>
        <v>1.0000000000000002</v>
      </c>
      <c r="D480" s="28">
        <f t="shared" ref="D480:AC480" si="217">D479/$C$479</f>
        <v>1.5423506630150782E-2</v>
      </c>
      <c r="E480" s="28">
        <f t="shared" si="217"/>
        <v>0.22789529094249489</v>
      </c>
      <c r="F480" s="28">
        <f t="shared" si="217"/>
        <v>4.1803245400697436E-2</v>
      </c>
      <c r="G480" s="28">
        <f t="shared" si="217"/>
        <v>2.6883043102703622E-2</v>
      </c>
      <c r="H480" s="28">
        <f t="shared" si="217"/>
        <v>1.914749763282431E-2</v>
      </c>
      <c r="I480" s="28">
        <f t="shared" si="217"/>
        <v>9.2401817153668717E-3</v>
      </c>
      <c r="J480" s="28">
        <f t="shared" si="217"/>
        <v>2.421425898061827E-2</v>
      </c>
      <c r="K480" s="28">
        <f t="shared" si="217"/>
        <v>3.664416008671139E-2</v>
      </c>
      <c r="L480" s="28">
        <f t="shared" si="217"/>
        <v>1.7624686387388167E-2</v>
      </c>
      <c r="M480" s="28">
        <f t="shared" si="217"/>
        <v>2.0068282995452186E-2</v>
      </c>
      <c r="N480" s="28">
        <f t="shared" si="217"/>
        <v>4.0561340892282652E-2</v>
      </c>
      <c r="O480" s="28">
        <f t="shared" si="217"/>
        <v>2.6758293002347514E-2</v>
      </c>
      <c r="P480" s="28">
        <f t="shared" si="217"/>
        <v>2.6331565126758646E-2</v>
      </c>
      <c r="Q480" s="28">
        <f t="shared" si="217"/>
        <v>0.14088824696767663</v>
      </c>
      <c r="R480" s="28">
        <f t="shared" si="217"/>
        <v>3.833377597289693E-2</v>
      </c>
      <c r="S480" s="28">
        <f t="shared" si="217"/>
        <v>4.3192436365504384E-2</v>
      </c>
      <c r="T480" s="28">
        <f t="shared" si="217"/>
        <v>3.5359251712042246E-2</v>
      </c>
      <c r="U480" s="28">
        <f t="shared" si="217"/>
        <v>3.1473359556390038E-2</v>
      </c>
      <c r="V480" s="28">
        <f t="shared" si="217"/>
        <v>5.2445260293361884E-2</v>
      </c>
      <c r="W480" s="28">
        <f t="shared" si="217"/>
        <v>6.9943200303118425E-3</v>
      </c>
      <c r="X480" s="28">
        <f t="shared" si="217"/>
        <v>2.6523004848157311E-2</v>
      </c>
      <c r="Y480" s="28">
        <f t="shared" si="217"/>
        <v>1.3117310373539085E-2</v>
      </c>
      <c r="Z480" s="28">
        <f t="shared" si="217"/>
        <v>1.4304480189317391E-2</v>
      </c>
      <c r="AA480" s="28">
        <f t="shared" si="217"/>
        <v>1.6627116546905345E-2</v>
      </c>
      <c r="AB480" s="28">
        <f t="shared" si="217"/>
        <v>3.474721614858952E-2</v>
      </c>
      <c r="AC480" s="28">
        <f t="shared" si="217"/>
        <v>1.3398868099510755E-2</v>
      </c>
    </row>
    <row r="481" spans="1:29">
      <c r="A481" s="79" t="s">
        <v>675</v>
      </c>
      <c r="B481" s="79" t="s">
        <v>577</v>
      </c>
      <c r="C481" s="97">
        <f>SUM(D481:AC481)</f>
        <v>0.99999153639772187</v>
      </c>
      <c r="D481" s="97">
        <f t="shared" ref="D481:AC481" si="218">D374/$C$374</f>
        <v>1.6388355211745222E-2</v>
      </c>
      <c r="E481" s="97">
        <f t="shared" si="218"/>
        <v>0.21024434419777746</v>
      </c>
      <c r="F481" s="97">
        <f t="shared" si="218"/>
        <v>4.5395941420587428E-2</v>
      </c>
      <c r="G481" s="97">
        <f t="shared" si="218"/>
        <v>2.3193091443580217E-2</v>
      </c>
      <c r="H481" s="97">
        <f t="shared" si="218"/>
        <v>1.7023125382625352E-2</v>
      </c>
      <c r="I481" s="97">
        <f t="shared" si="218"/>
        <v>1.1112709791541477E-2</v>
      </c>
      <c r="J481" s="97">
        <f t="shared" si="218"/>
        <v>2.297303778434177E-2</v>
      </c>
      <c r="K481" s="97">
        <f t="shared" si="218"/>
        <v>4.1708632027963745E-2</v>
      </c>
      <c r="L481" s="97">
        <f t="shared" si="218"/>
        <v>1.8411156156283238E-2</v>
      </c>
      <c r="M481" s="97">
        <f t="shared" si="218"/>
        <v>2.2877116958519884E-2</v>
      </c>
      <c r="N481" s="97">
        <f t="shared" si="218"/>
        <v>3.9462956223427818E-2</v>
      </c>
      <c r="O481" s="97">
        <f t="shared" si="218"/>
        <v>2.662085036633292E-2</v>
      </c>
      <c r="P481" s="97">
        <f t="shared" si="218"/>
        <v>2.6618029165573452E-2</v>
      </c>
      <c r="Q481" s="97">
        <f t="shared" si="218"/>
        <v>0.11714471913535839</v>
      </c>
      <c r="R481" s="97">
        <f t="shared" si="218"/>
        <v>3.3625891852090084E-2</v>
      </c>
      <c r="S481" s="97">
        <f t="shared" si="218"/>
        <v>3.8503747965208952E-2</v>
      </c>
      <c r="T481" s="97">
        <f t="shared" si="218"/>
        <v>3.9389605003681667E-2</v>
      </c>
      <c r="U481" s="97">
        <f t="shared" si="218"/>
        <v>2.3026640598771648E-2</v>
      </c>
      <c r="V481" s="97">
        <f t="shared" si="218"/>
        <v>5.7431183860474695E-2</v>
      </c>
      <c r="W481" s="97">
        <f t="shared" si="218"/>
        <v>9.6033673852264998E-3</v>
      </c>
      <c r="X481" s="97">
        <f t="shared" si="218"/>
        <v>3.7694063347241853E-2</v>
      </c>
      <c r="Y481" s="97">
        <f t="shared" si="218"/>
        <v>1.8010545648438889E-2</v>
      </c>
      <c r="Z481" s="97">
        <f t="shared" si="218"/>
        <v>1.7056979791738959E-2</v>
      </c>
      <c r="AA481" s="97">
        <f t="shared" si="218"/>
        <v>2.2707844912951851E-2</v>
      </c>
      <c r="AB481" s="97">
        <f t="shared" si="218"/>
        <v>4.1288273114803126E-2</v>
      </c>
      <c r="AC481" s="97">
        <f t="shared" si="218"/>
        <v>2.2479327651435003E-2</v>
      </c>
    </row>
    <row r="482" spans="1:29">
      <c r="A482" t="s">
        <v>673</v>
      </c>
    </row>
    <row r="483" spans="1:29">
      <c r="D483" s="93"/>
      <c r="E483" s="93"/>
      <c r="F483" s="93"/>
      <c r="G483" s="93"/>
      <c r="H483" s="93"/>
      <c r="I483" s="93"/>
      <c r="J483" s="93"/>
      <c r="K483" s="93"/>
      <c r="L483" s="93"/>
      <c r="M483" s="93"/>
      <c r="N483" s="93"/>
      <c r="O483" s="93"/>
      <c r="P483" s="93"/>
      <c r="Q483" s="93"/>
      <c r="R483" s="93"/>
      <c r="S483" s="93"/>
      <c r="T483" s="93"/>
      <c r="U483" s="93"/>
      <c r="V483" s="93"/>
      <c r="W483" s="93"/>
      <c r="X483" s="93"/>
      <c r="Y483" s="93"/>
      <c r="Z483" s="93"/>
      <c r="AA483" s="93"/>
      <c r="AB483" s="93"/>
      <c r="AC483" s="93"/>
    </row>
    <row r="484" spans="1:29">
      <c r="D484" s="93"/>
    </row>
    <row r="486" spans="1:29" ht="15.5">
      <c r="A486" s="101" t="s">
        <v>660</v>
      </c>
    </row>
    <row r="487" spans="1:29" ht="15.5">
      <c r="A487" s="82" t="s">
        <v>316</v>
      </c>
      <c r="B487" s="770" t="s">
        <v>659</v>
      </c>
      <c r="C487" s="770"/>
      <c r="D487" s="770"/>
      <c r="E487" s="770"/>
      <c r="F487" s="770"/>
      <c r="G487" s="770"/>
      <c r="H487" s="770"/>
      <c r="I487" s="770"/>
      <c r="J487" s="770"/>
      <c r="K487" s="770"/>
      <c r="L487" s="770"/>
    </row>
    <row r="488" spans="1:29">
      <c r="B488" s="196" t="s">
        <v>646</v>
      </c>
      <c r="C488" s="196" t="s">
        <v>647</v>
      </c>
      <c r="D488" s="196" t="s">
        <v>648</v>
      </c>
      <c r="E488" s="196" t="s">
        <v>649</v>
      </c>
      <c r="F488" s="196" t="s">
        <v>650</v>
      </c>
      <c r="G488" s="196" t="s">
        <v>651</v>
      </c>
      <c r="H488" s="196" t="s">
        <v>345</v>
      </c>
      <c r="I488" s="196" t="s">
        <v>652</v>
      </c>
      <c r="J488" s="196" t="s">
        <v>653</v>
      </c>
      <c r="K488" s="196" t="s">
        <v>654</v>
      </c>
      <c r="L488" s="196" t="s">
        <v>655</v>
      </c>
    </row>
    <row r="489" spans="1:29" ht="15.5">
      <c r="A489" s="198" t="s">
        <v>658</v>
      </c>
    </row>
    <row r="490" spans="1:29">
      <c r="A490" s="195" t="s">
        <v>656</v>
      </c>
      <c r="B490">
        <v>150036</v>
      </c>
      <c r="C490">
        <v>12832</v>
      </c>
      <c r="D490">
        <v>11088</v>
      </c>
      <c r="E490">
        <v>15360</v>
      </c>
      <c r="F490">
        <v>16432</v>
      </c>
      <c r="G490">
        <v>22808</v>
      </c>
      <c r="H490">
        <v>33096</v>
      </c>
      <c r="I490">
        <v>24798</v>
      </c>
      <c r="J490">
        <v>8768</v>
      </c>
      <c r="K490">
        <v>2833</v>
      </c>
      <c r="L490">
        <v>2021</v>
      </c>
    </row>
    <row r="491" spans="1:29">
      <c r="A491" s="195" t="s">
        <v>647</v>
      </c>
      <c r="B491">
        <v>12777</v>
      </c>
      <c r="C491">
        <v>7932</v>
      </c>
      <c r="D491">
        <v>509</v>
      </c>
      <c r="E491">
        <v>128</v>
      </c>
      <c r="F491">
        <v>221</v>
      </c>
      <c r="G491">
        <v>201</v>
      </c>
      <c r="H491">
        <v>1260</v>
      </c>
      <c r="I491">
        <v>1037</v>
      </c>
      <c r="J491">
        <v>472</v>
      </c>
      <c r="K491">
        <v>874</v>
      </c>
      <c r="L491">
        <v>144</v>
      </c>
    </row>
    <row r="492" spans="1:29">
      <c r="A492" s="195" t="s">
        <v>648</v>
      </c>
      <c r="B492">
        <v>10377</v>
      </c>
      <c r="C492">
        <v>423</v>
      </c>
      <c r="D492">
        <v>7419</v>
      </c>
      <c r="E492">
        <v>507</v>
      </c>
      <c r="F492">
        <v>204</v>
      </c>
      <c r="G492">
        <v>266</v>
      </c>
      <c r="H492">
        <v>808</v>
      </c>
      <c r="I492">
        <v>209</v>
      </c>
      <c r="J492">
        <v>423</v>
      </c>
      <c r="K492">
        <v>76</v>
      </c>
      <c r="L492">
        <v>42</v>
      </c>
    </row>
    <row r="493" spans="1:29">
      <c r="A493" s="195" t="s">
        <v>649</v>
      </c>
      <c r="B493">
        <v>16123</v>
      </c>
      <c r="C493">
        <v>157</v>
      </c>
      <c r="D493">
        <v>666</v>
      </c>
      <c r="E493">
        <v>10260</v>
      </c>
      <c r="F493">
        <v>1056</v>
      </c>
      <c r="G493">
        <v>2312</v>
      </c>
      <c r="H493">
        <v>802</v>
      </c>
      <c r="I493">
        <v>311</v>
      </c>
      <c r="J493">
        <v>460</v>
      </c>
      <c r="K493">
        <v>44</v>
      </c>
      <c r="L493">
        <v>53</v>
      </c>
    </row>
    <row r="494" spans="1:29">
      <c r="A494" s="195" t="s">
        <v>650</v>
      </c>
      <c r="B494">
        <v>14354</v>
      </c>
      <c r="C494">
        <v>116</v>
      </c>
      <c r="D494">
        <v>214</v>
      </c>
      <c r="E494">
        <v>612</v>
      </c>
      <c r="F494">
        <v>9917</v>
      </c>
      <c r="G494">
        <v>875</v>
      </c>
      <c r="H494">
        <v>1006</v>
      </c>
      <c r="I494">
        <v>874</v>
      </c>
      <c r="J494">
        <v>534</v>
      </c>
      <c r="K494">
        <v>124</v>
      </c>
      <c r="L494">
        <v>83</v>
      </c>
    </row>
    <row r="495" spans="1:29">
      <c r="A495" s="195" t="s">
        <v>651</v>
      </c>
      <c r="B495">
        <v>21387</v>
      </c>
      <c r="C495">
        <v>53</v>
      </c>
      <c r="D495">
        <v>135</v>
      </c>
      <c r="E495">
        <v>1943</v>
      </c>
      <c r="F495">
        <v>1173</v>
      </c>
      <c r="G495">
        <v>16468</v>
      </c>
      <c r="H495">
        <v>1001</v>
      </c>
      <c r="I495">
        <v>240</v>
      </c>
      <c r="J495">
        <v>266</v>
      </c>
      <c r="K495">
        <v>70</v>
      </c>
      <c r="L495">
        <v>37</v>
      </c>
    </row>
    <row r="496" spans="1:29">
      <c r="A496" s="195" t="s">
        <v>345</v>
      </c>
      <c r="B496">
        <v>37815</v>
      </c>
      <c r="C496">
        <v>1334</v>
      </c>
      <c r="D496">
        <v>1109</v>
      </c>
      <c r="E496">
        <v>1141</v>
      </c>
      <c r="F496">
        <v>1754</v>
      </c>
      <c r="G496">
        <v>1952</v>
      </c>
      <c r="H496">
        <v>20253</v>
      </c>
      <c r="I496">
        <v>7895</v>
      </c>
      <c r="J496">
        <v>1556</v>
      </c>
      <c r="K496">
        <v>638</v>
      </c>
      <c r="L496">
        <v>182</v>
      </c>
    </row>
    <row r="497" spans="1:12">
      <c r="A497" s="195" t="s">
        <v>652</v>
      </c>
      <c r="B497">
        <v>24113</v>
      </c>
      <c r="C497">
        <v>1251</v>
      </c>
      <c r="D497">
        <v>265</v>
      </c>
      <c r="E497">
        <v>288</v>
      </c>
      <c r="F497">
        <v>1378</v>
      </c>
      <c r="G497">
        <v>354</v>
      </c>
      <c r="H497">
        <v>6088</v>
      </c>
      <c r="I497">
        <v>13114</v>
      </c>
      <c r="J497">
        <v>906</v>
      </c>
      <c r="K497">
        <v>397</v>
      </c>
      <c r="L497">
        <v>71</v>
      </c>
    </row>
    <row r="498" spans="1:12">
      <c r="A498" s="195" t="s">
        <v>653</v>
      </c>
      <c r="B498">
        <v>9093</v>
      </c>
      <c r="C498">
        <v>763</v>
      </c>
      <c r="D498">
        <v>679</v>
      </c>
      <c r="E498">
        <v>435</v>
      </c>
      <c r="F498">
        <v>636</v>
      </c>
      <c r="G498">
        <v>242</v>
      </c>
      <c r="H498">
        <v>1182</v>
      </c>
      <c r="I498">
        <v>796</v>
      </c>
      <c r="J498">
        <v>4097</v>
      </c>
      <c r="K498">
        <v>210</v>
      </c>
      <c r="L498">
        <v>54</v>
      </c>
    </row>
    <row r="499" spans="1:12">
      <c r="A499" s="195" t="s">
        <v>654</v>
      </c>
      <c r="B499">
        <v>1932</v>
      </c>
      <c r="C499">
        <v>745</v>
      </c>
      <c r="D499">
        <v>53</v>
      </c>
      <c r="E499">
        <v>12</v>
      </c>
      <c r="F499">
        <v>46</v>
      </c>
      <c r="G499">
        <v>76</v>
      </c>
      <c r="H499">
        <v>316</v>
      </c>
      <c r="I499">
        <v>259</v>
      </c>
      <c r="J499">
        <v>30</v>
      </c>
      <c r="K499">
        <v>374</v>
      </c>
      <c r="L499">
        <v>21</v>
      </c>
    </row>
    <row r="500" spans="1:12">
      <c r="A500" s="197" t="s">
        <v>655</v>
      </c>
      <c r="B500" s="79">
        <v>2066</v>
      </c>
      <c r="C500" s="79">
        <v>58</v>
      </c>
      <c r="D500" s="79">
        <v>38</v>
      </c>
      <c r="E500" s="79">
        <v>35</v>
      </c>
      <c r="F500" s="79">
        <v>46</v>
      </c>
      <c r="G500" s="79">
        <v>63</v>
      </c>
      <c r="H500" s="79">
        <v>380</v>
      </c>
      <c r="I500" s="79">
        <v>63</v>
      </c>
      <c r="J500" s="79">
        <v>24</v>
      </c>
      <c r="K500" s="79">
        <v>26</v>
      </c>
      <c r="L500" s="79">
        <v>1333</v>
      </c>
    </row>
    <row r="501" spans="1:12">
      <c r="A501" t="s">
        <v>657</v>
      </c>
    </row>
    <row r="505" spans="1:12" ht="15.5">
      <c r="A505" s="101" t="s">
        <v>661</v>
      </c>
    </row>
    <row r="506" spans="1:12" ht="15.5">
      <c r="A506" s="82" t="s">
        <v>316</v>
      </c>
      <c r="B506" s="770" t="s">
        <v>659</v>
      </c>
      <c r="C506" s="770"/>
      <c r="D506" s="770"/>
      <c r="E506" s="770"/>
      <c r="F506" s="770"/>
      <c r="G506" s="770"/>
      <c r="H506" s="770"/>
      <c r="I506" s="770"/>
      <c r="J506" s="770"/>
      <c r="K506" s="770"/>
      <c r="L506" s="770"/>
    </row>
    <row r="507" spans="1:12">
      <c r="B507" s="196" t="s">
        <v>646</v>
      </c>
      <c r="C507" s="196" t="s">
        <v>647</v>
      </c>
      <c r="D507" s="196" t="s">
        <v>648</v>
      </c>
      <c r="E507" s="196" t="s">
        <v>649</v>
      </c>
      <c r="F507" s="196" t="s">
        <v>650</v>
      </c>
      <c r="G507" s="196" t="s">
        <v>651</v>
      </c>
      <c r="H507" s="196" t="s">
        <v>345</v>
      </c>
      <c r="I507" s="196" t="s">
        <v>652</v>
      </c>
      <c r="J507" s="196" t="s">
        <v>653</v>
      </c>
      <c r="K507" s="196" t="s">
        <v>654</v>
      </c>
      <c r="L507" s="196" t="s">
        <v>655</v>
      </c>
    </row>
    <row r="508" spans="1:12" ht="15.5">
      <c r="A508" s="198" t="s">
        <v>658</v>
      </c>
    </row>
    <row r="509" spans="1:12">
      <c r="A509" s="195" t="s">
        <v>656</v>
      </c>
      <c r="B509">
        <v>1599</v>
      </c>
      <c r="C509">
        <v>130</v>
      </c>
      <c r="D509">
        <v>144</v>
      </c>
      <c r="E509">
        <v>160</v>
      </c>
      <c r="F509">
        <v>158</v>
      </c>
      <c r="G509">
        <v>228</v>
      </c>
      <c r="H509">
        <v>358</v>
      </c>
      <c r="I509">
        <v>192</v>
      </c>
      <c r="J509">
        <v>109</v>
      </c>
      <c r="K509">
        <v>35</v>
      </c>
      <c r="L509">
        <v>85</v>
      </c>
    </row>
    <row r="510" spans="1:12">
      <c r="A510" s="195" t="s">
        <v>647</v>
      </c>
      <c r="B510">
        <v>136</v>
      </c>
      <c r="C510">
        <v>51</v>
      </c>
      <c r="D510">
        <v>11</v>
      </c>
      <c r="E510">
        <v>4</v>
      </c>
      <c r="F510">
        <v>4</v>
      </c>
      <c r="G510">
        <v>5</v>
      </c>
      <c r="H510">
        <v>25</v>
      </c>
      <c r="I510">
        <v>14</v>
      </c>
      <c r="J510">
        <v>9</v>
      </c>
      <c r="K510">
        <v>7</v>
      </c>
      <c r="L510">
        <v>6</v>
      </c>
    </row>
    <row r="511" spans="1:12">
      <c r="A511" s="195" t="s">
        <v>648</v>
      </c>
      <c r="B511">
        <v>140</v>
      </c>
      <c r="C511">
        <v>10</v>
      </c>
      <c r="D511">
        <v>65</v>
      </c>
      <c r="E511">
        <v>10</v>
      </c>
      <c r="F511">
        <v>4</v>
      </c>
      <c r="G511">
        <v>5</v>
      </c>
      <c r="H511">
        <v>24</v>
      </c>
      <c r="I511">
        <v>6</v>
      </c>
      <c r="J511">
        <v>12</v>
      </c>
      <c r="K511">
        <v>1</v>
      </c>
      <c r="L511">
        <v>3</v>
      </c>
    </row>
    <row r="512" spans="1:12">
      <c r="A512" s="195" t="s">
        <v>649</v>
      </c>
      <c r="B512">
        <v>159</v>
      </c>
      <c r="C512">
        <v>5</v>
      </c>
      <c r="D512">
        <v>10</v>
      </c>
      <c r="E512">
        <v>66</v>
      </c>
      <c r="F512">
        <v>10</v>
      </c>
      <c r="G512">
        <v>30</v>
      </c>
      <c r="H512">
        <v>21</v>
      </c>
      <c r="I512">
        <v>6</v>
      </c>
      <c r="J512">
        <v>6</v>
      </c>
      <c r="K512">
        <v>1</v>
      </c>
      <c r="L512">
        <v>4</v>
      </c>
    </row>
    <row r="513" spans="1:12">
      <c r="A513" s="195" t="s">
        <v>650</v>
      </c>
      <c r="B513">
        <v>156</v>
      </c>
      <c r="C513">
        <v>3</v>
      </c>
      <c r="D513">
        <v>5</v>
      </c>
      <c r="E513">
        <v>10</v>
      </c>
      <c r="F513">
        <v>68</v>
      </c>
      <c r="G513">
        <v>15</v>
      </c>
      <c r="H513">
        <v>25</v>
      </c>
      <c r="I513">
        <v>14</v>
      </c>
      <c r="J513">
        <v>7</v>
      </c>
      <c r="K513">
        <v>2</v>
      </c>
      <c r="L513">
        <v>6</v>
      </c>
    </row>
    <row r="514" spans="1:12">
      <c r="A514" s="195" t="s">
        <v>651</v>
      </c>
      <c r="B514">
        <v>227</v>
      </c>
      <c r="C514">
        <v>4</v>
      </c>
      <c r="D514">
        <v>6</v>
      </c>
      <c r="E514">
        <v>29</v>
      </c>
      <c r="F514">
        <v>17</v>
      </c>
      <c r="G514">
        <v>112</v>
      </c>
      <c r="H514">
        <v>37</v>
      </c>
      <c r="I514">
        <v>9</v>
      </c>
      <c r="J514">
        <v>7</v>
      </c>
      <c r="K514">
        <v>3</v>
      </c>
      <c r="L514">
        <v>3</v>
      </c>
    </row>
    <row r="515" spans="1:12">
      <c r="A515" s="195" t="s">
        <v>345</v>
      </c>
      <c r="B515">
        <v>366</v>
      </c>
      <c r="C515">
        <v>25</v>
      </c>
      <c r="D515">
        <v>25</v>
      </c>
      <c r="E515">
        <v>23</v>
      </c>
      <c r="F515">
        <v>28</v>
      </c>
      <c r="G515">
        <v>39</v>
      </c>
      <c r="H515">
        <v>126</v>
      </c>
      <c r="I515">
        <v>58</v>
      </c>
      <c r="J515">
        <v>24</v>
      </c>
      <c r="K515">
        <v>9</v>
      </c>
      <c r="L515">
        <v>8</v>
      </c>
    </row>
    <row r="516" spans="1:12">
      <c r="A516" s="195" t="s">
        <v>652</v>
      </c>
      <c r="B516">
        <v>193</v>
      </c>
      <c r="C516">
        <v>14</v>
      </c>
      <c r="D516">
        <v>6</v>
      </c>
      <c r="E516">
        <v>7</v>
      </c>
      <c r="F516">
        <v>15</v>
      </c>
      <c r="G516">
        <v>9</v>
      </c>
      <c r="H516">
        <v>55</v>
      </c>
      <c r="I516">
        <v>68</v>
      </c>
      <c r="J516">
        <v>12</v>
      </c>
      <c r="K516">
        <v>5</v>
      </c>
      <c r="L516">
        <v>3</v>
      </c>
    </row>
    <row r="517" spans="1:12">
      <c r="A517" s="195" t="s">
        <v>653</v>
      </c>
      <c r="B517">
        <v>111</v>
      </c>
      <c r="C517">
        <v>9</v>
      </c>
      <c r="D517">
        <v>14</v>
      </c>
      <c r="E517">
        <v>7</v>
      </c>
      <c r="F517">
        <v>7</v>
      </c>
      <c r="G517">
        <v>7</v>
      </c>
      <c r="H517">
        <v>22</v>
      </c>
      <c r="I517">
        <v>12</v>
      </c>
      <c r="J517">
        <v>29</v>
      </c>
      <c r="K517">
        <v>3</v>
      </c>
      <c r="L517">
        <v>2</v>
      </c>
    </row>
    <row r="518" spans="1:12">
      <c r="A518" s="195" t="s">
        <v>654</v>
      </c>
      <c r="B518">
        <v>29</v>
      </c>
      <c r="C518">
        <v>6</v>
      </c>
      <c r="D518">
        <v>1</v>
      </c>
      <c r="E518">
        <v>1</v>
      </c>
      <c r="F518">
        <v>2</v>
      </c>
      <c r="G518">
        <v>3</v>
      </c>
      <c r="H518">
        <v>8</v>
      </c>
      <c r="I518">
        <v>4</v>
      </c>
      <c r="J518">
        <v>2</v>
      </c>
      <c r="K518">
        <v>2</v>
      </c>
      <c r="L518">
        <v>1</v>
      </c>
    </row>
    <row r="519" spans="1:12">
      <c r="A519" s="197" t="s">
        <v>655</v>
      </c>
      <c r="B519" s="79">
        <v>82</v>
      </c>
      <c r="C519" s="79">
        <v>2</v>
      </c>
      <c r="D519" s="79">
        <v>2</v>
      </c>
      <c r="E519" s="79">
        <v>2</v>
      </c>
      <c r="F519" s="79">
        <v>2</v>
      </c>
      <c r="G519" s="79">
        <v>3</v>
      </c>
      <c r="H519" s="79">
        <v>15</v>
      </c>
      <c r="I519" s="79">
        <v>3</v>
      </c>
      <c r="J519" s="79">
        <v>1</v>
      </c>
      <c r="K519" s="79">
        <v>1</v>
      </c>
      <c r="L519" s="79">
        <v>50</v>
      </c>
    </row>
    <row r="520" spans="1:12">
      <c r="A520" t="s">
        <v>657</v>
      </c>
    </row>
    <row r="524" spans="1:12">
      <c r="A524" s="763" t="s">
        <v>682</v>
      </c>
      <c r="B524" s="763"/>
      <c r="C524" s="763"/>
      <c r="D524" s="763"/>
      <c r="E524" s="763"/>
      <c r="F524" s="763"/>
      <c r="G524" s="763"/>
    </row>
    <row r="525" spans="1:12">
      <c r="A525" s="189"/>
      <c r="B525" s="189"/>
      <c r="C525" s="189"/>
      <c r="D525" s="189"/>
      <c r="E525" s="189"/>
      <c r="F525" s="189"/>
      <c r="G525" s="213" t="s">
        <v>679</v>
      </c>
    </row>
    <row r="526" spans="1:12">
      <c r="A526" s="214"/>
      <c r="B526" s="215">
        <v>2013</v>
      </c>
      <c r="C526" s="214">
        <v>2014</v>
      </c>
      <c r="D526" s="214">
        <v>2015</v>
      </c>
      <c r="E526" s="214">
        <v>2016</v>
      </c>
      <c r="F526" s="214">
        <v>2017</v>
      </c>
      <c r="G526" s="214">
        <v>2018</v>
      </c>
    </row>
    <row r="527" spans="1:12">
      <c r="A527" s="12" t="s">
        <v>21</v>
      </c>
      <c r="B527" s="12"/>
      <c r="C527" s="12"/>
      <c r="D527" s="12"/>
      <c r="E527" s="12"/>
      <c r="F527" s="12"/>
      <c r="G527" s="12"/>
    </row>
    <row r="528" spans="1:12">
      <c r="A528" s="216" t="s">
        <v>37</v>
      </c>
      <c r="B528" s="11">
        <v>8144</v>
      </c>
      <c r="C528" s="11">
        <v>10230</v>
      </c>
      <c r="D528" s="11">
        <v>10490</v>
      </c>
      <c r="E528" s="11">
        <v>10771.652254326058</v>
      </c>
      <c r="F528" s="11">
        <v>11557.033844917567</v>
      </c>
      <c r="G528" s="11">
        <v>12438</v>
      </c>
    </row>
    <row r="529" spans="1:7">
      <c r="A529" s="216" t="s">
        <v>38</v>
      </c>
      <c r="B529" s="11">
        <v>11730</v>
      </c>
      <c r="C529" s="11">
        <v>10584</v>
      </c>
      <c r="D529" s="11">
        <v>10962</v>
      </c>
      <c r="E529" s="11">
        <v>11953.521212477279</v>
      </c>
      <c r="F529" s="11">
        <v>12695.598551411398</v>
      </c>
      <c r="G529" s="11">
        <v>13299</v>
      </c>
    </row>
    <row r="530" spans="1:7">
      <c r="A530" s="216" t="s">
        <v>39</v>
      </c>
      <c r="B530" s="11">
        <v>15985</v>
      </c>
      <c r="C530" s="11">
        <v>15949</v>
      </c>
      <c r="D530" s="11">
        <v>17150</v>
      </c>
      <c r="E530" s="11">
        <v>18986.617545944344</v>
      </c>
      <c r="F530" s="11">
        <v>20077.245353236714</v>
      </c>
      <c r="G530" s="11">
        <v>20934</v>
      </c>
    </row>
    <row r="531" spans="1:7">
      <c r="A531" s="216" t="s">
        <v>40</v>
      </c>
      <c r="B531" s="11">
        <v>880</v>
      </c>
      <c r="C531" s="11">
        <v>1041</v>
      </c>
      <c r="D531" s="11">
        <v>1058</v>
      </c>
      <c r="E531" s="11">
        <v>1102.8053175033033</v>
      </c>
      <c r="F531" s="11">
        <v>1175.0163992303337</v>
      </c>
      <c r="G531" s="11">
        <v>1290</v>
      </c>
    </row>
    <row r="532" spans="1:7">
      <c r="A532" s="217" t="s">
        <v>1</v>
      </c>
      <c r="B532" s="218">
        <v>36739</v>
      </c>
      <c r="C532" s="218">
        <v>37804</v>
      </c>
      <c r="D532" s="218">
        <v>39660</v>
      </c>
      <c r="E532" s="218">
        <v>42815</v>
      </c>
      <c r="F532" s="218">
        <v>45505</v>
      </c>
      <c r="G532" s="218">
        <v>47960</v>
      </c>
    </row>
    <row r="533" spans="1:7">
      <c r="A533" s="12" t="s">
        <v>34</v>
      </c>
      <c r="B533" s="11">
        <v>1591851</v>
      </c>
      <c r="C533" s="11">
        <v>1862793</v>
      </c>
      <c r="D533" s="11">
        <v>1916722</v>
      </c>
      <c r="E533" s="11">
        <v>1989798</v>
      </c>
      <c r="F533" s="11">
        <v>2120987</v>
      </c>
      <c r="G533" s="11">
        <v>2281083</v>
      </c>
    </row>
    <row r="534" spans="1:7">
      <c r="A534" s="12" t="s">
        <v>41</v>
      </c>
      <c r="B534" s="11">
        <v>589</v>
      </c>
      <c r="C534" s="11">
        <v>578</v>
      </c>
      <c r="D534" s="11">
        <v>540</v>
      </c>
      <c r="E534" s="11">
        <v>581</v>
      </c>
      <c r="F534" s="11">
        <v>546</v>
      </c>
      <c r="G534" s="11">
        <v>516</v>
      </c>
    </row>
    <row r="535" spans="1:7">
      <c r="A535" s="139" t="s">
        <v>680</v>
      </c>
      <c r="B535" s="219">
        <v>98845</v>
      </c>
      <c r="C535" s="219">
        <v>99827</v>
      </c>
      <c r="D535" s="219">
        <v>96406</v>
      </c>
      <c r="E535" s="219">
        <v>101480</v>
      </c>
      <c r="F535" s="219">
        <v>100399</v>
      </c>
      <c r="G535" s="219">
        <v>88551</v>
      </c>
    </row>
    <row r="536" spans="1:7">
      <c r="A536" s="778" t="s">
        <v>681</v>
      </c>
      <c r="B536" s="778"/>
      <c r="C536" s="778"/>
      <c r="D536" s="778"/>
      <c r="E536" s="778"/>
      <c r="F536" s="778"/>
      <c r="G536" s="778"/>
    </row>
    <row r="537" spans="1:7">
      <c r="A537" s="779" t="s">
        <v>683</v>
      </c>
      <c r="B537" s="779"/>
      <c r="C537" s="779"/>
      <c r="D537" s="779"/>
      <c r="E537" s="779"/>
      <c r="F537" s="779"/>
      <c r="G537" s="779"/>
    </row>
    <row r="544" spans="1:7" ht="15.5">
      <c r="A544" s="101" t="s">
        <v>701</v>
      </c>
    </row>
    <row r="545" spans="1:12" ht="15.5">
      <c r="A545" s="82" t="s">
        <v>316</v>
      </c>
      <c r="B545" s="770" t="s">
        <v>659</v>
      </c>
      <c r="C545" s="770"/>
      <c r="D545" s="770"/>
      <c r="E545" s="770"/>
      <c r="F545" s="770"/>
      <c r="G545" s="770"/>
      <c r="H545" s="770"/>
      <c r="I545" s="770"/>
      <c r="J545" s="770"/>
      <c r="K545" s="770"/>
      <c r="L545" s="770"/>
    </row>
    <row r="546" spans="1:12">
      <c r="B546" s="196" t="s">
        <v>646</v>
      </c>
      <c r="C546" s="199" t="s">
        <v>647</v>
      </c>
      <c r="D546" s="202" t="s">
        <v>648</v>
      </c>
      <c r="E546" s="204" t="s">
        <v>649</v>
      </c>
      <c r="F546" s="36" t="s">
        <v>650</v>
      </c>
      <c r="G546" s="207" t="s">
        <v>651</v>
      </c>
      <c r="H546" t="s">
        <v>345</v>
      </c>
      <c r="I546" s="209" t="s">
        <v>652</v>
      </c>
      <c r="J546" s="210" t="s">
        <v>653</v>
      </c>
      <c r="K546" s="196" t="s">
        <v>654</v>
      </c>
      <c r="L546" s="196" t="s">
        <v>655</v>
      </c>
    </row>
    <row r="547" spans="1:12" ht="15.5">
      <c r="A547" s="198" t="s">
        <v>658</v>
      </c>
    </row>
    <row r="548" spans="1:12">
      <c r="A548" s="195" t="s">
        <v>656</v>
      </c>
      <c r="B548" s="6">
        <f>B446/B509</f>
        <v>7.2151344590368982</v>
      </c>
      <c r="C548" s="6">
        <f t="shared" ref="C548:L548" si="219">C446/C509</f>
        <v>6.6384615384615389</v>
      </c>
      <c r="D548" s="6">
        <f t="shared" si="219"/>
        <v>6.3402777777777777</v>
      </c>
      <c r="E548" s="6">
        <f t="shared" si="219"/>
        <v>6.5875000000000004</v>
      </c>
      <c r="F548" s="6">
        <f t="shared" si="219"/>
        <v>7.4683544303797467</v>
      </c>
      <c r="G548" s="6">
        <f t="shared" si="219"/>
        <v>8.0701754385964914</v>
      </c>
      <c r="H548" s="6">
        <f>H446/H509</f>
        <v>6.1033519553072626</v>
      </c>
      <c r="I548" s="6">
        <f t="shared" si="219"/>
        <v>6.59375</v>
      </c>
      <c r="J548" s="6">
        <f t="shared" si="219"/>
        <v>6.1100917431192663</v>
      </c>
      <c r="K548" s="6">
        <f t="shared" si="219"/>
        <v>11.457142857142857</v>
      </c>
      <c r="L548" s="6">
        <f t="shared" si="219"/>
        <v>13.752941176470589</v>
      </c>
    </row>
    <row r="549" spans="1:12">
      <c r="A549" s="195" t="s">
        <v>647</v>
      </c>
      <c r="B549" s="6">
        <f t="shared" ref="B549:L558" si="220">B447/B510</f>
        <v>7.3970588235294121</v>
      </c>
      <c r="C549" s="6">
        <f t="shared" si="220"/>
        <v>5.9215686274509807</v>
      </c>
      <c r="D549" s="6">
        <f t="shared" si="220"/>
        <v>5.6363636363636367</v>
      </c>
      <c r="E549" s="6">
        <f t="shared" si="220"/>
        <v>8.5</v>
      </c>
      <c r="F549" s="6">
        <f t="shared" si="220"/>
        <v>12.5</v>
      </c>
      <c r="G549" s="6">
        <f t="shared" si="220"/>
        <v>13</v>
      </c>
      <c r="H549" s="6">
        <f t="shared" si="220"/>
        <v>6.6</v>
      </c>
      <c r="I549" s="6">
        <f t="shared" si="220"/>
        <v>7.8571428571428568</v>
      </c>
      <c r="J549" s="6">
        <f t="shared" si="220"/>
        <v>5.2222222222222223</v>
      </c>
      <c r="K549" s="6">
        <f t="shared" si="220"/>
        <v>11</v>
      </c>
      <c r="L549" s="6">
        <f t="shared" si="220"/>
        <v>15.833333333333334</v>
      </c>
    </row>
    <row r="550" spans="1:12">
      <c r="A550" s="195" t="s">
        <v>648</v>
      </c>
      <c r="B550" s="6">
        <f t="shared" si="220"/>
        <v>5.8</v>
      </c>
      <c r="C550" s="6">
        <f t="shared" si="220"/>
        <v>4.4000000000000004</v>
      </c>
      <c r="D550" s="6">
        <f t="shared" si="220"/>
        <v>4.5538461538461537</v>
      </c>
      <c r="E550" s="6">
        <f t="shared" si="220"/>
        <v>6.2</v>
      </c>
      <c r="F550" s="6">
        <f t="shared" si="220"/>
        <v>11</v>
      </c>
      <c r="G550" s="6">
        <f t="shared" si="220"/>
        <v>10.6</v>
      </c>
      <c r="H550" s="6">
        <f t="shared" si="220"/>
        <v>7.125</v>
      </c>
      <c r="I550" s="6">
        <f t="shared" si="220"/>
        <v>6.833333333333333</v>
      </c>
      <c r="J550" s="6">
        <f t="shared" si="220"/>
        <v>3.5</v>
      </c>
      <c r="K550" s="6">
        <f t="shared" si="220"/>
        <v>14</v>
      </c>
      <c r="L550" s="6">
        <f t="shared" si="220"/>
        <v>14.666666666666666</v>
      </c>
    </row>
    <row r="551" spans="1:12">
      <c r="A551" s="195" t="s">
        <v>649</v>
      </c>
      <c r="B551" s="6">
        <f t="shared" si="220"/>
        <v>6.8301886792452828</v>
      </c>
      <c r="C551" s="6">
        <f t="shared" si="220"/>
        <v>6.6</v>
      </c>
      <c r="D551" s="6">
        <f t="shared" si="220"/>
        <v>8.3000000000000007</v>
      </c>
      <c r="E551" s="6">
        <f t="shared" si="220"/>
        <v>5.6969696969696972</v>
      </c>
      <c r="F551" s="6">
        <f t="shared" si="220"/>
        <v>10.6</v>
      </c>
      <c r="G551" s="6">
        <f t="shared" si="220"/>
        <v>6.4</v>
      </c>
      <c r="H551" s="6">
        <f t="shared" si="220"/>
        <v>7</v>
      </c>
      <c r="I551" s="6">
        <f t="shared" si="220"/>
        <v>8</v>
      </c>
      <c r="J551" s="6">
        <f t="shared" si="220"/>
        <v>7.833333333333333</v>
      </c>
      <c r="K551" s="6">
        <f t="shared" si="220"/>
        <v>11</v>
      </c>
      <c r="L551" s="6">
        <f t="shared" si="220"/>
        <v>10.5</v>
      </c>
    </row>
    <row r="552" spans="1:12">
      <c r="A552" s="195" t="s">
        <v>650</v>
      </c>
      <c r="B552" s="6">
        <f t="shared" si="220"/>
        <v>6.4743589743589745</v>
      </c>
      <c r="C552" s="6">
        <f t="shared" si="220"/>
        <v>8.3333333333333339</v>
      </c>
      <c r="D552" s="6">
        <f t="shared" si="220"/>
        <v>9.4</v>
      </c>
      <c r="E552" s="6">
        <f t="shared" si="220"/>
        <v>6.6</v>
      </c>
      <c r="F552" s="6">
        <f t="shared" si="220"/>
        <v>5.2941176470588234</v>
      </c>
      <c r="G552" s="6">
        <f t="shared" si="220"/>
        <v>7.5333333333333332</v>
      </c>
      <c r="H552" s="6">
        <f t="shared" si="220"/>
        <v>5.44</v>
      </c>
      <c r="I552" s="6">
        <f t="shared" si="220"/>
        <v>6.4285714285714288</v>
      </c>
      <c r="J552" s="6">
        <f t="shared" si="220"/>
        <v>8</v>
      </c>
      <c r="K552" s="6">
        <f t="shared" si="220"/>
        <v>18.5</v>
      </c>
      <c r="L552" s="6">
        <f t="shared" si="220"/>
        <v>13.333333333333334</v>
      </c>
    </row>
    <row r="553" spans="1:12">
      <c r="A553" s="195" t="s">
        <v>651</v>
      </c>
      <c r="B553" s="6">
        <f t="shared" si="220"/>
        <v>6.6872246696035242</v>
      </c>
      <c r="C553" s="6">
        <f t="shared" si="220"/>
        <v>4</v>
      </c>
      <c r="D553" s="6">
        <f t="shared" si="220"/>
        <v>5</v>
      </c>
      <c r="E553" s="6">
        <f t="shared" si="220"/>
        <v>6</v>
      </c>
      <c r="F553" s="6">
        <f t="shared" si="220"/>
        <v>9.1764705882352935</v>
      </c>
      <c r="G553" s="6">
        <f t="shared" si="220"/>
        <v>6.3571428571428568</v>
      </c>
      <c r="H553" s="6">
        <f t="shared" si="220"/>
        <v>6.7297297297297298</v>
      </c>
      <c r="I553" s="6">
        <f t="shared" si="220"/>
        <v>6.666666666666667</v>
      </c>
      <c r="J553" s="6">
        <f t="shared" si="220"/>
        <v>7.5714285714285712</v>
      </c>
      <c r="K553" s="6">
        <f t="shared" si="220"/>
        <v>8.6666666666666661</v>
      </c>
      <c r="L553" s="6">
        <f t="shared" si="220"/>
        <v>14.333333333333334</v>
      </c>
    </row>
    <row r="554" spans="1:12">
      <c r="A554" s="195" t="s">
        <v>345</v>
      </c>
      <c r="B554" s="6">
        <f t="shared" si="220"/>
        <v>7.4890710382513666</v>
      </c>
      <c r="C554" s="6">
        <f t="shared" si="220"/>
        <v>7.6</v>
      </c>
      <c r="D554" s="6">
        <f t="shared" si="220"/>
        <v>9.52</v>
      </c>
      <c r="E554" s="6">
        <f t="shared" si="220"/>
        <v>9.9130434782608692</v>
      </c>
      <c r="F554" s="6">
        <f t="shared" si="220"/>
        <v>8.3928571428571423</v>
      </c>
      <c r="G554" s="6">
        <f t="shared" si="220"/>
        <v>12.564102564102564</v>
      </c>
      <c r="H554" s="6">
        <f t="shared" si="220"/>
        <v>4.8730158730158726</v>
      </c>
      <c r="I554" s="6">
        <f t="shared" si="220"/>
        <v>6.4482758620689653</v>
      </c>
      <c r="J554" s="6">
        <f t="shared" si="220"/>
        <v>7.416666666666667</v>
      </c>
      <c r="K554" s="6">
        <f t="shared" si="220"/>
        <v>12</v>
      </c>
      <c r="L554" s="6">
        <f t="shared" si="220"/>
        <v>10.75</v>
      </c>
    </row>
    <row r="555" spans="1:12">
      <c r="A555" s="195" t="s">
        <v>652</v>
      </c>
      <c r="B555" s="6">
        <f t="shared" si="220"/>
        <v>6.7772020725388602</v>
      </c>
      <c r="C555" s="6">
        <f t="shared" si="220"/>
        <v>7.6428571428571432</v>
      </c>
      <c r="D555" s="6">
        <f t="shared" si="220"/>
        <v>8</v>
      </c>
      <c r="E555" s="6">
        <f t="shared" si="220"/>
        <v>7</v>
      </c>
      <c r="F555" s="6">
        <f t="shared" si="220"/>
        <v>8</v>
      </c>
      <c r="G555" s="6">
        <f t="shared" si="220"/>
        <v>10.111111111111111</v>
      </c>
      <c r="H555" s="6">
        <f t="shared" si="220"/>
        <v>5.4545454545454541</v>
      </c>
      <c r="I555" s="6">
        <f t="shared" si="220"/>
        <v>6.1911764705882355</v>
      </c>
      <c r="J555" s="6">
        <f t="shared" si="220"/>
        <v>6.083333333333333</v>
      </c>
      <c r="K555" s="6">
        <f t="shared" si="220"/>
        <v>9.6</v>
      </c>
      <c r="L555" s="6">
        <f t="shared" si="220"/>
        <v>17</v>
      </c>
    </row>
    <row r="556" spans="1:12">
      <c r="A556" s="195" t="s">
        <v>653</v>
      </c>
      <c r="B556" s="6">
        <f t="shared" si="220"/>
        <v>6.2792792792792795</v>
      </c>
      <c r="C556" s="6">
        <f t="shared" si="220"/>
        <v>6.4444444444444446</v>
      </c>
      <c r="D556" s="6">
        <f t="shared" si="220"/>
        <v>5.2142857142857144</v>
      </c>
      <c r="E556" s="6">
        <f t="shared" si="220"/>
        <v>6.4285714285714288</v>
      </c>
      <c r="F556" s="6">
        <f t="shared" si="220"/>
        <v>9.1428571428571423</v>
      </c>
      <c r="G556" s="6">
        <f t="shared" si="220"/>
        <v>6.8571428571428568</v>
      </c>
      <c r="H556" s="6">
        <f t="shared" si="220"/>
        <v>5.5454545454545459</v>
      </c>
      <c r="I556" s="6">
        <f t="shared" si="220"/>
        <v>5.166666666666667</v>
      </c>
      <c r="J556" s="6">
        <f t="shared" si="220"/>
        <v>5.3793103448275863</v>
      </c>
      <c r="K556" s="6">
        <f t="shared" si="220"/>
        <v>12.333333333333334</v>
      </c>
      <c r="L556" s="6">
        <f t="shared" si="220"/>
        <v>15.5</v>
      </c>
    </row>
    <row r="557" spans="1:12">
      <c r="A557" s="195" t="s">
        <v>654</v>
      </c>
      <c r="B557" s="6">
        <f t="shared" si="220"/>
        <v>7.9655172413793105</v>
      </c>
      <c r="C557" s="6">
        <f t="shared" si="220"/>
        <v>9.1666666666666661</v>
      </c>
      <c r="D557" s="6">
        <f t="shared" si="220"/>
        <v>12</v>
      </c>
      <c r="E557" s="6">
        <f t="shared" si="220"/>
        <v>3</v>
      </c>
      <c r="F557" s="6">
        <f t="shared" si="220"/>
        <v>6</v>
      </c>
      <c r="G557" s="6">
        <f t="shared" si="220"/>
        <v>8.6666666666666661</v>
      </c>
      <c r="H557" s="6">
        <f t="shared" si="220"/>
        <v>6.375</v>
      </c>
      <c r="I557" s="6">
        <f t="shared" si="220"/>
        <v>6.25</v>
      </c>
      <c r="J557" s="6">
        <f t="shared" si="220"/>
        <v>2.5</v>
      </c>
      <c r="K557" s="6">
        <f t="shared" si="220"/>
        <v>13.5</v>
      </c>
      <c r="L557" s="6">
        <f t="shared" si="220"/>
        <v>15</v>
      </c>
    </row>
    <row r="558" spans="1:12">
      <c r="A558" s="197" t="s">
        <v>655</v>
      </c>
      <c r="B558" s="187">
        <f t="shared" si="220"/>
        <v>13.75609756097561</v>
      </c>
      <c r="C558" s="187">
        <f t="shared" si="220"/>
        <v>16</v>
      </c>
      <c r="D558" s="187">
        <f t="shared" si="220"/>
        <v>11.5</v>
      </c>
      <c r="E558" s="187">
        <f t="shared" si="220"/>
        <v>9</v>
      </c>
      <c r="F558" s="187">
        <f t="shared" si="220"/>
        <v>16</v>
      </c>
      <c r="G558" s="187">
        <f t="shared" si="220"/>
        <v>16.666666666666668</v>
      </c>
      <c r="H558" s="187">
        <f t="shared" si="220"/>
        <v>15.4</v>
      </c>
      <c r="I558" s="187">
        <f t="shared" si="220"/>
        <v>11.666666666666666</v>
      </c>
      <c r="J558" s="187">
        <f t="shared" si="220"/>
        <v>10</v>
      </c>
      <c r="K558" s="187">
        <f t="shared" si="220"/>
        <v>15</v>
      </c>
      <c r="L558" s="187">
        <f t="shared" si="220"/>
        <v>13.64</v>
      </c>
    </row>
    <row r="559" spans="1:12">
      <c r="A559" t="s">
        <v>703</v>
      </c>
    </row>
    <row r="563" spans="1:6">
      <c r="A563" s="82" t="s">
        <v>663</v>
      </c>
      <c r="B563" s="777" t="s">
        <v>664</v>
      </c>
      <c r="C563" s="777"/>
      <c r="D563" s="777"/>
      <c r="E563" s="777"/>
      <c r="F563" s="777"/>
    </row>
    <row r="564" spans="1:6">
      <c r="A564" s="199" t="s">
        <v>647</v>
      </c>
      <c r="B564" t="s">
        <v>368</v>
      </c>
      <c r="C564" t="s">
        <v>367</v>
      </c>
      <c r="D564" t="s">
        <v>369</v>
      </c>
      <c r="E564" t="s">
        <v>366</v>
      </c>
      <c r="F564" t="s">
        <v>363</v>
      </c>
    </row>
    <row r="565" spans="1:6">
      <c r="A565" s="202" t="s">
        <v>648</v>
      </c>
      <c r="B565" t="s">
        <v>364</v>
      </c>
      <c r="C565" t="s">
        <v>365</v>
      </c>
      <c r="D565" t="s">
        <v>362</v>
      </c>
    </row>
    <row r="566" spans="1:6">
      <c r="A566" s="204" t="s">
        <v>649</v>
      </c>
      <c r="B566" t="s">
        <v>356</v>
      </c>
      <c r="C566" t="s">
        <v>360</v>
      </c>
      <c r="D566" t="s">
        <v>359</v>
      </c>
    </row>
    <row r="567" spans="1:6">
      <c r="A567" s="36" t="s">
        <v>650</v>
      </c>
      <c r="B567" t="s">
        <v>344</v>
      </c>
      <c r="C567" t="s">
        <v>347</v>
      </c>
      <c r="D567" t="s">
        <v>354</v>
      </c>
      <c r="E567" t="s">
        <v>361</v>
      </c>
    </row>
    <row r="568" spans="1:6">
      <c r="A568" s="207" t="s">
        <v>651</v>
      </c>
      <c r="B568" t="s">
        <v>358</v>
      </c>
      <c r="C568" t="s">
        <v>357</v>
      </c>
    </row>
    <row r="569" spans="1:6">
      <c r="A569" t="s">
        <v>345</v>
      </c>
      <c r="B569" t="s">
        <v>345</v>
      </c>
    </row>
    <row r="570" spans="1:6">
      <c r="A570" s="209" t="s">
        <v>652</v>
      </c>
      <c r="B570" t="s">
        <v>346</v>
      </c>
      <c r="C570" t="s">
        <v>351</v>
      </c>
      <c r="D570" t="s">
        <v>665</v>
      </c>
      <c r="E570" t="s">
        <v>350</v>
      </c>
    </row>
    <row r="571" spans="1:6">
      <c r="A571" s="210" t="s">
        <v>653</v>
      </c>
      <c r="B571" s="79" t="s">
        <v>348</v>
      </c>
      <c r="C571" s="79" t="s">
        <v>352</v>
      </c>
      <c r="D571" s="79" t="s">
        <v>666</v>
      </c>
      <c r="E571" s="79" t="s">
        <v>353</v>
      </c>
      <c r="F571" s="79"/>
    </row>
    <row r="576" spans="1:6" ht="15.5">
      <c r="A576" s="101" t="s">
        <v>701</v>
      </c>
    </row>
    <row r="577" spans="1:29">
      <c r="A577" s="82"/>
      <c r="B577" s="82" t="s">
        <v>63</v>
      </c>
      <c r="C577" s="82" t="str">
        <f>C475</f>
        <v>IE</v>
      </c>
      <c r="D577" s="82" t="str">
        <f t="shared" ref="D577:AC577" si="221">D475</f>
        <v>IE-CW</v>
      </c>
      <c r="E577" s="82" t="str">
        <f t="shared" si="221"/>
        <v>IE-D</v>
      </c>
      <c r="F577" s="82" t="str">
        <f t="shared" si="221"/>
        <v>IE-KE</v>
      </c>
      <c r="G577" s="82" t="str">
        <f t="shared" si="221"/>
        <v>IE-KK</v>
      </c>
      <c r="H577" s="82" t="str">
        <f t="shared" si="221"/>
        <v>IE-LS</v>
      </c>
      <c r="I577" s="82" t="str">
        <f t="shared" si="221"/>
        <v>IE-LD</v>
      </c>
      <c r="J577" s="82" t="str">
        <f t="shared" si="221"/>
        <v>IE-LH</v>
      </c>
      <c r="K577" s="82" t="str">
        <f t="shared" si="221"/>
        <v>IE-MH</v>
      </c>
      <c r="L577" s="82" t="str">
        <f t="shared" si="221"/>
        <v>IE-OY</v>
      </c>
      <c r="M577" s="82" t="str">
        <f t="shared" si="221"/>
        <v>IE-WH</v>
      </c>
      <c r="N577" s="82" t="str">
        <f t="shared" si="221"/>
        <v>IE-WX</v>
      </c>
      <c r="O577" s="82" t="str">
        <f t="shared" si="221"/>
        <v>IE-WW</v>
      </c>
      <c r="P577" s="82" t="str">
        <f t="shared" si="221"/>
        <v>IE-CE</v>
      </c>
      <c r="Q577" s="82" t="str">
        <f t="shared" si="221"/>
        <v>IE-CO</v>
      </c>
      <c r="R577" s="82" t="str">
        <f t="shared" si="221"/>
        <v>IE-KY</v>
      </c>
      <c r="S577" s="82" t="str">
        <f t="shared" si="221"/>
        <v>IE-LK</v>
      </c>
      <c r="T577" s="82" t="str">
        <f t="shared" si="221"/>
        <v>IE-TA</v>
      </c>
      <c r="U577" s="82" t="str">
        <f t="shared" si="221"/>
        <v>IE-WD</v>
      </c>
      <c r="V577" s="82" t="str">
        <f t="shared" si="221"/>
        <v>IE-G</v>
      </c>
      <c r="W577" s="82" t="str">
        <f t="shared" si="221"/>
        <v>IE-LM</v>
      </c>
      <c r="X577" s="82" t="str">
        <f t="shared" si="221"/>
        <v>IE-MO</v>
      </c>
      <c r="Y577" s="82" t="str">
        <f t="shared" si="221"/>
        <v>IE-RN</v>
      </c>
      <c r="Z577" s="82" t="str">
        <f t="shared" si="221"/>
        <v>IE-SO</v>
      </c>
      <c r="AA577" s="82" t="str">
        <f t="shared" si="221"/>
        <v>IE-CN</v>
      </c>
      <c r="AB577" s="82" t="str">
        <f t="shared" si="221"/>
        <v>IE-DL</v>
      </c>
      <c r="AC577" s="82" t="str">
        <f t="shared" si="221"/>
        <v>IE-MN</v>
      </c>
    </row>
    <row r="578" spans="1:29">
      <c r="A578" t="s">
        <v>370</v>
      </c>
      <c r="B578" t="s">
        <v>669</v>
      </c>
      <c r="C578" s="212">
        <f t="shared" ref="C578:AC578" si="222">B138</f>
        <v>4857000.0000000037</v>
      </c>
      <c r="D578" s="212">
        <f t="shared" si="222"/>
        <v>58069.41691963128</v>
      </c>
      <c r="E578" s="212">
        <f t="shared" si="222"/>
        <v>1374277.23444491</v>
      </c>
      <c r="F578" s="212">
        <f t="shared" si="222"/>
        <v>226949.29990665423</v>
      </c>
      <c r="G578" s="212">
        <f t="shared" si="222"/>
        <v>101214.50818114332</v>
      </c>
      <c r="H578" s="212">
        <f t="shared" si="222"/>
        <v>86389.120439155668</v>
      </c>
      <c r="I578" s="212">
        <f t="shared" si="222"/>
        <v>41689.581918009018</v>
      </c>
      <c r="J578" s="212">
        <f t="shared" si="222"/>
        <v>131458.91116190821</v>
      </c>
      <c r="K578" s="212">
        <f t="shared" si="222"/>
        <v>198940.68983476012</v>
      </c>
      <c r="L578" s="212">
        <f t="shared" si="222"/>
        <v>79518.545149851998</v>
      </c>
      <c r="M578" s="212">
        <f t="shared" si="222"/>
        <v>90543.492938166033</v>
      </c>
      <c r="N578" s="212">
        <f t="shared" si="222"/>
        <v>152713.2234954162</v>
      </c>
      <c r="O578" s="212">
        <f t="shared" si="222"/>
        <v>145270.44025817615</v>
      </c>
      <c r="P578" s="212">
        <f t="shared" si="222"/>
        <v>121190.78743307506</v>
      </c>
      <c r="Q578" s="212">
        <f t="shared" si="222"/>
        <v>553713.69746937393</v>
      </c>
      <c r="R578" s="212">
        <f t="shared" si="222"/>
        <v>150657.96678402266</v>
      </c>
      <c r="S578" s="212">
        <f t="shared" si="222"/>
        <v>198792.79294982113</v>
      </c>
      <c r="T578" s="212">
        <f t="shared" si="222"/>
        <v>162740.63229427967</v>
      </c>
      <c r="U578" s="212">
        <f t="shared" si="222"/>
        <v>118497.02417015182</v>
      </c>
      <c r="V578" s="212">
        <f t="shared" si="222"/>
        <v>263213.61609369441</v>
      </c>
      <c r="W578" s="212">
        <f t="shared" si="222"/>
        <v>32684.191592999803</v>
      </c>
      <c r="X578" s="212">
        <f t="shared" si="222"/>
        <v>133114.33629470808</v>
      </c>
      <c r="Y578" s="212">
        <f t="shared" si="222"/>
        <v>65833.493389669806</v>
      </c>
      <c r="Z578" s="212">
        <f t="shared" si="222"/>
        <v>66844.292099839033</v>
      </c>
      <c r="AA578" s="212">
        <f t="shared" si="222"/>
        <v>77697.883497327202</v>
      </c>
      <c r="AB578" s="212">
        <f t="shared" si="222"/>
        <v>162372.42004970741</v>
      </c>
      <c r="AC578" s="212">
        <f t="shared" si="222"/>
        <v>62612.401233550299</v>
      </c>
    </row>
    <row r="579" spans="1:29">
      <c r="A579" t="s">
        <v>670</v>
      </c>
      <c r="B579" t="s">
        <v>702</v>
      </c>
      <c r="C579" s="6">
        <f>AVERAGE(D579:AC579)</f>
        <v>2.0735370339862342</v>
      </c>
      <c r="D579" s="6">
        <f>F548*D578/(D578+G578+N578+U578)</f>
        <v>1.0074073345394272</v>
      </c>
      <c r="E579" s="6">
        <f>H548</f>
        <v>6.1033519553072626</v>
      </c>
      <c r="F579" s="6">
        <f>I548*F578/(F578+J578+K578+O578)</f>
        <v>2.1298117751579788</v>
      </c>
      <c r="G579" s="6">
        <f>F548*G578/(D578+G578+N578+U578)</f>
        <v>1.7559025613190551</v>
      </c>
      <c r="H579" s="6">
        <f>J548*H578/(H578+I578+L578+M578)</f>
        <v>1.7704573038305462</v>
      </c>
      <c r="I579" s="6">
        <f>J548*I578/(H578+I578+L578+M578)</f>
        <v>0.85438564978058162</v>
      </c>
      <c r="J579" s="6">
        <f>I548*J578/(F578+J578+K578+O578)</f>
        <v>1.2336796679136599</v>
      </c>
      <c r="K579" s="6">
        <f>I548*K578/(F578+J578+K578+O578)</f>
        <v>1.8669642247955669</v>
      </c>
      <c r="L579" s="6">
        <f>J548*L578/(H578+I578+L578+M578)</f>
        <v>1.6296518396629538</v>
      </c>
      <c r="M579" s="6">
        <f>J548*M578/(H578+I578+L578+M578)</f>
        <v>1.8555969498451843</v>
      </c>
      <c r="N579" s="6">
        <f>F548*N578/(D578+G578+N578+U578)</f>
        <v>2.6493192043475045</v>
      </c>
      <c r="O579" s="6">
        <f>I548*O578/(F578+J578+K578+O578)</f>
        <v>1.3632943321327937</v>
      </c>
      <c r="P579" s="6">
        <f>E548*P578/(P578+S578+T578)</f>
        <v>1.6538310928879769</v>
      </c>
      <c r="Q579" s="6">
        <f>G548*Q578/(Q578+R578)</f>
        <v>6.344046627810159</v>
      </c>
      <c r="R579" s="6">
        <f>G548*R578/(Q578+R578)</f>
        <v>1.7261288107863333</v>
      </c>
      <c r="S579" s="6">
        <f>E548*S578/(P578+S578+T578)</f>
        <v>2.7128275093023206</v>
      </c>
      <c r="T579" s="6">
        <f>E548*T578/(P578+S578+T578)</f>
        <v>2.2208413978097026</v>
      </c>
      <c r="U579" s="6">
        <f>F548*U578/(D578+G578+N578+U578)</f>
        <v>2.0557253301737597</v>
      </c>
      <c r="V579" s="6">
        <f>D548*V578/(V578+X578+Y578)</f>
        <v>3.6109620483763902</v>
      </c>
      <c r="W579" s="6">
        <f>C548*W578/(W578+Z578+AA578+AB578+AC578)</f>
        <v>0.53944980901537942</v>
      </c>
      <c r="X579" s="6">
        <f>D548*X578/(V578+X578+Y578)</f>
        <v>1.8261624287852249</v>
      </c>
      <c r="Y579" s="6">
        <f>D548*Y578/(V578+X578+Y578)</f>
        <v>0.90315330061616272</v>
      </c>
      <c r="Z579" s="6">
        <f>C548*Z578/(W578+Z578+AA578+AB578+AC578)</f>
        <v>1.1032593694240072</v>
      </c>
      <c r="AA579" s="6">
        <f>C548*AA578/(W578+Z578+AA578+AB578+AC578)</f>
        <v>1.2823969745211439</v>
      </c>
      <c r="AB579" s="6">
        <f>C548*AB578/(W578+Z578+AA578+AB578+AC578)</f>
        <v>2.6799430157525985</v>
      </c>
      <c r="AC579" s="6">
        <f>C548*AC578/(W578+Z578+AA578+AB578+AC578)</f>
        <v>1.0334123697484108</v>
      </c>
    </row>
    <row r="580" spans="1:29">
      <c r="A580" t="s">
        <v>671</v>
      </c>
      <c r="B580" t="s">
        <v>702</v>
      </c>
      <c r="C580" s="6">
        <f>AVERAGE(D580:AC580)</f>
        <v>0.96961861667744009</v>
      </c>
      <c r="D580" s="6">
        <f>(K548+L548)*D578/C578</f>
        <v>0.30140722263266173</v>
      </c>
      <c r="E580" s="6">
        <f>(K548+L548)*E578/C578</f>
        <v>7.1331366205143176</v>
      </c>
      <c r="F580" s="6">
        <f>(K548+L548)*F578/C578</f>
        <v>1.1779721890089541</v>
      </c>
      <c r="G580" s="6">
        <f>(K548+L548)*G578/C578</f>
        <v>0.52535026902768722</v>
      </c>
      <c r="H580" s="6">
        <f>(K548+L548)*H578/C578</f>
        <v>0.44839962648982212</v>
      </c>
      <c r="I580" s="6">
        <f>(K548+L548)*I578/C578</f>
        <v>0.21638827743035172</v>
      </c>
      <c r="J580" s="6">
        <f>(K548+L548)*J578/C578</f>
        <v>0.68233275630204415</v>
      </c>
      <c r="K580" s="6">
        <f>(K548+L548)*K578/C578</f>
        <v>1.0325945045170533</v>
      </c>
      <c r="L580" s="6">
        <f>(K548+L548)*L578/C578</f>
        <v>0.41273815224592386</v>
      </c>
      <c r="M580" s="6">
        <f>(K548+L548)*M578/C578</f>
        <v>0.46996274771835495</v>
      </c>
      <c r="N580" s="6">
        <f>(K548+L548)*N578/C578</f>
        <v>0.79265250100132401</v>
      </c>
      <c r="O580" s="6">
        <f>(K548+L548)*O578/C578</f>
        <v>0.75402100195771871</v>
      </c>
      <c r="P580" s="6">
        <f>(K548+L548)*P578/C578</f>
        <v>0.6290364289247693</v>
      </c>
      <c r="Q580" s="6">
        <f>(K548+L548)*Q578/C578</f>
        <v>2.8740310569828535</v>
      </c>
      <c r="R580" s="6">
        <f>(K548+L548)*R578/C578</f>
        <v>0.78198476486690383</v>
      </c>
      <c r="S580" s="6">
        <f>(K548+L548)*S578/C578</f>
        <v>1.0318268510483233</v>
      </c>
      <c r="T580" s="6">
        <f>(K548+L548)*T578/C578</f>
        <v>0.84469940618121753</v>
      </c>
      <c r="U580" s="6">
        <f>(K548+L548)*U578/C578</f>
        <v>0.61505454747017685</v>
      </c>
      <c r="V580" s="6">
        <f>(K548+L548)*V578/C578</f>
        <v>1.3662008195415483</v>
      </c>
      <c r="W580" s="6">
        <f>(K548+L548)*W578/C578</f>
        <v>0.16964612242747509</v>
      </c>
      <c r="X580" s="6">
        <f>(K548+L548)*X578/C578</f>
        <v>0.6909251809899668</v>
      </c>
      <c r="Y580" s="6">
        <f>(K548+L548)*Y578/C578</f>
        <v>0.3417063826600597</v>
      </c>
      <c r="Z580" s="6">
        <f>(K548+L548)*Z578/C578</f>
        <v>0.34695289705669019</v>
      </c>
      <c r="AA580" s="6">
        <f>(K548+L548)*AA578/C578</f>
        <v>0.40328807333776506</v>
      </c>
      <c r="AB580" s="6">
        <f>(K548+L548)*AB578/C578</f>
        <v>0.8427882137521725</v>
      </c>
      <c r="AC580" s="6">
        <f>(K548+L548)*AC578/C578</f>
        <v>0.32498741952730581</v>
      </c>
    </row>
    <row r="581" spans="1:29">
      <c r="A581" s="79" t="s">
        <v>672</v>
      </c>
      <c r="B581" s="79" t="s">
        <v>702</v>
      </c>
      <c r="C581" s="187">
        <f>AVERAGE(C579:C580)</f>
        <v>1.5215778253318373</v>
      </c>
      <c r="D581" s="187">
        <f>D579+D580</f>
        <v>1.3088145571720888</v>
      </c>
      <c r="E581" s="187">
        <f>E579+E580</f>
        <v>13.23648857582158</v>
      </c>
      <c r="F581" s="187">
        <f t="shared" ref="F581:AC581" si="223">F579+F580</f>
        <v>3.3077839641669327</v>
      </c>
      <c r="G581" s="187">
        <f t="shared" si="223"/>
        <v>2.2812528303467423</v>
      </c>
      <c r="H581" s="187">
        <f t="shared" si="223"/>
        <v>2.2188569303203685</v>
      </c>
      <c r="I581" s="187">
        <f t="shared" si="223"/>
        <v>1.0707739272109333</v>
      </c>
      <c r="J581" s="187">
        <f t="shared" si="223"/>
        <v>1.9160124242157042</v>
      </c>
      <c r="K581" s="187">
        <f t="shared" si="223"/>
        <v>2.8995587293126199</v>
      </c>
      <c r="L581" s="187">
        <f t="shared" si="223"/>
        <v>2.0423899919088777</v>
      </c>
      <c r="M581" s="187">
        <f t="shared" si="223"/>
        <v>2.3255596975635391</v>
      </c>
      <c r="N581" s="187">
        <f t="shared" si="223"/>
        <v>3.4419717053488283</v>
      </c>
      <c r="O581" s="187">
        <f t="shared" si="223"/>
        <v>2.1173153340905122</v>
      </c>
      <c r="P581" s="187">
        <f t="shared" si="223"/>
        <v>2.2828675218127463</v>
      </c>
      <c r="Q581" s="187">
        <f t="shared" si="223"/>
        <v>9.2180776847930126</v>
      </c>
      <c r="R581" s="187">
        <f t="shared" si="223"/>
        <v>2.5081135756532369</v>
      </c>
      <c r="S581" s="187">
        <f t="shared" si="223"/>
        <v>3.7446543603506441</v>
      </c>
      <c r="T581" s="187">
        <f t="shared" si="223"/>
        <v>3.06554080399092</v>
      </c>
      <c r="U581" s="187">
        <f t="shared" si="223"/>
        <v>2.6707798776439367</v>
      </c>
      <c r="V581" s="187">
        <f t="shared" si="223"/>
        <v>4.9771628679179383</v>
      </c>
      <c r="W581" s="187">
        <f t="shared" si="223"/>
        <v>0.70909593144285454</v>
      </c>
      <c r="X581" s="187">
        <f t="shared" si="223"/>
        <v>2.5170876097751917</v>
      </c>
      <c r="Y581" s="187">
        <f t="shared" si="223"/>
        <v>1.2448596832762224</v>
      </c>
      <c r="Z581" s="187">
        <f t="shared" si="223"/>
        <v>1.4502122664806973</v>
      </c>
      <c r="AA581" s="187">
        <f t="shared" si="223"/>
        <v>1.6856850478589089</v>
      </c>
      <c r="AB581" s="187">
        <f t="shared" si="223"/>
        <v>3.522731229504771</v>
      </c>
      <c r="AC581" s="187">
        <f t="shared" si="223"/>
        <v>1.3583997892757167</v>
      </c>
    </row>
    <row r="582" spans="1:29">
      <c r="A582" t="s">
        <v>673</v>
      </c>
    </row>
    <row r="583" spans="1:29">
      <c r="D583" s="93"/>
      <c r="E583" s="93"/>
      <c r="F583" s="93"/>
      <c r="G583" s="93"/>
      <c r="H583" s="93"/>
      <c r="I583" s="93"/>
      <c r="J583" s="93"/>
      <c r="K583" s="93"/>
      <c r="L583" s="93"/>
      <c r="M583" s="93"/>
      <c r="N583" s="93"/>
      <c r="O583" s="93"/>
      <c r="P583" s="93"/>
      <c r="Q583" s="93"/>
      <c r="R583" s="93"/>
      <c r="S583" s="93"/>
      <c r="T583" s="93"/>
      <c r="U583" s="93"/>
      <c r="V583" s="93"/>
      <c r="W583" s="93"/>
      <c r="X583" s="93"/>
      <c r="Y583" s="93"/>
      <c r="Z583" s="93"/>
      <c r="AA583" s="93"/>
      <c r="AB583" s="93"/>
      <c r="AC583" s="93"/>
    </row>
    <row r="584" spans="1:29">
      <c r="D584" s="93"/>
      <c r="E584" s="93"/>
      <c r="F584" s="93"/>
      <c r="G584" s="93"/>
      <c r="H584" s="93"/>
      <c r="I584" s="93"/>
      <c r="J584" s="93"/>
      <c r="K584" s="93"/>
      <c r="L584" s="93"/>
      <c r="M584" s="93"/>
      <c r="N584" s="93"/>
      <c r="O584" s="93"/>
      <c r="P584" s="93"/>
      <c r="Q584" s="93"/>
      <c r="R584" s="93"/>
      <c r="S584" s="93"/>
      <c r="T584" s="93"/>
      <c r="U584" s="93"/>
      <c r="V584" s="93"/>
      <c r="W584" s="93"/>
      <c r="X584" s="93"/>
      <c r="Y584" s="93"/>
      <c r="Z584" s="93"/>
      <c r="AA584" s="93"/>
      <c r="AB584" s="93"/>
      <c r="AC584" s="93"/>
    </row>
    <row r="585" spans="1:29">
      <c r="D585" s="93"/>
      <c r="E585" s="93"/>
      <c r="F585" s="93"/>
      <c r="G585" s="93"/>
      <c r="H585" s="93"/>
      <c r="I585" s="93"/>
      <c r="J585" s="93"/>
      <c r="K585" s="93"/>
      <c r="L585" s="93"/>
      <c r="M585" s="93"/>
      <c r="N585" s="93"/>
      <c r="O585" s="93"/>
      <c r="P585" s="93"/>
      <c r="Q585" s="93"/>
      <c r="R585" s="93"/>
      <c r="S585" s="93"/>
      <c r="T585" s="93"/>
      <c r="U585" s="93"/>
      <c r="V585" s="93"/>
      <c r="W585" s="93"/>
      <c r="X585" s="93"/>
      <c r="Y585" s="93"/>
      <c r="Z585" s="93"/>
      <c r="AA585" s="93"/>
      <c r="AB585" s="93"/>
      <c r="AC585" s="93"/>
    </row>
    <row r="586" spans="1:29" ht="15.5">
      <c r="A586" s="101" t="s">
        <v>746</v>
      </c>
    </row>
    <row r="587" spans="1:29">
      <c r="A587" s="82"/>
      <c r="B587" s="82" t="s">
        <v>63</v>
      </c>
      <c r="C587" s="82" t="str">
        <f>C577</f>
        <v>IE</v>
      </c>
      <c r="D587" s="82" t="str">
        <f t="shared" ref="D587:AC587" si="224">D577</f>
        <v>IE-CW</v>
      </c>
      <c r="E587" s="82" t="str">
        <f t="shared" si="224"/>
        <v>IE-D</v>
      </c>
      <c r="F587" s="82" t="str">
        <f t="shared" si="224"/>
        <v>IE-KE</v>
      </c>
      <c r="G587" s="82" t="str">
        <f t="shared" si="224"/>
        <v>IE-KK</v>
      </c>
      <c r="H587" s="82" t="str">
        <f t="shared" si="224"/>
        <v>IE-LS</v>
      </c>
      <c r="I587" s="82" t="str">
        <f t="shared" si="224"/>
        <v>IE-LD</v>
      </c>
      <c r="J587" s="82" t="str">
        <f t="shared" si="224"/>
        <v>IE-LH</v>
      </c>
      <c r="K587" s="82" t="str">
        <f t="shared" si="224"/>
        <v>IE-MH</v>
      </c>
      <c r="L587" s="82" t="str">
        <f t="shared" si="224"/>
        <v>IE-OY</v>
      </c>
      <c r="M587" s="82" t="str">
        <f t="shared" si="224"/>
        <v>IE-WH</v>
      </c>
      <c r="N587" s="82" t="str">
        <f t="shared" si="224"/>
        <v>IE-WX</v>
      </c>
      <c r="O587" s="82" t="str">
        <f t="shared" si="224"/>
        <v>IE-WW</v>
      </c>
      <c r="P587" s="82" t="str">
        <f t="shared" si="224"/>
        <v>IE-CE</v>
      </c>
      <c r="Q587" s="82" t="str">
        <f t="shared" si="224"/>
        <v>IE-CO</v>
      </c>
      <c r="R587" s="82" t="str">
        <f t="shared" si="224"/>
        <v>IE-KY</v>
      </c>
      <c r="S587" s="82" t="str">
        <f t="shared" si="224"/>
        <v>IE-LK</v>
      </c>
      <c r="T587" s="82" t="str">
        <f t="shared" si="224"/>
        <v>IE-TA</v>
      </c>
      <c r="U587" s="82" t="str">
        <f t="shared" si="224"/>
        <v>IE-WD</v>
      </c>
      <c r="V587" s="82" t="str">
        <f t="shared" si="224"/>
        <v>IE-G</v>
      </c>
      <c r="W587" s="82" t="str">
        <f t="shared" si="224"/>
        <v>IE-LM</v>
      </c>
      <c r="X587" s="82" t="str">
        <f t="shared" si="224"/>
        <v>IE-MO</v>
      </c>
      <c r="Y587" s="82" t="str">
        <f t="shared" si="224"/>
        <v>IE-RN</v>
      </c>
      <c r="Z587" s="82" t="str">
        <f t="shared" si="224"/>
        <v>IE-SO</v>
      </c>
      <c r="AA587" s="82" t="str">
        <f t="shared" si="224"/>
        <v>IE-CN</v>
      </c>
      <c r="AB587" s="82" t="str">
        <f t="shared" si="224"/>
        <v>IE-DL</v>
      </c>
      <c r="AC587" s="82" t="str">
        <f t="shared" si="224"/>
        <v>IE-MN</v>
      </c>
    </row>
    <row r="588" spans="1:29">
      <c r="A588" t="s">
        <v>747</v>
      </c>
      <c r="B588" t="s">
        <v>213</v>
      </c>
      <c r="C588">
        <v>7891</v>
      </c>
      <c r="D588">
        <v>129</v>
      </c>
      <c r="E588">
        <v>1769</v>
      </c>
      <c r="F588">
        <v>378</v>
      </c>
      <c r="G588">
        <v>189</v>
      </c>
      <c r="H588">
        <v>140</v>
      </c>
      <c r="I588">
        <v>88</v>
      </c>
      <c r="J588">
        <v>188</v>
      </c>
      <c r="K588">
        <v>357</v>
      </c>
      <c r="L588">
        <v>139</v>
      </c>
      <c r="M588">
        <v>174</v>
      </c>
      <c r="N588">
        <v>334</v>
      </c>
      <c r="O588">
        <v>200</v>
      </c>
      <c r="P588">
        <v>198</v>
      </c>
      <c r="Q588">
        <v>879</v>
      </c>
      <c r="R588">
        <v>245</v>
      </c>
      <c r="S588">
        <v>322</v>
      </c>
      <c r="T588">
        <v>302</v>
      </c>
      <c r="U588">
        <v>163</v>
      </c>
      <c r="V588">
        <v>429</v>
      </c>
      <c r="W588">
        <v>70</v>
      </c>
      <c r="X588">
        <v>271</v>
      </c>
      <c r="Y588">
        <v>138</v>
      </c>
      <c r="Z588">
        <v>121</v>
      </c>
      <c r="AA588">
        <v>178</v>
      </c>
      <c r="AB588">
        <v>289</v>
      </c>
      <c r="AC588">
        <v>199</v>
      </c>
    </row>
    <row r="589" spans="1:29">
      <c r="A589" t="s">
        <v>748</v>
      </c>
      <c r="B589" t="s">
        <v>90</v>
      </c>
      <c r="C589" s="2">
        <f>C479</f>
        <v>11536.999999999998</v>
      </c>
      <c r="D589" s="2">
        <f t="shared" ref="D589:AC589" si="225">D479</f>
        <v>177.94099599204955</v>
      </c>
      <c r="E589" s="2">
        <f t="shared" si="225"/>
        <v>2629.2279716035632</v>
      </c>
      <c r="F589" s="2">
        <f t="shared" si="225"/>
        <v>482.28404218784624</v>
      </c>
      <c r="G589" s="2">
        <f t="shared" si="225"/>
        <v>310.14966827589166</v>
      </c>
      <c r="H589" s="2">
        <f t="shared" si="225"/>
        <v>220.90468018989404</v>
      </c>
      <c r="I589" s="2">
        <f t="shared" si="225"/>
        <v>106.60397645018759</v>
      </c>
      <c r="J589" s="2">
        <f t="shared" si="225"/>
        <v>279.35990585939294</v>
      </c>
      <c r="K589" s="2">
        <f t="shared" si="225"/>
        <v>422.76367492038924</v>
      </c>
      <c r="L589" s="2">
        <f t="shared" si="225"/>
        <v>203.33600685129727</v>
      </c>
      <c r="M589" s="2">
        <f t="shared" si="225"/>
        <v>231.52778091853185</v>
      </c>
      <c r="N589" s="2">
        <f t="shared" si="225"/>
        <v>467.95618987426485</v>
      </c>
      <c r="O589" s="2">
        <f t="shared" si="225"/>
        <v>308.71042636808323</v>
      </c>
      <c r="P589" s="2">
        <f t="shared" si="225"/>
        <v>303.78726686741447</v>
      </c>
      <c r="Q589" s="2">
        <f t="shared" si="225"/>
        <v>1625.427705266085</v>
      </c>
      <c r="R589" s="2">
        <f t="shared" si="225"/>
        <v>442.25677339931184</v>
      </c>
      <c r="S589" s="2">
        <f t="shared" si="225"/>
        <v>498.31113834882399</v>
      </c>
      <c r="T589" s="2">
        <f t="shared" si="225"/>
        <v>407.93968700183132</v>
      </c>
      <c r="U589" s="2">
        <f t="shared" si="225"/>
        <v>363.10814920207179</v>
      </c>
      <c r="V589" s="2">
        <f t="shared" si="225"/>
        <v>605.06096800451598</v>
      </c>
      <c r="W589" s="2">
        <f t="shared" si="225"/>
        <v>80.69347018970771</v>
      </c>
      <c r="X589" s="2">
        <f t="shared" si="225"/>
        <v>305.99590693319084</v>
      </c>
      <c r="Y589" s="2">
        <f t="shared" si="225"/>
        <v>151.3344097795204</v>
      </c>
      <c r="Z589" s="2">
        <f t="shared" si="225"/>
        <v>165.03078794415472</v>
      </c>
      <c r="AA589" s="2">
        <f t="shared" si="225"/>
        <v>191.82704360164692</v>
      </c>
      <c r="AB589" s="2">
        <f t="shared" si="225"/>
        <v>400.87863270627724</v>
      </c>
      <c r="AC589" s="2">
        <f t="shared" si="225"/>
        <v>154.58274126405556</v>
      </c>
    </row>
    <row r="590" spans="1:29">
      <c r="A590" s="79" t="s">
        <v>745</v>
      </c>
      <c r="B590" s="79" t="s">
        <v>702</v>
      </c>
      <c r="C590" s="250">
        <f>C589/C588</f>
        <v>1.4620453681409198</v>
      </c>
      <c r="D590" s="250">
        <f t="shared" ref="D590:AC590" si="226">D589/D588</f>
        <v>1.3793875658298416</v>
      </c>
      <c r="E590" s="250">
        <f t="shared" si="226"/>
        <v>1.4862792377634615</v>
      </c>
      <c r="F590" s="250">
        <f t="shared" si="226"/>
        <v>1.2758837094916566</v>
      </c>
      <c r="G590" s="250">
        <f t="shared" si="226"/>
        <v>1.6410035358512787</v>
      </c>
      <c r="H590" s="250">
        <f t="shared" si="226"/>
        <v>1.5778905727849575</v>
      </c>
      <c r="I590" s="250">
        <f t="shared" si="226"/>
        <v>1.2114088232975861</v>
      </c>
      <c r="J590" s="250">
        <f t="shared" si="226"/>
        <v>1.4859569460606008</v>
      </c>
      <c r="K590" s="250">
        <f t="shared" si="226"/>
        <v>1.1842119745669166</v>
      </c>
      <c r="L590" s="250">
        <f t="shared" si="226"/>
        <v>1.4628489701532177</v>
      </c>
      <c r="M590" s="250">
        <f t="shared" si="226"/>
        <v>1.3306194305662751</v>
      </c>
      <c r="N590" s="250">
        <f t="shared" si="226"/>
        <v>1.401066436749296</v>
      </c>
      <c r="O590" s="250">
        <f t="shared" si="226"/>
        <v>1.5435521318404162</v>
      </c>
      <c r="P590" s="250">
        <f t="shared" si="226"/>
        <v>1.5342791255930024</v>
      </c>
      <c r="Q590" s="250">
        <f t="shared" si="226"/>
        <v>1.8491782767532252</v>
      </c>
      <c r="R590" s="250">
        <f t="shared" si="226"/>
        <v>1.80512968734413</v>
      </c>
      <c r="S590" s="250">
        <f t="shared" si="226"/>
        <v>1.5475501190957266</v>
      </c>
      <c r="T590" s="250">
        <f t="shared" si="226"/>
        <v>1.3507936655689778</v>
      </c>
      <c r="U590" s="250">
        <f t="shared" si="226"/>
        <v>2.2276573570679252</v>
      </c>
      <c r="V590" s="250">
        <f t="shared" si="226"/>
        <v>1.4103985268170536</v>
      </c>
      <c r="W590" s="250">
        <f t="shared" si="226"/>
        <v>1.1527638598529673</v>
      </c>
      <c r="X590" s="250">
        <f t="shared" si="226"/>
        <v>1.1291361879453536</v>
      </c>
      <c r="Y590" s="250">
        <f t="shared" si="226"/>
        <v>1.0966261578226115</v>
      </c>
      <c r="Z590" s="250">
        <f t="shared" si="226"/>
        <v>1.3638908094558242</v>
      </c>
      <c r="AA590" s="250">
        <f t="shared" si="226"/>
        <v>1.0776800202339714</v>
      </c>
      <c r="AB590" s="250">
        <f t="shared" si="226"/>
        <v>1.387123296561513</v>
      </c>
      <c r="AC590" s="250">
        <f t="shared" si="226"/>
        <v>0.77679769479424898</v>
      </c>
    </row>
    <row r="594" spans="1:29" ht="15.5">
      <c r="A594" s="101" t="s">
        <v>1043</v>
      </c>
    </row>
    <row r="595" spans="1:29" ht="17.5">
      <c r="A595" s="82" t="s">
        <v>1013</v>
      </c>
      <c r="B595" s="82" t="s">
        <v>642</v>
      </c>
      <c r="C595" s="80" t="str">
        <f>C423</f>
        <v>IE</v>
      </c>
      <c r="D595" s="80" t="str">
        <f t="shared" ref="D595:AC595" si="227">D423</f>
        <v>IE-CW</v>
      </c>
      <c r="E595" s="80" t="str">
        <f t="shared" si="227"/>
        <v>IE-D</v>
      </c>
      <c r="F595" s="80" t="str">
        <f t="shared" si="227"/>
        <v>IE-KE</v>
      </c>
      <c r="G595" s="80" t="str">
        <f t="shared" si="227"/>
        <v>IE-KK</v>
      </c>
      <c r="H595" s="80" t="str">
        <f t="shared" si="227"/>
        <v>IE-LS</v>
      </c>
      <c r="I595" s="80" t="str">
        <f t="shared" si="227"/>
        <v>IE-LD</v>
      </c>
      <c r="J595" s="80" t="str">
        <f t="shared" si="227"/>
        <v>IE-LH</v>
      </c>
      <c r="K595" s="80" t="str">
        <f t="shared" si="227"/>
        <v>IE-MH</v>
      </c>
      <c r="L595" s="80" t="str">
        <f t="shared" si="227"/>
        <v>IE-OY</v>
      </c>
      <c r="M595" s="80" t="str">
        <f t="shared" si="227"/>
        <v>IE-WH</v>
      </c>
      <c r="N595" s="80" t="str">
        <f t="shared" si="227"/>
        <v>IE-WX</v>
      </c>
      <c r="O595" s="80" t="str">
        <f t="shared" si="227"/>
        <v>IE-WW</v>
      </c>
      <c r="P595" s="80" t="str">
        <f t="shared" si="227"/>
        <v>IE-CE</v>
      </c>
      <c r="Q595" s="80" t="str">
        <f t="shared" si="227"/>
        <v>IE-CO</v>
      </c>
      <c r="R595" s="80" t="str">
        <f t="shared" si="227"/>
        <v>IE-KY</v>
      </c>
      <c r="S595" s="80" t="str">
        <f t="shared" si="227"/>
        <v>IE-LK</v>
      </c>
      <c r="T595" s="80" t="str">
        <f t="shared" si="227"/>
        <v>IE-TA</v>
      </c>
      <c r="U595" s="80" t="str">
        <f t="shared" si="227"/>
        <v>IE-WD</v>
      </c>
      <c r="V595" s="80" t="str">
        <f t="shared" si="227"/>
        <v>IE-G</v>
      </c>
      <c r="W595" s="80" t="str">
        <f t="shared" si="227"/>
        <v>IE-LM</v>
      </c>
      <c r="X595" s="80" t="str">
        <f t="shared" si="227"/>
        <v>IE-MO</v>
      </c>
      <c r="Y595" s="80" t="str">
        <f t="shared" si="227"/>
        <v>IE-RN</v>
      </c>
      <c r="Z595" s="80" t="str">
        <f t="shared" si="227"/>
        <v>IE-SO</v>
      </c>
      <c r="AA595" s="80" t="str">
        <f t="shared" si="227"/>
        <v>IE-CN</v>
      </c>
      <c r="AB595" s="80" t="str">
        <f t="shared" si="227"/>
        <v>IE-DL</v>
      </c>
      <c r="AC595" s="80" t="str">
        <f t="shared" si="227"/>
        <v>IE-MN</v>
      </c>
    </row>
    <row r="596" spans="1:29">
      <c r="A596" s="343" t="s">
        <v>1010</v>
      </c>
      <c r="B596" t="s">
        <v>1019</v>
      </c>
      <c r="C596" s="32">
        <f>C424/1000</f>
        <v>0.29199999999999998</v>
      </c>
      <c r="D596" s="32">
        <f t="shared" ref="D596:AC596" si="228">D424/1000</f>
        <v>4.5036639360040284E-3</v>
      </c>
      <c r="E596" s="32">
        <f t="shared" si="228"/>
        <v>6.6545424955208501E-2</v>
      </c>
      <c r="F596" s="32">
        <f t="shared" si="228"/>
        <v>1.2206547657003653E-2</v>
      </c>
      <c r="G596" s="32">
        <f t="shared" si="228"/>
        <v>7.8498485859894579E-3</v>
      </c>
      <c r="H596" s="32">
        <f t="shared" si="228"/>
        <v>5.5910693087846981E-3</v>
      </c>
      <c r="I596" s="32">
        <f t="shared" si="228"/>
        <v>2.6981330608871262E-3</v>
      </c>
      <c r="J596" s="32">
        <f t="shared" si="228"/>
        <v>7.0705636223405343E-3</v>
      </c>
      <c r="K596" s="32">
        <f t="shared" si="228"/>
        <v>1.0700094745319726E-2</v>
      </c>
      <c r="L596" s="32">
        <f t="shared" si="228"/>
        <v>5.1464084251173449E-3</v>
      </c>
      <c r="M596" s="32">
        <f t="shared" si="228"/>
        <v>5.8599386346720383E-3</v>
      </c>
      <c r="N596" s="32">
        <f t="shared" si="228"/>
        <v>1.1843911540546533E-2</v>
      </c>
      <c r="O596" s="32">
        <f t="shared" si="228"/>
        <v>7.813421556685473E-3</v>
      </c>
      <c r="P596" s="32">
        <f t="shared" si="228"/>
        <v>7.6888170170135248E-3</v>
      </c>
      <c r="Q596" s="32">
        <f t="shared" si="228"/>
        <v>4.1139368114561578E-2</v>
      </c>
      <c r="R596" s="32">
        <f t="shared" si="228"/>
        <v>1.1193462584085904E-2</v>
      </c>
      <c r="S596" s="32">
        <f t="shared" si="228"/>
        <v>1.261219141872728E-2</v>
      </c>
      <c r="T596" s="32">
        <f t="shared" si="228"/>
        <v>1.0324901499916337E-2</v>
      </c>
      <c r="U596" s="32">
        <f t="shared" si="228"/>
        <v>9.1902209904658905E-3</v>
      </c>
      <c r="V596" s="32">
        <f t="shared" si="228"/>
        <v>1.5314016005661671E-2</v>
      </c>
      <c r="W596" s="32">
        <f t="shared" si="228"/>
        <v>2.0423414488510579E-3</v>
      </c>
      <c r="X596" s="32">
        <f t="shared" si="228"/>
        <v>7.7447174156619345E-3</v>
      </c>
      <c r="Y596" s="32">
        <f t="shared" si="228"/>
        <v>3.8302546290734131E-3</v>
      </c>
      <c r="Z596" s="32">
        <f t="shared" si="228"/>
        <v>4.1769082152806787E-3</v>
      </c>
      <c r="AA596" s="32">
        <f t="shared" si="228"/>
        <v>4.8551180316963602E-3</v>
      </c>
      <c r="AB596" s="32">
        <f t="shared" si="228"/>
        <v>1.0146187115388139E-2</v>
      </c>
      <c r="AC596" s="32">
        <f t="shared" si="228"/>
        <v>3.9124694850571403E-3</v>
      </c>
    </row>
    <row r="597" spans="1:29">
      <c r="A597" s="343" t="s">
        <v>1011</v>
      </c>
      <c r="B597" t="s">
        <v>1020</v>
      </c>
      <c r="C597" s="32">
        <f>C425/1000</f>
        <v>1.1399999999999999</v>
      </c>
      <c r="D597" s="32">
        <f t="shared" ref="D597:AC597" si="229">D425/1000</f>
        <v>1.7582797558371891E-2</v>
      </c>
      <c r="E597" s="32">
        <f t="shared" si="229"/>
        <v>0.25980063167444417</v>
      </c>
      <c r="F597" s="32">
        <f t="shared" si="229"/>
        <v>4.7655699756795081E-2</v>
      </c>
      <c r="G597" s="32">
        <f t="shared" si="229"/>
        <v>3.0646669137082128E-2</v>
      </c>
      <c r="H597" s="32">
        <f t="shared" si="229"/>
        <v>2.1828147301419711E-2</v>
      </c>
      <c r="I597" s="32">
        <f t="shared" si="229"/>
        <v>1.0533807155518235E-2</v>
      </c>
      <c r="J597" s="32">
        <f t="shared" si="229"/>
        <v>2.7604255237904825E-2</v>
      </c>
      <c r="K597" s="32">
        <f t="shared" si="229"/>
        <v>4.1774342498850987E-2</v>
      </c>
      <c r="L597" s="32">
        <f t="shared" si="229"/>
        <v>2.009214248162251E-2</v>
      </c>
      <c r="M597" s="32">
        <f t="shared" si="229"/>
        <v>2.2877842614815493E-2</v>
      </c>
      <c r="N597" s="32">
        <f t="shared" si="229"/>
        <v>4.6239928617202226E-2</v>
      </c>
      <c r="O597" s="32">
        <f t="shared" si="229"/>
        <v>3.0504454022676163E-2</v>
      </c>
      <c r="P597" s="32">
        <f t="shared" si="229"/>
        <v>3.0017984244504855E-2</v>
      </c>
      <c r="Q597" s="32">
        <f t="shared" si="229"/>
        <v>0.16061260154315135</v>
      </c>
      <c r="R597" s="32">
        <f t="shared" si="229"/>
        <v>4.3700504609102506E-2</v>
      </c>
      <c r="S597" s="32">
        <f t="shared" si="229"/>
        <v>4.9239377456675004E-2</v>
      </c>
      <c r="T597" s="32">
        <f t="shared" si="229"/>
        <v>4.0309546951728156E-2</v>
      </c>
      <c r="U597" s="32">
        <f t="shared" si="229"/>
        <v>3.5879629894284643E-2</v>
      </c>
      <c r="V597" s="32">
        <f t="shared" si="229"/>
        <v>5.9787596734432548E-2</v>
      </c>
      <c r="W597" s="32">
        <f t="shared" si="229"/>
        <v>7.9735248345555003E-3</v>
      </c>
      <c r="X597" s="32">
        <f t="shared" si="229"/>
        <v>3.0236225526899335E-2</v>
      </c>
      <c r="Y597" s="32">
        <f t="shared" si="229"/>
        <v>1.4953733825834557E-2</v>
      </c>
      <c r="Z597" s="32">
        <f t="shared" si="229"/>
        <v>1.6307107415821826E-2</v>
      </c>
      <c r="AA597" s="32">
        <f t="shared" si="229"/>
        <v>1.8954912863472093E-2</v>
      </c>
      <c r="AB597" s="32">
        <f t="shared" si="229"/>
        <v>3.9611826409392051E-2</v>
      </c>
      <c r="AC597" s="32">
        <f t="shared" si="229"/>
        <v>1.527470963344226E-2</v>
      </c>
    </row>
    <row r="598" spans="1:29">
      <c r="A598" s="343" t="s">
        <v>1012</v>
      </c>
      <c r="B598" t="s">
        <v>1021</v>
      </c>
      <c r="C598" s="32">
        <f>C426/1000</f>
        <v>10.106</v>
      </c>
      <c r="D598" s="32">
        <f t="shared" ref="D598:AC598" si="230">D426/1000</f>
        <v>0.15586995800430381</v>
      </c>
      <c r="E598" s="32">
        <f t="shared" si="230"/>
        <v>2.3031098102648535</v>
      </c>
      <c r="F598" s="32">
        <f t="shared" si="230"/>
        <v>0.42246359801944827</v>
      </c>
      <c r="G598" s="32">
        <f t="shared" si="230"/>
        <v>0.2716800335959228</v>
      </c>
      <c r="H598" s="32">
        <f t="shared" si="230"/>
        <v>0.19350461107732247</v>
      </c>
      <c r="I598" s="32">
        <f t="shared" si="230"/>
        <v>9.3381276415497608E-2</v>
      </c>
      <c r="J598" s="32">
        <f t="shared" si="230"/>
        <v>0.24470930125812823</v>
      </c>
      <c r="K598" s="32">
        <f t="shared" si="230"/>
        <v>0.37032588183630533</v>
      </c>
      <c r="L598" s="32">
        <f t="shared" si="230"/>
        <v>0.17811508063094481</v>
      </c>
      <c r="M598" s="32">
        <f t="shared" si="230"/>
        <v>0.20281006795203979</v>
      </c>
      <c r="N598" s="32">
        <f t="shared" si="230"/>
        <v>0.40991291105740851</v>
      </c>
      <c r="O598" s="32">
        <f t="shared" si="230"/>
        <v>0.27041930908172396</v>
      </c>
      <c r="P598" s="32">
        <f t="shared" si="230"/>
        <v>0.26610679717102287</v>
      </c>
      <c r="Q598" s="32">
        <f t="shared" si="230"/>
        <v>1.4238166238553398</v>
      </c>
      <c r="R598" s="32">
        <f t="shared" si="230"/>
        <v>0.38740113998209635</v>
      </c>
      <c r="S598" s="32">
        <f t="shared" si="230"/>
        <v>0.43650276190978732</v>
      </c>
      <c r="T598" s="32">
        <f t="shared" si="230"/>
        <v>0.35734059780189892</v>
      </c>
      <c r="U598" s="32">
        <f t="shared" si="230"/>
        <v>0.31806977167687772</v>
      </c>
      <c r="V598" s="32">
        <f t="shared" si="230"/>
        <v>0.53001180052471519</v>
      </c>
      <c r="W598" s="32">
        <f t="shared" si="230"/>
        <v>7.0684598226331469E-2</v>
      </c>
      <c r="X598" s="32">
        <f t="shared" si="230"/>
        <v>0.26804148699547781</v>
      </c>
      <c r="Y598" s="32">
        <f t="shared" si="230"/>
        <v>0.13256353863498599</v>
      </c>
      <c r="Z598" s="32">
        <f t="shared" si="230"/>
        <v>0.14456107679324157</v>
      </c>
      <c r="AA598" s="32">
        <f t="shared" si="230"/>
        <v>0.16803363982302544</v>
      </c>
      <c r="AB598" s="32">
        <f t="shared" si="230"/>
        <v>0.35115536639764572</v>
      </c>
      <c r="AC598" s="32">
        <f t="shared" si="230"/>
        <v>0.13540896101365571</v>
      </c>
    </row>
    <row r="599" spans="1:29">
      <c r="A599" s="343" t="s">
        <v>24</v>
      </c>
      <c r="B599" t="s">
        <v>17</v>
      </c>
      <c r="C599" s="32">
        <f t="shared" ref="C599:AC599" si="231">C18</f>
        <v>8.8551000000000005E-2</v>
      </c>
      <c r="D599" s="32">
        <f t="shared" si="231"/>
        <v>0</v>
      </c>
      <c r="E599" s="32">
        <f t="shared" si="231"/>
        <v>2.8462821428571431E-2</v>
      </c>
      <c r="F599" s="32">
        <f t="shared" si="231"/>
        <v>0</v>
      </c>
      <c r="G599" s="32">
        <f t="shared" si="231"/>
        <v>0</v>
      </c>
      <c r="H599" s="32">
        <f t="shared" si="231"/>
        <v>0</v>
      </c>
      <c r="I599" s="32">
        <f t="shared" si="231"/>
        <v>0</v>
      </c>
      <c r="J599" s="32">
        <f t="shared" si="231"/>
        <v>0</v>
      </c>
      <c r="K599" s="32">
        <f t="shared" si="231"/>
        <v>9.4876071428571431E-3</v>
      </c>
      <c r="L599" s="32">
        <f t="shared" si="231"/>
        <v>0</v>
      </c>
      <c r="M599" s="32">
        <f t="shared" si="231"/>
        <v>0</v>
      </c>
      <c r="N599" s="32">
        <f t="shared" si="231"/>
        <v>0</v>
      </c>
      <c r="O599" s="32">
        <f t="shared" si="231"/>
        <v>0</v>
      </c>
      <c r="P599" s="32">
        <f t="shared" si="231"/>
        <v>0</v>
      </c>
      <c r="Q599" s="32">
        <f t="shared" si="231"/>
        <v>0</v>
      </c>
      <c r="R599" s="32">
        <f t="shared" si="231"/>
        <v>0</v>
      </c>
      <c r="S599" s="32">
        <f t="shared" si="231"/>
        <v>0</v>
      </c>
      <c r="T599" s="32">
        <f t="shared" si="231"/>
        <v>0</v>
      </c>
      <c r="U599" s="32">
        <f t="shared" si="231"/>
        <v>1.5812678571428571E-2</v>
      </c>
      <c r="V599" s="32">
        <f t="shared" si="231"/>
        <v>0</v>
      </c>
      <c r="W599" s="32">
        <f t="shared" si="231"/>
        <v>0</v>
      </c>
      <c r="X599" s="32">
        <f t="shared" si="231"/>
        <v>3.4787892857142858E-2</v>
      </c>
      <c r="Y599" s="32">
        <f t="shared" si="231"/>
        <v>0</v>
      </c>
      <c r="Z599" s="32">
        <f t="shared" si="231"/>
        <v>0</v>
      </c>
      <c r="AA599" s="32">
        <f t="shared" si="231"/>
        <v>0</v>
      </c>
      <c r="AB599" s="32">
        <f t="shared" si="231"/>
        <v>0</v>
      </c>
      <c r="AC599" s="32">
        <f t="shared" si="231"/>
        <v>0</v>
      </c>
    </row>
    <row r="600" spans="1:29">
      <c r="A600" s="107"/>
      <c r="B600" s="107" t="s">
        <v>16</v>
      </c>
      <c r="C600" s="357">
        <f>SUM(C596:C599)</f>
        <v>11.626551000000001</v>
      </c>
      <c r="D600" s="357">
        <f t="shared" ref="D600:AC600" si="232">SUM(D596:D599)</f>
        <v>0.17795641949867974</v>
      </c>
      <c r="E600" s="357">
        <f t="shared" si="232"/>
        <v>2.6579186883230776</v>
      </c>
      <c r="F600" s="357">
        <f t="shared" si="232"/>
        <v>0.48232584543324702</v>
      </c>
      <c r="G600" s="357">
        <f t="shared" si="232"/>
        <v>0.31017655131899435</v>
      </c>
      <c r="H600" s="357">
        <f t="shared" si="232"/>
        <v>0.22092382768752689</v>
      </c>
      <c r="I600" s="357">
        <f t="shared" si="232"/>
        <v>0.10661321663190297</v>
      </c>
      <c r="J600" s="357">
        <f t="shared" si="232"/>
        <v>0.2793841201183736</v>
      </c>
      <c r="K600" s="357">
        <f t="shared" si="232"/>
        <v>0.43228792622333317</v>
      </c>
      <c r="L600" s="357">
        <f t="shared" si="232"/>
        <v>0.20335363153768465</v>
      </c>
      <c r="M600" s="357">
        <f t="shared" si="232"/>
        <v>0.23154784920152732</v>
      </c>
      <c r="N600" s="357">
        <f t="shared" si="232"/>
        <v>0.46799675121515727</v>
      </c>
      <c r="O600" s="357">
        <f t="shared" si="232"/>
        <v>0.30873718466108557</v>
      </c>
      <c r="P600" s="357">
        <f t="shared" si="232"/>
        <v>0.30381359843254124</v>
      </c>
      <c r="Q600" s="357">
        <f t="shared" si="232"/>
        <v>1.6255685935130528</v>
      </c>
      <c r="R600" s="357">
        <f t="shared" si="232"/>
        <v>0.44229510717528475</v>
      </c>
      <c r="S600" s="357">
        <f t="shared" si="232"/>
        <v>0.49835433078518959</v>
      </c>
      <c r="T600" s="357">
        <f t="shared" si="232"/>
        <v>0.40797504625354342</v>
      </c>
      <c r="U600" s="357">
        <f t="shared" si="232"/>
        <v>0.37895230113305683</v>
      </c>
      <c r="V600" s="357">
        <f t="shared" si="232"/>
        <v>0.60511341326480939</v>
      </c>
      <c r="W600" s="357">
        <f t="shared" si="232"/>
        <v>8.0700464509738029E-2</v>
      </c>
      <c r="X600" s="357">
        <f t="shared" si="232"/>
        <v>0.34081032279518192</v>
      </c>
      <c r="Y600" s="357">
        <f t="shared" si="232"/>
        <v>0.15134752708989396</v>
      </c>
      <c r="Z600" s="357">
        <f t="shared" si="232"/>
        <v>0.16504509242434406</v>
      </c>
      <c r="AA600" s="357">
        <f t="shared" si="232"/>
        <v>0.19184367071819389</v>
      </c>
      <c r="AB600" s="357">
        <f>SUM(AB596:AB599)</f>
        <v>0.40091337992242593</v>
      </c>
      <c r="AC600" s="357">
        <f t="shared" si="232"/>
        <v>0.15459614013215511</v>
      </c>
    </row>
    <row r="601" spans="1:29">
      <c r="A601" s="340"/>
      <c r="B601" s="340"/>
      <c r="C601" s="342"/>
      <c r="D601" s="342"/>
      <c r="E601" s="342"/>
      <c r="F601" s="342"/>
      <c r="G601" s="342"/>
      <c r="H601" s="342"/>
      <c r="I601" s="342"/>
      <c r="J601" s="342"/>
      <c r="K601" s="342"/>
      <c r="L601" s="342"/>
      <c r="M601" s="342"/>
      <c r="N601" s="342"/>
      <c r="O601" s="342"/>
      <c r="P601" s="342"/>
      <c r="Q601" s="342"/>
      <c r="R601" s="342"/>
      <c r="S601" s="342"/>
      <c r="T601" s="342"/>
      <c r="U601" s="342"/>
      <c r="V601" s="342"/>
      <c r="W601" s="342"/>
      <c r="X601" s="342"/>
      <c r="Y601" s="342"/>
      <c r="Z601" s="342"/>
      <c r="AA601" s="342"/>
      <c r="AB601" s="342"/>
      <c r="AC601" s="342"/>
    </row>
    <row r="602" spans="1:29">
      <c r="A602" s="340"/>
      <c r="B602" s="340"/>
      <c r="C602" s="342"/>
      <c r="D602" s="342"/>
      <c r="E602" s="342"/>
      <c r="F602" s="342"/>
      <c r="G602" s="342"/>
      <c r="H602" s="342"/>
      <c r="I602" s="342"/>
      <c r="J602" s="342"/>
      <c r="K602" s="342"/>
      <c r="L602" s="342"/>
      <c r="M602" s="342"/>
      <c r="N602" s="342"/>
      <c r="O602" s="342"/>
      <c r="P602" s="342"/>
      <c r="Q602" s="342"/>
      <c r="R602" s="342"/>
      <c r="S602" s="342"/>
      <c r="T602" s="342"/>
      <c r="U602" s="342"/>
      <c r="V602" s="342"/>
      <c r="W602" s="342"/>
      <c r="X602" s="342"/>
      <c r="Y602" s="342"/>
      <c r="Z602" s="342"/>
      <c r="AA602" s="342"/>
      <c r="AB602" s="342"/>
      <c r="AC602" s="342"/>
    </row>
    <row r="603" spans="1:29">
      <c r="A603" s="340"/>
      <c r="B603" s="340"/>
      <c r="C603" s="342"/>
      <c r="D603" s="342"/>
      <c r="E603" s="342"/>
      <c r="F603" s="342"/>
      <c r="G603" s="342"/>
      <c r="H603" s="342"/>
      <c r="I603" s="342"/>
      <c r="J603" s="342"/>
      <c r="K603" s="342"/>
      <c r="L603" s="342"/>
      <c r="M603" s="342"/>
      <c r="N603" s="342"/>
      <c r="O603" s="342"/>
      <c r="P603" s="342"/>
      <c r="Q603" s="342"/>
      <c r="R603" s="342"/>
      <c r="S603" s="342"/>
      <c r="T603" s="342"/>
      <c r="U603" s="342"/>
      <c r="V603" s="342"/>
      <c r="W603" s="342"/>
      <c r="X603" s="342"/>
      <c r="Y603" s="342"/>
      <c r="Z603" s="342"/>
      <c r="AA603" s="342"/>
      <c r="AB603" s="342"/>
      <c r="AC603" s="342"/>
    </row>
    <row r="604" spans="1:29" ht="15.5">
      <c r="A604" s="101" t="s">
        <v>1042</v>
      </c>
    </row>
    <row r="605" spans="1:29" ht="17.5">
      <c r="A605" s="82" t="s">
        <v>1013</v>
      </c>
      <c r="B605" s="82" t="s">
        <v>642</v>
      </c>
      <c r="C605" s="80" t="str">
        <f>C595</f>
        <v>IE</v>
      </c>
      <c r="D605" s="80" t="str">
        <f t="shared" ref="D605:AC605" si="233">D595</f>
        <v>IE-CW</v>
      </c>
      <c r="E605" s="80" t="str">
        <f t="shared" si="233"/>
        <v>IE-D</v>
      </c>
      <c r="F605" s="80" t="str">
        <f t="shared" si="233"/>
        <v>IE-KE</v>
      </c>
      <c r="G605" s="80" t="str">
        <f t="shared" si="233"/>
        <v>IE-KK</v>
      </c>
      <c r="H605" s="80" t="str">
        <f t="shared" si="233"/>
        <v>IE-LS</v>
      </c>
      <c r="I605" s="80" t="str">
        <f t="shared" si="233"/>
        <v>IE-LD</v>
      </c>
      <c r="J605" s="80" t="str">
        <f t="shared" si="233"/>
        <v>IE-LH</v>
      </c>
      <c r="K605" s="80" t="str">
        <f t="shared" si="233"/>
        <v>IE-MH</v>
      </c>
      <c r="L605" s="80" t="str">
        <f t="shared" si="233"/>
        <v>IE-OY</v>
      </c>
      <c r="M605" s="80" t="str">
        <f t="shared" si="233"/>
        <v>IE-WH</v>
      </c>
      <c r="N605" s="80" t="str">
        <f t="shared" si="233"/>
        <v>IE-WX</v>
      </c>
      <c r="O605" s="80" t="str">
        <f t="shared" si="233"/>
        <v>IE-WW</v>
      </c>
      <c r="P605" s="80" t="str">
        <f t="shared" si="233"/>
        <v>IE-CE</v>
      </c>
      <c r="Q605" s="80" t="str">
        <f t="shared" si="233"/>
        <v>IE-CO</v>
      </c>
      <c r="R605" s="80" t="str">
        <f t="shared" si="233"/>
        <v>IE-KY</v>
      </c>
      <c r="S605" s="80" t="str">
        <f t="shared" si="233"/>
        <v>IE-LK</v>
      </c>
      <c r="T605" s="80" t="str">
        <f t="shared" si="233"/>
        <v>IE-TA</v>
      </c>
      <c r="U605" s="80" t="str">
        <f t="shared" si="233"/>
        <v>IE-WD</v>
      </c>
      <c r="V605" s="80" t="str">
        <f t="shared" si="233"/>
        <v>IE-G</v>
      </c>
      <c r="W605" s="80" t="str">
        <f t="shared" si="233"/>
        <v>IE-LM</v>
      </c>
      <c r="X605" s="80" t="str">
        <f t="shared" si="233"/>
        <v>IE-MO</v>
      </c>
      <c r="Y605" s="80" t="str">
        <f t="shared" si="233"/>
        <v>IE-RN</v>
      </c>
      <c r="Z605" s="80" t="str">
        <f t="shared" si="233"/>
        <v>IE-SO</v>
      </c>
      <c r="AA605" s="80" t="str">
        <f t="shared" si="233"/>
        <v>IE-CN</v>
      </c>
      <c r="AB605" s="80" t="str">
        <f t="shared" si="233"/>
        <v>IE-DL</v>
      </c>
      <c r="AC605" s="80" t="str">
        <f t="shared" si="233"/>
        <v>IE-MN</v>
      </c>
    </row>
    <row r="606" spans="1:29">
      <c r="A606" s="343" t="s">
        <v>1010</v>
      </c>
      <c r="B606" t="s">
        <v>1019</v>
      </c>
      <c r="C606" s="93">
        <f>C596/C$600</f>
        <v>2.5114928752301518E-2</v>
      </c>
      <c r="D606" s="93">
        <f>D596/D$600</f>
        <v>2.5307678973825617E-2</v>
      </c>
      <c r="E606" s="93">
        <f t="shared" ref="E606:AC606" si="234">E596/E$600</f>
        <v>2.5036666940775772E-2</v>
      </c>
      <c r="F606" s="93">
        <f t="shared" si="234"/>
        <v>2.5307678973825621E-2</v>
      </c>
      <c r="G606" s="93">
        <f t="shared" si="234"/>
        <v>2.5307678973825624E-2</v>
      </c>
      <c r="H606" s="93">
        <f t="shared" si="234"/>
        <v>2.5307678973825617E-2</v>
      </c>
      <c r="I606" s="93">
        <f t="shared" si="234"/>
        <v>2.5307678973825614E-2</v>
      </c>
      <c r="J606" s="93">
        <f t="shared" si="234"/>
        <v>2.5307678973825617E-2</v>
      </c>
      <c r="K606" s="93">
        <f t="shared" si="234"/>
        <v>2.475224056984587E-2</v>
      </c>
      <c r="L606" s="93">
        <f t="shared" si="234"/>
        <v>2.5307678973825621E-2</v>
      </c>
      <c r="M606" s="93">
        <f t="shared" si="234"/>
        <v>2.5307678973825621E-2</v>
      </c>
      <c r="N606" s="93">
        <f t="shared" si="234"/>
        <v>2.5307678973825614E-2</v>
      </c>
      <c r="O606" s="93">
        <f t="shared" si="234"/>
        <v>2.5307678973825621E-2</v>
      </c>
      <c r="P606" s="93">
        <f t="shared" si="234"/>
        <v>2.5307678973825621E-2</v>
      </c>
      <c r="Q606" s="93">
        <f t="shared" si="234"/>
        <v>2.5307678973825624E-2</v>
      </c>
      <c r="R606" s="93">
        <f t="shared" si="234"/>
        <v>2.5307678973825621E-2</v>
      </c>
      <c r="S606" s="93">
        <f t="shared" si="234"/>
        <v>2.5307678973825621E-2</v>
      </c>
      <c r="T606" s="93">
        <f t="shared" si="234"/>
        <v>2.5307678973825624E-2</v>
      </c>
      <c r="U606" s="93">
        <f t="shared" si="234"/>
        <v>2.4251656377299691E-2</v>
      </c>
      <c r="V606" s="93">
        <f t="shared" si="234"/>
        <v>2.5307678973825621E-2</v>
      </c>
      <c r="W606" s="93">
        <f t="shared" si="234"/>
        <v>2.5307678973825621E-2</v>
      </c>
      <c r="X606" s="93">
        <f t="shared" si="234"/>
        <v>2.2724421467469186E-2</v>
      </c>
      <c r="Y606" s="93">
        <f t="shared" si="234"/>
        <v>2.5307678973825621E-2</v>
      </c>
      <c r="Z606" s="93">
        <f t="shared" si="234"/>
        <v>2.5307678973825621E-2</v>
      </c>
      <c r="AA606" s="93">
        <f t="shared" si="234"/>
        <v>2.5307678973825614E-2</v>
      </c>
      <c r="AB606" s="93">
        <f t="shared" si="234"/>
        <v>2.5307678973825614E-2</v>
      </c>
      <c r="AC606" s="93">
        <f t="shared" si="234"/>
        <v>2.5307678973825614E-2</v>
      </c>
    </row>
    <row r="607" spans="1:29">
      <c r="A607" s="343" t="s">
        <v>1011</v>
      </c>
      <c r="B607" t="s">
        <v>1020</v>
      </c>
      <c r="C607" s="93">
        <f t="shared" ref="C607:C609" si="235">C597/C$600</f>
        <v>9.8051434169944274E-2</v>
      </c>
      <c r="D607" s="93">
        <f t="shared" ref="D607:AC607" si="236">D597/D$600</f>
        <v>9.8803952158086308E-2</v>
      </c>
      <c r="E607" s="93">
        <f t="shared" si="236"/>
        <v>9.7745891481110903E-2</v>
      </c>
      <c r="F607" s="93">
        <f t="shared" si="236"/>
        <v>9.8803952158086336E-2</v>
      </c>
      <c r="G607" s="93">
        <f t="shared" si="236"/>
        <v>9.8803952158086336E-2</v>
      </c>
      <c r="H607" s="93">
        <f t="shared" si="236"/>
        <v>9.8803952158086308E-2</v>
      </c>
      <c r="I607" s="93">
        <f t="shared" si="236"/>
        <v>9.8803952158086322E-2</v>
      </c>
      <c r="J607" s="93">
        <f t="shared" si="236"/>
        <v>9.8803952158086308E-2</v>
      </c>
      <c r="K607" s="93">
        <f t="shared" si="236"/>
        <v>9.663545975898731E-2</v>
      </c>
      <c r="L607" s="93">
        <f t="shared" si="236"/>
        <v>9.8803952158086322E-2</v>
      </c>
      <c r="M607" s="93">
        <f t="shared" si="236"/>
        <v>9.8803952158086322E-2</v>
      </c>
      <c r="N607" s="93">
        <f t="shared" si="236"/>
        <v>9.8803952158086322E-2</v>
      </c>
      <c r="O607" s="93">
        <f t="shared" si="236"/>
        <v>9.8803952158086322E-2</v>
      </c>
      <c r="P607" s="93">
        <f t="shared" si="236"/>
        <v>9.8803952158086322E-2</v>
      </c>
      <c r="Q607" s="93">
        <f t="shared" si="236"/>
        <v>9.8803952158086322E-2</v>
      </c>
      <c r="R607" s="93">
        <f t="shared" si="236"/>
        <v>9.8803952158086336E-2</v>
      </c>
      <c r="S607" s="93">
        <f t="shared" si="236"/>
        <v>9.8803952158086336E-2</v>
      </c>
      <c r="T607" s="93">
        <f t="shared" si="236"/>
        <v>9.8803952158086322E-2</v>
      </c>
      <c r="U607" s="93">
        <f t="shared" si="236"/>
        <v>9.4681124212745368E-2</v>
      </c>
      <c r="V607" s="93">
        <f t="shared" si="236"/>
        <v>9.8803952158086322E-2</v>
      </c>
      <c r="W607" s="93">
        <f t="shared" si="236"/>
        <v>9.8803952158086336E-2</v>
      </c>
      <c r="X607" s="93">
        <f t="shared" si="236"/>
        <v>8.8718631756557781E-2</v>
      </c>
      <c r="Y607" s="93">
        <f t="shared" si="236"/>
        <v>9.8803952158086322E-2</v>
      </c>
      <c r="Z607" s="93">
        <f t="shared" si="236"/>
        <v>9.8803952158086322E-2</v>
      </c>
      <c r="AA607" s="93">
        <f t="shared" si="236"/>
        <v>9.8803952158086308E-2</v>
      </c>
      <c r="AB607" s="93">
        <f t="shared" si="236"/>
        <v>9.8803952158086308E-2</v>
      </c>
      <c r="AC607" s="93">
        <f t="shared" si="236"/>
        <v>9.8803952158086308E-2</v>
      </c>
    </row>
    <row r="608" spans="1:29">
      <c r="A608" s="343" t="s">
        <v>1012</v>
      </c>
      <c r="B608" t="s">
        <v>1021</v>
      </c>
      <c r="C608" s="93">
        <f t="shared" si="235"/>
        <v>0.86921736291355867</v>
      </c>
      <c r="D608" s="93">
        <f t="shared" ref="D608:AC608" si="237">D598/D$600</f>
        <v>0.87588836886808796</v>
      </c>
      <c r="E608" s="93">
        <f t="shared" si="237"/>
        <v>0.86650875377904113</v>
      </c>
      <c r="F608" s="93">
        <f t="shared" si="237"/>
        <v>0.87588836886808796</v>
      </c>
      <c r="G608" s="93">
        <f t="shared" si="237"/>
        <v>0.87588836886808819</v>
      </c>
      <c r="H608" s="93">
        <f>H598/H$600</f>
        <v>0.87588836886808807</v>
      </c>
      <c r="I608" s="93">
        <f t="shared" si="237"/>
        <v>0.87588836886808807</v>
      </c>
      <c r="J608" s="93">
        <f t="shared" si="237"/>
        <v>0.87588836886808807</v>
      </c>
      <c r="K608" s="93">
        <f t="shared" si="237"/>
        <v>0.85666487396870672</v>
      </c>
      <c r="L608" s="93">
        <f t="shared" si="237"/>
        <v>0.87588836886808807</v>
      </c>
      <c r="M608" s="93">
        <f t="shared" si="237"/>
        <v>0.87588836886808807</v>
      </c>
      <c r="N608" s="93">
        <f t="shared" si="237"/>
        <v>0.87588836886808807</v>
      </c>
      <c r="O608" s="93">
        <f t="shared" si="237"/>
        <v>0.87588836886808807</v>
      </c>
      <c r="P608" s="93">
        <f t="shared" si="237"/>
        <v>0.87588836886808807</v>
      </c>
      <c r="Q608" s="93">
        <f t="shared" si="237"/>
        <v>0.87588836886808796</v>
      </c>
      <c r="R608" s="93">
        <f t="shared" si="237"/>
        <v>0.87588836886808807</v>
      </c>
      <c r="S608" s="93">
        <f t="shared" si="237"/>
        <v>0.87588836886808807</v>
      </c>
      <c r="T608" s="93">
        <f t="shared" si="237"/>
        <v>0.87588836886808807</v>
      </c>
      <c r="U608" s="93">
        <f t="shared" si="237"/>
        <v>0.83933986078421463</v>
      </c>
      <c r="V608" s="93">
        <f t="shared" si="237"/>
        <v>0.87588836886808807</v>
      </c>
      <c r="W608" s="93">
        <f t="shared" si="237"/>
        <v>0.87588836886808796</v>
      </c>
      <c r="X608" s="93">
        <f t="shared" si="237"/>
        <v>0.78648288818576584</v>
      </c>
      <c r="Y608" s="93">
        <f t="shared" si="237"/>
        <v>0.87588836886808807</v>
      </c>
      <c r="Z608" s="93">
        <f t="shared" si="237"/>
        <v>0.87588836886808807</v>
      </c>
      <c r="AA608" s="93">
        <f t="shared" si="237"/>
        <v>0.87588836886808807</v>
      </c>
      <c r="AB608" s="93">
        <f t="shared" si="237"/>
        <v>0.87588836886808807</v>
      </c>
      <c r="AC608" s="93">
        <f t="shared" si="237"/>
        <v>0.87588836886808807</v>
      </c>
    </row>
    <row r="609" spans="1:29">
      <c r="A609" s="343" t="s">
        <v>24</v>
      </c>
      <c r="B609" t="s">
        <v>17</v>
      </c>
      <c r="C609" s="354">
        <f t="shared" si="235"/>
        <v>7.6162741641953831E-3</v>
      </c>
      <c r="D609" s="354">
        <f t="shared" ref="D609:AC609" si="238">D599/D$600</f>
        <v>0</v>
      </c>
      <c r="E609" s="354">
        <f t="shared" si="238"/>
        <v>1.0708687799072239E-2</v>
      </c>
      <c r="F609" s="354">
        <f t="shared" si="238"/>
        <v>0</v>
      </c>
      <c r="G609" s="354">
        <f t="shared" si="238"/>
        <v>0</v>
      </c>
      <c r="H609" s="354">
        <f t="shared" si="238"/>
        <v>0</v>
      </c>
      <c r="I609" s="354">
        <f t="shared" si="238"/>
        <v>0</v>
      </c>
      <c r="J609" s="354">
        <f t="shared" si="238"/>
        <v>0</v>
      </c>
      <c r="K609" s="354">
        <f t="shared" si="238"/>
        <v>2.1947425702460065E-2</v>
      </c>
      <c r="L609" s="354">
        <f t="shared" si="238"/>
        <v>0</v>
      </c>
      <c r="M609" s="354">
        <f t="shared" si="238"/>
        <v>0</v>
      </c>
      <c r="N609" s="354">
        <f t="shared" si="238"/>
        <v>0</v>
      </c>
      <c r="O609" s="354">
        <f t="shared" si="238"/>
        <v>0</v>
      </c>
      <c r="P609" s="354">
        <f t="shared" si="238"/>
        <v>0</v>
      </c>
      <c r="Q609" s="354">
        <f t="shared" si="238"/>
        <v>0</v>
      </c>
      <c r="R609" s="354">
        <f t="shared" si="238"/>
        <v>0</v>
      </c>
      <c r="S609" s="354">
        <f t="shared" si="238"/>
        <v>0</v>
      </c>
      <c r="T609" s="354">
        <f t="shared" si="238"/>
        <v>0</v>
      </c>
      <c r="U609" s="354">
        <f t="shared" si="238"/>
        <v>4.1727358625740237E-2</v>
      </c>
      <c r="V609" s="354">
        <f t="shared" si="238"/>
        <v>0</v>
      </c>
      <c r="W609" s="354">
        <f t="shared" si="238"/>
        <v>0</v>
      </c>
      <c r="X609" s="354">
        <f>X599/X$600</f>
        <v>0.10207405859020728</v>
      </c>
      <c r="Y609" s="354">
        <f t="shared" si="238"/>
        <v>0</v>
      </c>
      <c r="Z609" s="354">
        <f t="shared" si="238"/>
        <v>0</v>
      </c>
      <c r="AA609" s="354">
        <f t="shared" si="238"/>
        <v>0</v>
      </c>
      <c r="AB609" s="354">
        <f t="shared" si="238"/>
        <v>0</v>
      </c>
      <c r="AC609" s="354">
        <f t="shared" si="238"/>
        <v>0</v>
      </c>
    </row>
    <row r="610" spans="1:29">
      <c r="A610" s="107"/>
      <c r="B610" s="107" t="s">
        <v>16</v>
      </c>
      <c r="C610" s="341">
        <f>SUM(C606:C609)</f>
        <v>0.99999999999999989</v>
      </c>
      <c r="D610" s="341">
        <f t="shared" ref="D610:AC610" si="239">SUM(D606:D609)</f>
        <v>0.99999999999999989</v>
      </c>
      <c r="E610" s="341">
        <f t="shared" si="239"/>
        <v>1</v>
      </c>
      <c r="F610" s="341">
        <f t="shared" si="239"/>
        <v>0.99999999999999989</v>
      </c>
      <c r="G610" s="341">
        <f t="shared" si="239"/>
        <v>1.0000000000000002</v>
      </c>
      <c r="H610" s="341">
        <f t="shared" si="239"/>
        <v>1</v>
      </c>
      <c r="I610" s="341">
        <f t="shared" si="239"/>
        <v>1</v>
      </c>
      <c r="J610" s="341">
        <f t="shared" si="239"/>
        <v>1</v>
      </c>
      <c r="K610" s="341">
        <f t="shared" si="239"/>
        <v>1</v>
      </c>
      <c r="L610" s="341">
        <f t="shared" si="239"/>
        <v>1</v>
      </c>
      <c r="M610" s="341">
        <f t="shared" si="239"/>
        <v>1</v>
      </c>
      <c r="N610" s="341">
        <f t="shared" si="239"/>
        <v>1</v>
      </c>
      <c r="O610" s="341">
        <f t="shared" si="239"/>
        <v>1</v>
      </c>
      <c r="P610" s="341">
        <f t="shared" si="239"/>
        <v>1</v>
      </c>
      <c r="Q610" s="341">
        <f t="shared" si="239"/>
        <v>0.99999999999999989</v>
      </c>
      <c r="R610" s="341">
        <f t="shared" si="239"/>
        <v>1</v>
      </c>
      <c r="S610" s="341">
        <f t="shared" si="239"/>
        <v>1</v>
      </c>
      <c r="T610" s="341">
        <f t="shared" si="239"/>
        <v>1</v>
      </c>
      <c r="U610" s="341">
        <f t="shared" si="239"/>
        <v>1</v>
      </c>
      <c r="V610" s="341">
        <f t="shared" si="239"/>
        <v>1</v>
      </c>
      <c r="W610" s="341">
        <f t="shared" si="239"/>
        <v>0.99999999999999989</v>
      </c>
      <c r="X610" s="341">
        <f t="shared" si="239"/>
        <v>1</v>
      </c>
      <c r="Y610" s="341">
        <f t="shared" si="239"/>
        <v>1</v>
      </c>
      <c r="Z610" s="341">
        <f t="shared" si="239"/>
        <v>1</v>
      </c>
      <c r="AA610" s="341">
        <f t="shared" si="239"/>
        <v>1</v>
      </c>
      <c r="AB610" s="341">
        <f t="shared" si="239"/>
        <v>1</v>
      </c>
      <c r="AC610" s="341">
        <f t="shared" si="239"/>
        <v>1</v>
      </c>
    </row>
    <row r="611" spans="1:29">
      <c r="D611" s="93"/>
      <c r="E611" s="93"/>
      <c r="F611" s="93"/>
      <c r="G611" s="93"/>
      <c r="H611" s="93"/>
      <c r="I611" s="93"/>
      <c r="J611" s="93"/>
      <c r="K611" s="93"/>
      <c r="L611" s="93"/>
      <c r="M611" s="93"/>
      <c r="N611" s="93"/>
      <c r="O611" s="93"/>
      <c r="P611" s="93"/>
      <c r="Q611" s="93"/>
      <c r="R611" s="93"/>
      <c r="S611" s="93"/>
      <c r="T611" s="93"/>
      <c r="U611" s="93"/>
      <c r="V611" s="93"/>
      <c r="W611" s="93"/>
      <c r="X611" s="93"/>
      <c r="Y611" s="93"/>
      <c r="Z611" s="93"/>
      <c r="AA611" s="93"/>
      <c r="AB611" s="93"/>
      <c r="AC611" s="93"/>
    </row>
    <row r="612" spans="1:29">
      <c r="D612" s="93"/>
      <c r="E612" s="93"/>
      <c r="F612" s="93"/>
      <c r="G612" s="93"/>
      <c r="H612" s="93"/>
      <c r="I612" s="93"/>
      <c r="J612" s="93"/>
      <c r="K612" s="93"/>
      <c r="L612" s="93"/>
      <c r="M612" s="93"/>
      <c r="N612" s="93"/>
      <c r="O612" s="93"/>
      <c r="P612" s="93"/>
      <c r="Q612" s="93"/>
      <c r="R612" s="93"/>
      <c r="S612" s="93"/>
      <c r="T612" s="93"/>
      <c r="U612" s="93"/>
      <c r="V612" s="93"/>
      <c r="W612" s="93"/>
      <c r="X612" s="93"/>
      <c r="Y612" s="93"/>
      <c r="Z612" s="93"/>
      <c r="AA612" s="93"/>
      <c r="AB612" s="93"/>
      <c r="AC612" s="93"/>
    </row>
    <row r="614" spans="1:29" s="190" customFormat="1" ht="18.5">
      <c r="A614" s="192" t="s">
        <v>706</v>
      </c>
    </row>
    <row r="617" spans="1:29" ht="15.5">
      <c r="A617" s="101" t="s">
        <v>707</v>
      </c>
    </row>
    <row r="618" spans="1:29">
      <c r="A618" s="82" t="s">
        <v>116</v>
      </c>
      <c r="B618" s="82" t="str">
        <f t="shared" ref="B618:AC618" si="240">B475</f>
        <v>Unit</v>
      </c>
      <c r="C618" s="82" t="str">
        <f t="shared" si="240"/>
        <v>IE</v>
      </c>
      <c r="D618" s="82" t="str">
        <f t="shared" si="240"/>
        <v>IE-CW</v>
      </c>
      <c r="E618" s="82" t="str">
        <f t="shared" si="240"/>
        <v>IE-D</v>
      </c>
      <c r="F618" s="82" t="str">
        <f t="shared" si="240"/>
        <v>IE-KE</v>
      </c>
      <c r="G618" s="82" t="str">
        <f t="shared" si="240"/>
        <v>IE-KK</v>
      </c>
      <c r="H618" s="82" t="str">
        <f t="shared" si="240"/>
        <v>IE-LS</v>
      </c>
      <c r="I618" s="82" t="str">
        <f t="shared" si="240"/>
        <v>IE-LD</v>
      </c>
      <c r="J618" s="82" t="str">
        <f t="shared" si="240"/>
        <v>IE-LH</v>
      </c>
      <c r="K618" s="82" t="str">
        <f t="shared" si="240"/>
        <v>IE-MH</v>
      </c>
      <c r="L618" s="82" t="str">
        <f t="shared" si="240"/>
        <v>IE-OY</v>
      </c>
      <c r="M618" s="82" t="str">
        <f t="shared" si="240"/>
        <v>IE-WH</v>
      </c>
      <c r="N618" s="82" t="str">
        <f t="shared" si="240"/>
        <v>IE-WX</v>
      </c>
      <c r="O618" s="82" t="str">
        <f t="shared" si="240"/>
        <v>IE-WW</v>
      </c>
      <c r="P618" s="82" t="str">
        <f t="shared" si="240"/>
        <v>IE-CE</v>
      </c>
      <c r="Q618" s="82" t="str">
        <f t="shared" si="240"/>
        <v>IE-CO</v>
      </c>
      <c r="R618" s="82" t="str">
        <f t="shared" si="240"/>
        <v>IE-KY</v>
      </c>
      <c r="S618" s="82" t="str">
        <f t="shared" si="240"/>
        <v>IE-LK</v>
      </c>
      <c r="T618" s="82" t="str">
        <f t="shared" si="240"/>
        <v>IE-TA</v>
      </c>
      <c r="U618" s="82" t="str">
        <f t="shared" si="240"/>
        <v>IE-WD</v>
      </c>
      <c r="V618" s="82" t="str">
        <f t="shared" si="240"/>
        <v>IE-G</v>
      </c>
      <c r="W618" s="82" t="str">
        <f t="shared" si="240"/>
        <v>IE-LM</v>
      </c>
      <c r="X618" s="82" t="str">
        <f t="shared" si="240"/>
        <v>IE-MO</v>
      </c>
      <c r="Y618" s="82" t="str">
        <f t="shared" si="240"/>
        <v>IE-RN</v>
      </c>
      <c r="Z618" s="82" t="str">
        <f t="shared" si="240"/>
        <v>IE-SO</v>
      </c>
      <c r="AA618" s="82" t="str">
        <f t="shared" si="240"/>
        <v>IE-CN</v>
      </c>
      <c r="AB618" s="82" t="str">
        <f t="shared" si="240"/>
        <v>IE-DL</v>
      </c>
      <c r="AC618" s="82" t="str">
        <f t="shared" si="240"/>
        <v>IE-MN</v>
      </c>
    </row>
    <row r="619" spans="1:29">
      <c r="A619" t="str">
        <f>Commodities!D29</f>
        <v xml:space="preserve">Transport Demand: Turism fuel </v>
      </c>
      <c r="B619" t="s">
        <v>86</v>
      </c>
      <c r="C619" s="236">
        <f>'EB2018'!AQ53*0.041868</f>
        <v>7.7105748259750095</v>
      </c>
      <c r="D619" s="6">
        <f t="shared" ref="D619:AC619" si="241">$C$619*C139</f>
        <v>9.2186243413538371E-2</v>
      </c>
      <c r="E619" s="6">
        <f t="shared" si="241"/>
        <v>2.1816898183696667</v>
      </c>
      <c r="F619" s="6">
        <f t="shared" si="241"/>
        <v>0.36028609401542089</v>
      </c>
      <c r="G619" s="6">
        <f t="shared" si="241"/>
        <v>0.16067985151430197</v>
      </c>
      <c r="H619" s="6">
        <f t="shared" si="241"/>
        <v>0.13714428192223108</v>
      </c>
      <c r="I619" s="6">
        <f t="shared" si="241"/>
        <v>6.6182960848759118E-2</v>
      </c>
      <c r="J619" s="6">
        <f t="shared" si="241"/>
        <v>0.20869338502266707</v>
      </c>
      <c r="K619" s="6">
        <f t="shared" si="241"/>
        <v>0.31582192194811665</v>
      </c>
      <c r="L619" s="6">
        <f t="shared" si="241"/>
        <v>0.12623712012159885</v>
      </c>
      <c r="M619" s="6">
        <f t="shared" si="241"/>
        <v>0.14373942295755993</v>
      </c>
      <c r="N619" s="6">
        <f t="shared" si="241"/>
        <v>0.24243498799202193</v>
      </c>
      <c r="O619" s="6">
        <f t="shared" si="241"/>
        <v>0.23061943578608168</v>
      </c>
      <c r="P619" s="6">
        <f t="shared" si="241"/>
        <v>0.19239255398837893</v>
      </c>
      <c r="Q619" s="6">
        <f t="shared" si="241"/>
        <v>0.87903045017601267</v>
      </c>
      <c r="R619" s="6">
        <f t="shared" si="241"/>
        <v>0.23917223101038984</v>
      </c>
      <c r="S619" s="6">
        <f t="shared" si="241"/>
        <v>0.3155871329841779</v>
      </c>
      <c r="T619" s="6">
        <f t="shared" si="241"/>
        <v>0.2583536797470718</v>
      </c>
      <c r="U619" s="6">
        <f t="shared" si="241"/>
        <v>0.18811615637622486</v>
      </c>
      <c r="V619" s="6">
        <f t="shared" si="241"/>
        <v>0.41785634797321169</v>
      </c>
      <c r="W619" s="6">
        <f t="shared" si="241"/>
        <v>5.1886741796238034E-2</v>
      </c>
      <c r="X619" s="6">
        <f t="shared" si="241"/>
        <v>0.21132140218454742</v>
      </c>
      <c r="Y619" s="6">
        <f t="shared" si="241"/>
        <v>0.10451185440320769</v>
      </c>
      <c r="Z619" s="6">
        <f t="shared" si="241"/>
        <v>0.10611651552916176</v>
      </c>
      <c r="AA619" s="6">
        <f t="shared" si="241"/>
        <v>0.12334678701380065</v>
      </c>
      <c r="AB619" s="6">
        <f t="shared" si="241"/>
        <v>0.25776913618857583</v>
      </c>
      <c r="AC619" s="6">
        <f t="shared" si="241"/>
        <v>9.9398312692044313E-2</v>
      </c>
    </row>
    <row r="620" spans="1:29">
      <c r="A620" t="str">
        <f>Commodities!D30</f>
        <v xml:space="preserve">Transport Demand: Navigation fuel </v>
      </c>
      <c r="B620" t="s">
        <v>86</v>
      </c>
      <c r="C620" s="236">
        <f>'EB2018'!AQ54*0.041868</f>
        <v>3.513299808727715</v>
      </c>
      <c r="D620" s="6">
        <f t="shared" ref="D620:AC620" si="242">$C$620*C139</f>
        <v>4.2004379525771122E-2</v>
      </c>
      <c r="E620" s="6">
        <f t="shared" si="242"/>
        <v>0.99408028513777069</v>
      </c>
      <c r="F620" s="6">
        <f t="shared" si="242"/>
        <v>0.16416325549782509</v>
      </c>
      <c r="G620" s="6">
        <f t="shared" si="242"/>
        <v>7.3213282321037743E-2</v>
      </c>
      <c r="H620" s="6">
        <f t="shared" si="242"/>
        <v>6.2489372105217399E-2</v>
      </c>
      <c r="I620" s="6">
        <f t="shared" si="242"/>
        <v>3.0156063450376649E-2</v>
      </c>
      <c r="J620" s="6">
        <f t="shared" si="242"/>
        <v>9.5090501840783506E-2</v>
      </c>
      <c r="K620" s="6">
        <f t="shared" si="242"/>
        <v>0.14390329165011773</v>
      </c>
      <c r="L620" s="6">
        <f t="shared" si="242"/>
        <v>5.7519557229829314E-2</v>
      </c>
      <c r="M620" s="6">
        <f t="shared" si="242"/>
        <v>6.5494427922832554E-2</v>
      </c>
      <c r="N620" s="6">
        <f t="shared" si="242"/>
        <v>0.11046475991283469</v>
      </c>
      <c r="O620" s="6">
        <f t="shared" si="242"/>
        <v>0.10508103973087109</v>
      </c>
      <c r="P620" s="6">
        <f t="shared" si="242"/>
        <v>8.766307809515822E-2</v>
      </c>
      <c r="Q620" s="6">
        <f t="shared" si="242"/>
        <v>0.40052753292342302</v>
      </c>
      <c r="R620" s="6">
        <f t="shared" si="242"/>
        <v>0.10897809468511692</v>
      </c>
      <c r="S620" s="6">
        <f t="shared" si="242"/>
        <v>0.1437963107776517</v>
      </c>
      <c r="T620" s="6">
        <f t="shared" si="242"/>
        <v>0.11771806306603248</v>
      </c>
      <c r="U620" s="6">
        <f t="shared" si="242"/>
        <v>8.5714550618035304E-2</v>
      </c>
      <c r="V620" s="6">
        <f t="shared" si="242"/>
        <v>0.19039496542649909</v>
      </c>
      <c r="W620" s="6">
        <f t="shared" si="242"/>
        <v>2.3642035015875255E-2</v>
      </c>
      <c r="X620" s="6">
        <f t="shared" si="242"/>
        <v>9.6287949813282744E-2</v>
      </c>
      <c r="Y620" s="6">
        <f t="shared" si="242"/>
        <v>4.7620506430678201E-2</v>
      </c>
      <c r="Z620" s="6">
        <f t="shared" si="242"/>
        <v>4.8351665359049577E-2</v>
      </c>
      <c r="AA620" s="6">
        <f t="shared" si="242"/>
        <v>5.6202585799816289E-2</v>
      </c>
      <c r="AB620" s="6">
        <f t="shared" si="242"/>
        <v>0.11745171758354803</v>
      </c>
      <c r="AC620" s="6">
        <f t="shared" si="242"/>
        <v>4.529053680827981E-2</v>
      </c>
    </row>
    <row r="621" spans="1:29">
      <c r="A621" s="79" t="str">
        <f>Commodities!D31</f>
        <v>Transport Demand: Unspecified fuel</v>
      </c>
      <c r="B621" s="79" t="s">
        <v>86</v>
      </c>
      <c r="C621" s="239">
        <f>'EB2018'!AQ55*0.041868</f>
        <v>20.831454920682329</v>
      </c>
      <c r="D621" s="187">
        <f t="shared" ref="D621:AC621" si="243">$C$621*C139</f>
        <v>0.24905712185126741</v>
      </c>
      <c r="E621" s="187">
        <f t="shared" si="243"/>
        <v>5.8942133534813888</v>
      </c>
      <c r="F621" s="187">
        <f t="shared" si="243"/>
        <v>0.97337535727524771</v>
      </c>
      <c r="G621" s="187">
        <f t="shared" si="243"/>
        <v>0.43410448105713778</v>
      </c>
      <c r="H621" s="187">
        <f t="shared" si="243"/>
        <v>0.37051905869171636</v>
      </c>
      <c r="I621" s="187">
        <f t="shared" si="243"/>
        <v>0.17880474498396076</v>
      </c>
      <c r="J621" s="187">
        <f t="shared" si="243"/>
        <v>0.56382136746783451</v>
      </c>
      <c r="K621" s="187">
        <f t="shared" si="243"/>
        <v>0.85324768626358816</v>
      </c>
      <c r="L621" s="187">
        <f t="shared" si="243"/>
        <v>0.34105146976474843</v>
      </c>
      <c r="M621" s="187">
        <f t="shared" si="243"/>
        <v>0.38833697580863147</v>
      </c>
      <c r="N621" s="187">
        <f t="shared" si="243"/>
        <v>0.654980158747549</v>
      </c>
      <c r="O621" s="187">
        <f t="shared" si="243"/>
        <v>0.62305839562402099</v>
      </c>
      <c r="P621" s="187">
        <f t="shared" si="243"/>
        <v>0.51978184583366194</v>
      </c>
      <c r="Q621" s="187">
        <f t="shared" si="243"/>
        <v>2.3748531866991121</v>
      </c>
      <c r="R621" s="187">
        <f t="shared" si="243"/>
        <v>0.64616525499341604</v>
      </c>
      <c r="S621" s="187">
        <f t="shared" si="243"/>
        <v>0.85261336316465552</v>
      </c>
      <c r="T621" s="187">
        <f t="shared" si="243"/>
        <v>0.69798726485518292</v>
      </c>
      <c r="U621" s="187">
        <f t="shared" si="243"/>
        <v>0.50822841614896441</v>
      </c>
      <c r="V621" s="187">
        <f t="shared" si="243"/>
        <v>1.1289113811335343</v>
      </c>
      <c r="W621" s="187">
        <f t="shared" si="243"/>
        <v>0.14018103022205461</v>
      </c>
      <c r="X621" s="187">
        <f t="shared" si="243"/>
        <v>0.57092141153381859</v>
      </c>
      <c r="Y621" s="187">
        <f t="shared" si="243"/>
        <v>0.28235689722420088</v>
      </c>
      <c r="Z621" s="187">
        <f t="shared" si="243"/>
        <v>0.28669216750725091</v>
      </c>
      <c r="AA621" s="187">
        <f t="shared" si="243"/>
        <v>0.33324273368478441</v>
      </c>
      <c r="AB621" s="187">
        <f t="shared" si="243"/>
        <v>0.69640801907094352</v>
      </c>
      <c r="AC621" s="187">
        <f t="shared" si="243"/>
        <v>0.26854177759365383</v>
      </c>
    </row>
    <row r="622" spans="1:29">
      <c r="A622" s="52" t="s">
        <v>717</v>
      </c>
    </row>
    <row r="627" spans="1:29" ht="18.5">
      <c r="A627" s="192" t="s">
        <v>93</v>
      </c>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c r="AB627" s="190"/>
      <c r="AC627" s="190"/>
    </row>
    <row r="630" spans="1:29" ht="15.5">
      <c r="A630" s="101" t="s">
        <v>707</v>
      </c>
    </row>
    <row r="631" spans="1:29">
      <c r="A631" s="82" t="s">
        <v>116</v>
      </c>
      <c r="B631" s="82" t="str">
        <f>B618</f>
        <v>Unit</v>
      </c>
      <c r="C631" s="82" t="str">
        <f t="shared" ref="C631:AC631" si="244">C618</f>
        <v>IE</v>
      </c>
      <c r="D631" s="82" t="str">
        <f t="shared" si="244"/>
        <v>IE-CW</v>
      </c>
      <c r="E631" s="205" t="str">
        <f t="shared" si="244"/>
        <v>IE-D</v>
      </c>
      <c r="F631" s="82" t="str">
        <f t="shared" si="244"/>
        <v>IE-KE</v>
      </c>
      <c r="G631" s="82" t="str">
        <f t="shared" si="244"/>
        <v>IE-KK</v>
      </c>
      <c r="H631" s="82" t="str">
        <f t="shared" si="244"/>
        <v>IE-LS</v>
      </c>
      <c r="I631" s="82" t="str">
        <f t="shared" si="244"/>
        <v>IE-LD</v>
      </c>
      <c r="J631" s="82" t="str">
        <f t="shared" si="244"/>
        <v>IE-LH</v>
      </c>
      <c r="K631" s="82" t="str">
        <f t="shared" si="244"/>
        <v>IE-MH</v>
      </c>
      <c r="L631" s="82" t="str">
        <f t="shared" si="244"/>
        <v>IE-OY</v>
      </c>
      <c r="M631" s="82" t="str">
        <f t="shared" si="244"/>
        <v>IE-WH</v>
      </c>
      <c r="N631" s="82" t="str">
        <f t="shared" si="244"/>
        <v>IE-WX</v>
      </c>
      <c r="O631" s="82" t="str">
        <f t="shared" si="244"/>
        <v>IE-WW</v>
      </c>
      <c r="P631" s="205" t="str">
        <f t="shared" si="244"/>
        <v>IE-CE</v>
      </c>
      <c r="Q631" s="205" t="str">
        <f t="shared" si="244"/>
        <v>IE-CO</v>
      </c>
      <c r="R631" s="205" t="str">
        <f t="shared" si="244"/>
        <v>IE-KY</v>
      </c>
      <c r="S631" s="82" t="str">
        <f t="shared" si="244"/>
        <v>IE-LK</v>
      </c>
      <c r="T631" s="82" t="str">
        <f t="shared" si="244"/>
        <v>IE-TA</v>
      </c>
      <c r="U631" s="82" t="str">
        <f t="shared" si="244"/>
        <v>IE-WD</v>
      </c>
      <c r="V631" s="82" t="str">
        <f t="shared" si="244"/>
        <v>IE-G</v>
      </c>
      <c r="W631" s="82" t="str">
        <f t="shared" si="244"/>
        <v>IE-LM</v>
      </c>
      <c r="X631" s="205" t="str">
        <f t="shared" si="244"/>
        <v>IE-MO</v>
      </c>
      <c r="Y631" s="82" t="str">
        <f t="shared" si="244"/>
        <v>IE-RN</v>
      </c>
      <c r="Z631" s="82" t="str">
        <f t="shared" si="244"/>
        <v>IE-SO</v>
      </c>
      <c r="AA631" s="82" t="str">
        <f t="shared" si="244"/>
        <v>IE-CN</v>
      </c>
      <c r="AB631" s="82" t="str">
        <f t="shared" si="244"/>
        <v>IE-DL</v>
      </c>
      <c r="AC631" s="82" t="str">
        <f t="shared" si="244"/>
        <v>IE-MN</v>
      </c>
    </row>
    <row r="632" spans="1:29">
      <c r="A632" s="179" t="str">
        <f>Commodities!D32</f>
        <v>Transport Demand: Aviation domestic</v>
      </c>
      <c r="B632" t="s">
        <v>86</v>
      </c>
      <c r="C632" s="247">
        <f>'EB2018'!AQ51*0.041868</f>
        <v>0.23349320028657877</v>
      </c>
      <c r="D632" s="2">
        <v>0</v>
      </c>
      <c r="E632" s="5">
        <f>C632*D652</f>
        <v>0.13599128494106466</v>
      </c>
      <c r="F632" s="2">
        <v>0</v>
      </c>
      <c r="G632" s="2">
        <v>0</v>
      </c>
      <c r="H632" s="2">
        <v>0</v>
      </c>
      <c r="I632" s="2">
        <v>0</v>
      </c>
      <c r="J632" s="2">
        <v>0</v>
      </c>
      <c r="K632" s="2">
        <v>0</v>
      </c>
      <c r="L632" s="2">
        <v>0</v>
      </c>
      <c r="M632" s="2">
        <v>0</v>
      </c>
      <c r="N632" s="2">
        <v>0</v>
      </c>
      <c r="O632" s="2">
        <v>0</v>
      </c>
      <c r="P632" s="5">
        <f>C632*G652</f>
        <v>4.748954082175956E-2</v>
      </c>
      <c r="Q632" s="10">
        <f>C632*C652</f>
        <v>4.7056267691773232E-4</v>
      </c>
      <c r="R632" s="32">
        <f>C632*E652</f>
        <v>4.7235778638893701E-2</v>
      </c>
      <c r="S632" s="2">
        <v>0</v>
      </c>
      <c r="T632" s="2">
        <v>0</v>
      </c>
      <c r="U632" s="2">
        <v>0</v>
      </c>
      <c r="V632" s="2">
        <v>0</v>
      </c>
      <c r="W632" s="2">
        <v>0</v>
      </c>
      <c r="X632" s="10">
        <f>C632*F652</f>
        <v>9.4112535383546452E-5</v>
      </c>
      <c r="Y632" s="2">
        <v>0</v>
      </c>
      <c r="Z632" s="2">
        <v>0</v>
      </c>
      <c r="AA632" s="2">
        <v>0</v>
      </c>
      <c r="AB632" s="2">
        <v>0</v>
      </c>
      <c r="AC632" s="2">
        <v>0</v>
      </c>
    </row>
    <row r="633" spans="1:29">
      <c r="A633" s="79" t="str">
        <f>Commodities!D33</f>
        <v>Transport Demand: Aviation international</v>
      </c>
      <c r="B633" s="79" t="s">
        <v>86</v>
      </c>
      <c r="C633" s="239">
        <f>'EB2018'!AQ52*0.041868</f>
        <v>45.968363752260807</v>
      </c>
      <c r="D633" s="180">
        <v>0</v>
      </c>
      <c r="E633" s="187">
        <f>$C$633*D680</f>
        <v>40.440162812852364</v>
      </c>
      <c r="F633" s="180">
        <v>0</v>
      </c>
      <c r="G633" s="180">
        <v>0</v>
      </c>
      <c r="H633" s="180">
        <v>0</v>
      </c>
      <c r="I633" s="180">
        <v>0</v>
      </c>
      <c r="J633" s="180">
        <v>0</v>
      </c>
      <c r="K633" s="180">
        <v>0</v>
      </c>
      <c r="L633" s="180">
        <v>0</v>
      </c>
      <c r="M633" s="180">
        <v>0</v>
      </c>
      <c r="N633" s="180">
        <v>0</v>
      </c>
      <c r="O633" s="180">
        <v>0</v>
      </c>
      <c r="P633" s="187">
        <f>$C$633*G680</f>
        <v>2.3945076242747714</v>
      </c>
      <c r="Q633" s="187">
        <f>$C$633*C680</f>
        <v>2.2140070109418941</v>
      </c>
      <c r="R633" s="187">
        <f>$C$633*E680</f>
        <v>0.24127325087308296</v>
      </c>
      <c r="S633" s="180">
        <v>0</v>
      </c>
      <c r="T633" s="180">
        <v>0</v>
      </c>
      <c r="U633" s="180">
        <v>0</v>
      </c>
      <c r="V633" s="180">
        <v>0</v>
      </c>
      <c r="W633" s="180">
        <v>0</v>
      </c>
      <c r="X633" s="187">
        <f>$C$633*F680</f>
        <v>0.6888154891078464</v>
      </c>
      <c r="Y633" s="180">
        <v>0</v>
      </c>
      <c r="Z633" s="180">
        <v>0</v>
      </c>
      <c r="AA633" s="180">
        <v>0</v>
      </c>
      <c r="AB633" s="180">
        <v>0</v>
      </c>
      <c r="AC633" s="180">
        <v>0</v>
      </c>
    </row>
    <row r="634" spans="1:29">
      <c r="A634" s="52" t="s">
        <v>733</v>
      </c>
    </row>
    <row r="635" spans="1:29">
      <c r="A635" s="52"/>
    </row>
    <row r="638" spans="1:29">
      <c r="A638" t="s">
        <v>724</v>
      </c>
    </row>
    <row r="639" spans="1:29">
      <c r="A639" s="82" t="s">
        <v>725</v>
      </c>
      <c r="B639" s="82" t="s">
        <v>718</v>
      </c>
      <c r="C639" s="82" t="s">
        <v>357</v>
      </c>
      <c r="D639" s="82" t="s">
        <v>345</v>
      </c>
      <c r="E639" s="82" t="s">
        <v>358</v>
      </c>
      <c r="F639" s="82" t="s">
        <v>719</v>
      </c>
      <c r="G639" s="82" t="s">
        <v>720</v>
      </c>
    </row>
    <row r="640" spans="1:29">
      <c r="A640" t="s">
        <v>721</v>
      </c>
      <c r="B640" s="33">
        <v>165.4</v>
      </c>
      <c r="C640" s="241">
        <v>1</v>
      </c>
      <c r="D640" s="33">
        <v>99.7</v>
      </c>
      <c r="E640" s="33">
        <v>57.5</v>
      </c>
      <c r="F640" s="33">
        <v>0.2</v>
      </c>
      <c r="G640" s="33">
        <v>7</v>
      </c>
    </row>
    <row r="641" spans="1:7">
      <c r="A641" t="s">
        <v>722</v>
      </c>
      <c r="B641" s="33">
        <v>10.1</v>
      </c>
      <c r="C641" s="33">
        <v>0</v>
      </c>
      <c r="D641" s="33">
        <v>5.2</v>
      </c>
      <c r="E641" s="33">
        <v>0</v>
      </c>
      <c r="F641" s="240">
        <v>0</v>
      </c>
      <c r="G641" s="33">
        <v>4.8</v>
      </c>
    </row>
    <row r="642" spans="1:7">
      <c r="A642" s="79" t="s">
        <v>723</v>
      </c>
      <c r="B642" s="145">
        <v>5.4</v>
      </c>
      <c r="C642" s="145">
        <v>0</v>
      </c>
      <c r="D642" s="145">
        <v>3.4</v>
      </c>
      <c r="E642" s="145">
        <v>1.4</v>
      </c>
      <c r="F642" s="145">
        <v>0</v>
      </c>
      <c r="G642" s="145">
        <v>0.5</v>
      </c>
    </row>
    <row r="643" spans="1:7">
      <c r="A643" t="s">
        <v>726</v>
      </c>
    </row>
    <row r="647" spans="1:7">
      <c r="A647" t="s">
        <v>729</v>
      </c>
    </row>
    <row r="648" spans="1:7">
      <c r="A648" s="82" t="s">
        <v>725</v>
      </c>
      <c r="B648" s="82" t="s">
        <v>718</v>
      </c>
      <c r="C648" s="82" t="s">
        <v>357</v>
      </c>
      <c r="D648" s="82" t="s">
        <v>345</v>
      </c>
      <c r="E648" s="82" t="s">
        <v>358</v>
      </c>
      <c r="F648" s="82" t="s">
        <v>719</v>
      </c>
      <c r="G648" s="82" t="s">
        <v>720</v>
      </c>
    </row>
    <row r="649" spans="1:7">
      <c r="A649" t="s">
        <v>721</v>
      </c>
      <c r="B649" s="242">
        <f>B640/$B640</f>
        <v>1</v>
      </c>
      <c r="C649" s="242">
        <f>C640/$B640</f>
        <v>6.0459492140266021E-3</v>
      </c>
      <c r="D649" s="242">
        <f t="shared" ref="D649:G649" si="245">D640/$B640</f>
        <v>0.60278113663845223</v>
      </c>
      <c r="E649" s="242">
        <f t="shared" si="245"/>
        <v>0.34764207980652961</v>
      </c>
      <c r="F649" s="243">
        <f t="shared" si="245"/>
        <v>1.2091898428053204E-3</v>
      </c>
      <c r="G649" s="242">
        <f t="shared" si="245"/>
        <v>4.2321644498186213E-2</v>
      </c>
    </row>
    <row r="650" spans="1:7">
      <c r="A650" t="s">
        <v>722</v>
      </c>
      <c r="B650" s="242">
        <f t="shared" ref="B650" si="246">B641/$B641</f>
        <v>1</v>
      </c>
      <c r="C650" s="242">
        <f t="shared" ref="C650:G650" si="247">C641/$B641</f>
        <v>0</v>
      </c>
      <c r="D650" s="242">
        <f t="shared" si="247"/>
        <v>0.51485148514851486</v>
      </c>
      <c r="E650" s="242">
        <f t="shared" si="247"/>
        <v>0</v>
      </c>
      <c r="F650" s="242">
        <f t="shared" si="247"/>
        <v>0</v>
      </c>
      <c r="G650" s="242">
        <f t="shared" si="247"/>
        <v>0.47524752475247523</v>
      </c>
    </row>
    <row r="651" spans="1:7">
      <c r="A651" t="s">
        <v>723</v>
      </c>
      <c r="B651" s="246">
        <f t="shared" ref="B651" si="248">B642/$B642</f>
        <v>1</v>
      </c>
      <c r="C651" s="246">
        <f t="shared" ref="C651:G651" si="249">C642/$B642</f>
        <v>0</v>
      </c>
      <c r="D651" s="246">
        <f>D642/$B642</f>
        <v>0.62962962962962954</v>
      </c>
      <c r="E651" s="246">
        <f t="shared" si="249"/>
        <v>0.25925925925925924</v>
      </c>
      <c r="F651" s="246">
        <f t="shared" si="249"/>
        <v>0</v>
      </c>
      <c r="G651" s="246">
        <f t="shared" si="249"/>
        <v>9.2592592592592587E-2</v>
      </c>
    </row>
    <row r="652" spans="1:7">
      <c r="A652" s="79" t="s">
        <v>732</v>
      </c>
      <c r="B652" s="151"/>
      <c r="C652" s="104">
        <f>AVERAGE(C649:C651)</f>
        <v>2.015316404675534E-3</v>
      </c>
      <c r="D652" s="104">
        <f t="shared" ref="D652:G652" si="250">AVERAGE(D649:D651)</f>
        <v>0.58242075047219888</v>
      </c>
      <c r="E652" s="104">
        <f t="shared" si="250"/>
        <v>0.20230044635526298</v>
      </c>
      <c r="F652" s="104">
        <f t="shared" si="250"/>
        <v>4.0306328093510677E-4</v>
      </c>
      <c r="G652" s="104">
        <f t="shared" si="250"/>
        <v>0.20338725394775134</v>
      </c>
    </row>
    <row r="653" spans="1:7">
      <c r="A653" t="s">
        <v>730</v>
      </c>
      <c r="C653" s="7"/>
      <c r="D653" s="7"/>
      <c r="E653" s="7"/>
      <c r="F653" s="7"/>
      <c r="G653" s="7"/>
    </row>
    <row r="657" spans="1:7">
      <c r="A657" t="s">
        <v>727</v>
      </c>
    </row>
    <row r="658" spans="1:7">
      <c r="A658" s="82" t="s">
        <v>725</v>
      </c>
      <c r="B658" s="82" t="s">
        <v>718</v>
      </c>
      <c r="C658" s="82" t="s">
        <v>357</v>
      </c>
      <c r="D658" s="82" t="s">
        <v>345</v>
      </c>
      <c r="E658" s="82" t="s">
        <v>358</v>
      </c>
      <c r="F658" s="82" t="s">
        <v>719</v>
      </c>
      <c r="G658" s="82" t="s">
        <v>720</v>
      </c>
    </row>
    <row r="659" spans="1:7">
      <c r="A659" t="s">
        <v>721</v>
      </c>
      <c r="B659">
        <v>36521.1</v>
      </c>
      <c r="C659">
        <v>2387.8000000000002</v>
      </c>
      <c r="D659">
        <v>31319.4</v>
      </c>
      <c r="E659">
        <v>365.3</v>
      </c>
      <c r="F659">
        <v>770.9</v>
      </c>
      <c r="G659">
        <v>1677.7</v>
      </c>
    </row>
    <row r="660" spans="1:7">
      <c r="A660" t="s">
        <v>722</v>
      </c>
      <c r="B660">
        <v>157.4</v>
      </c>
      <c r="C660">
        <v>0.1</v>
      </c>
      <c r="D660">
        <v>143.69999999999999</v>
      </c>
      <c r="E660">
        <v>0</v>
      </c>
      <c r="F660">
        <v>0</v>
      </c>
      <c r="G660">
        <v>13.6</v>
      </c>
    </row>
    <row r="661" spans="1:7">
      <c r="A661" s="79" t="s">
        <v>723</v>
      </c>
      <c r="B661" s="79">
        <v>266.39999999999998</v>
      </c>
      <c r="C661" s="79">
        <v>20.399999999999999</v>
      </c>
      <c r="D661" s="79">
        <v>222.7</v>
      </c>
      <c r="E661" s="79">
        <v>3.3</v>
      </c>
      <c r="F661" s="79">
        <v>6.2</v>
      </c>
      <c r="G661" s="79">
        <v>13.7</v>
      </c>
    </row>
    <row r="662" spans="1:7">
      <c r="A662" t="s">
        <v>726</v>
      </c>
    </row>
    <row r="666" spans="1:7">
      <c r="A666" t="s">
        <v>728</v>
      </c>
    </row>
    <row r="667" spans="1:7">
      <c r="A667" s="82" t="s">
        <v>725</v>
      </c>
      <c r="B667" s="82" t="s">
        <v>718</v>
      </c>
      <c r="C667" s="82" t="s">
        <v>357</v>
      </c>
      <c r="D667" s="82" t="s">
        <v>345</v>
      </c>
      <c r="E667" s="82" t="s">
        <v>358</v>
      </c>
      <c r="F667" s="82" t="s">
        <v>719</v>
      </c>
      <c r="G667" s="82" t="s">
        <v>720</v>
      </c>
    </row>
    <row r="668" spans="1:7">
      <c r="A668" t="s">
        <v>721</v>
      </c>
      <c r="B668">
        <f>B659-B640</f>
        <v>36355.699999999997</v>
      </c>
      <c r="C668">
        <f t="shared" ref="C668:G668" si="251">C659-C640</f>
        <v>2386.8000000000002</v>
      </c>
      <c r="D668">
        <f t="shared" si="251"/>
        <v>31219.7</v>
      </c>
      <c r="E668">
        <f t="shared" si="251"/>
        <v>307.8</v>
      </c>
      <c r="F668">
        <f t="shared" si="251"/>
        <v>770.69999999999993</v>
      </c>
      <c r="G668">
        <f t="shared" si="251"/>
        <v>1670.7</v>
      </c>
    </row>
    <row r="669" spans="1:7">
      <c r="A669" t="s">
        <v>722</v>
      </c>
      <c r="B669">
        <f>B660-B641</f>
        <v>147.30000000000001</v>
      </c>
      <c r="C669">
        <f t="shared" ref="C669:G670" si="252">C660-C641</f>
        <v>0.1</v>
      </c>
      <c r="D669">
        <f t="shared" si="252"/>
        <v>138.5</v>
      </c>
      <c r="E669">
        <f t="shared" si="252"/>
        <v>0</v>
      </c>
      <c r="F669">
        <f t="shared" si="252"/>
        <v>0</v>
      </c>
      <c r="G669">
        <f t="shared" si="252"/>
        <v>8.8000000000000007</v>
      </c>
    </row>
    <row r="670" spans="1:7">
      <c r="A670" s="79" t="s">
        <v>723</v>
      </c>
      <c r="B670" s="79">
        <f>B661-B642</f>
        <v>261</v>
      </c>
      <c r="C670" s="79">
        <f t="shared" si="252"/>
        <v>20.399999999999999</v>
      </c>
      <c r="D670" s="79">
        <f t="shared" si="252"/>
        <v>219.29999999999998</v>
      </c>
      <c r="E670" s="79">
        <f t="shared" si="252"/>
        <v>1.9</v>
      </c>
      <c r="F670" s="79">
        <f t="shared" si="252"/>
        <v>6.2</v>
      </c>
      <c r="G670" s="79">
        <f t="shared" si="252"/>
        <v>13.2</v>
      </c>
    </row>
    <row r="671" spans="1:7">
      <c r="A671" t="s">
        <v>726</v>
      </c>
    </row>
    <row r="672" spans="1:7">
      <c r="C672" s="86"/>
      <c r="D672" s="86"/>
      <c r="E672" s="86"/>
      <c r="F672" s="86"/>
      <c r="G672" s="86"/>
    </row>
    <row r="673" spans="1:7">
      <c r="C673" s="86"/>
      <c r="D673" s="86"/>
      <c r="E673" s="86"/>
      <c r="F673" s="86"/>
      <c r="G673" s="86"/>
    </row>
    <row r="675" spans="1:7">
      <c r="A675" t="s">
        <v>731</v>
      </c>
    </row>
    <row r="676" spans="1:7">
      <c r="A676" s="82" t="s">
        <v>725</v>
      </c>
      <c r="B676" s="82" t="s">
        <v>718</v>
      </c>
      <c r="C676" s="82" t="s">
        <v>357</v>
      </c>
      <c r="D676" s="82" t="s">
        <v>345</v>
      </c>
      <c r="E676" s="82" t="s">
        <v>358</v>
      </c>
      <c r="F676" s="82" t="s">
        <v>719</v>
      </c>
      <c r="G676" s="82" t="s">
        <v>720</v>
      </c>
    </row>
    <row r="677" spans="1:7">
      <c r="A677" t="s">
        <v>721</v>
      </c>
      <c r="B677" s="242">
        <f>B668/$B668</f>
        <v>1</v>
      </c>
      <c r="C677" s="242">
        <f>C668/$B668</f>
        <v>6.5651328402423839E-2</v>
      </c>
      <c r="D677" s="242">
        <f t="shared" ref="D677:G677" si="253">D668/$B668</f>
        <v>0.85872916764083773</v>
      </c>
      <c r="E677" s="242">
        <f t="shared" si="253"/>
        <v>8.4663477804030746E-3</v>
      </c>
      <c r="F677" s="242">
        <f t="shared" si="253"/>
        <v>2.1198876654829918E-2</v>
      </c>
      <c r="G677" s="242">
        <f t="shared" si="253"/>
        <v>4.5954279521505575E-2</v>
      </c>
    </row>
    <row r="678" spans="1:7">
      <c r="A678" t="s">
        <v>722</v>
      </c>
      <c r="B678" s="246">
        <f t="shared" ref="B678" si="254">B669/$B669</f>
        <v>1</v>
      </c>
      <c r="C678" s="246">
        <f t="shared" ref="C678:G678" si="255">C669/$B669</f>
        <v>6.7888662593346908E-4</v>
      </c>
      <c r="D678" s="246">
        <f>D669/$B669</f>
        <v>0.94025797691785462</v>
      </c>
      <c r="E678" s="246">
        <f t="shared" si="255"/>
        <v>0</v>
      </c>
      <c r="F678" s="246">
        <f t="shared" si="255"/>
        <v>0</v>
      </c>
      <c r="G678" s="246">
        <f t="shared" si="255"/>
        <v>5.9742023082145282E-2</v>
      </c>
    </row>
    <row r="679" spans="1:7">
      <c r="A679" t="s">
        <v>723</v>
      </c>
      <c r="B679" s="246">
        <f t="shared" ref="B679" si="256">B670/$B670</f>
        <v>1</v>
      </c>
      <c r="C679" s="246">
        <f>C670/$B670</f>
        <v>7.8160919540229884E-2</v>
      </c>
      <c r="D679" s="246">
        <f>D670/$B670</f>
        <v>0.8402298850574712</v>
      </c>
      <c r="E679" s="246">
        <f t="shared" ref="E679:G679" si="257">E670/$B670</f>
        <v>7.2796934865900376E-3</v>
      </c>
      <c r="F679" s="246">
        <f t="shared" si="257"/>
        <v>2.3754789272030653E-2</v>
      </c>
      <c r="G679" s="246">
        <f t="shared" si="257"/>
        <v>5.057471264367816E-2</v>
      </c>
    </row>
    <row r="680" spans="1:7">
      <c r="A680" s="79" t="s">
        <v>732</v>
      </c>
      <c r="B680" s="151"/>
      <c r="C680" s="104">
        <f>AVERAGE(C677:C679)</f>
        <v>4.8163711522862397E-2</v>
      </c>
      <c r="D680" s="104">
        <f t="shared" ref="D680:G680" si="258">AVERAGE(D677:D679)</f>
        <v>0.87973900987205456</v>
      </c>
      <c r="E680" s="104">
        <f t="shared" si="258"/>
        <v>5.2486804223310368E-3</v>
      </c>
      <c r="F680" s="104">
        <f t="shared" si="258"/>
        <v>1.4984555308953524E-2</v>
      </c>
      <c r="G680" s="104">
        <f t="shared" si="258"/>
        <v>5.2090338415776337E-2</v>
      </c>
    </row>
    <row r="681" spans="1:7">
      <c r="A681" t="s">
        <v>730</v>
      </c>
    </row>
    <row r="683" spans="1:7">
      <c r="B683" s="244" t="s">
        <v>718</v>
      </c>
      <c r="C683" s="244" t="s">
        <v>357</v>
      </c>
      <c r="D683" s="244" t="s">
        <v>345</v>
      </c>
      <c r="E683" s="244" t="s">
        <v>358</v>
      </c>
      <c r="F683" s="244" t="s">
        <v>719</v>
      </c>
      <c r="G683" s="244" t="s">
        <v>720</v>
      </c>
    </row>
    <row r="684" spans="1:7">
      <c r="B684" s="245" t="s">
        <v>692</v>
      </c>
      <c r="C684" s="245" t="s">
        <v>357</v>
      </c>
      <c r="D684" s="245" t="s">
        <v>345</v>
      </c>
      <c r="E684" s="245" t="s">
        <v>358</v>
      </c>
      <c r="F684" s="245" t="s">
        <v>364</v>
      </c>
      <c r="G684" s="245" t="s">
        <v>356</v>
      </c>
    </row>
    <row r="691" spans="1:7">
      <c r="C691" t="s">
        <v>1149</v>
      </c>
      <c r="E691" t="s">
        <v>1148</v>
      </c>
    </row>
    <row r="692" spans="1:7">
      <c r="A692" s="82" t="s">
        <v>676</v>
      </c>
      <c r="B692" s="82" t="s">
        <v>1056</v>
      </c>
      <c r="C692" s="80" t="s">
        <v>1147</v>
      </c>
      <c r="D692" s="80" t="s">
        <v>577</v>
      </c>
      <c r="E692" s="80" t="s">
        <v>1147</v>
      </c>
      <c r="F692" s="80" t="s">
        <v>1150</v>
      </c>
      <c r="G692" s="80" t="s">
        <v>1151</v>
      </c>
    </row>
    <row r="693" spans="1:7">
      <c r="A693" t="s">
        <v>1053</v>
      </c>
      <c r="B693" t="s">
        <v>1047</v>
      </c>
      <c r="C693" s="701">
        <f>((C403*Stock!G29*AF!D24)+(C403*Stock!G28*AF!D23))/1000</f>
        <v>0.30440398839397392</v>
      </c>
      <c r="D693" s="702">
        <f>C606</f>
        <v>2.5114928752301518E-2</v>
      </c>
      <c r="E693" s="704">
        <f>D693*$C$7</f>
        <v>0.26879481043002346</v>
      </c>
      <c r="F693" s="5">
        <f>C693-E693</f>
        <v>3.5609177963950467E-2</v>
      </c>
      <c r="G693" s="699">
        <f>E693/C693</f>
        <v>0.88302000196573183</v>
      </c>
    </row>
    <row r="694" spans="1:7">
      <c r="A694" t="s">
        <v>1054</v>
      </c>
      <c r="B694" t="s">
        <v>1048</v>
      </c>
      <c r="C694" s="701">
        <f>C404*Stock!G30*AF!D25/1000</f>
        <v>1.1099384754504258</v>
      </c>
      <c r="D694" s="702">
        <f t="shared" ref="D694:D695" si="259">C607</f>
        <v>9.8051434169944274E-2</v>
      </c>
      <c r="E694" s="704">
        <f t="shared" ref="E694:E695" si="260">D694*$C$7</f>
        <v>1.0494043968843381</v>
      </c>
      <c r="F694" s="5">
        <f t="shared" ref="F694:F695" si="261">C694-E694</f>
        <v>6.0534078566087723E-2</v>
      </c>
      <c r="G694" s="188">
        <f>ROUNDUP(E694/C694,2)</f>
        <v>0.95</v>
      </c>
    </row>
    <row r="695" spans="1:7">
      <c r="A695" s="79" t="s">
        <v>1055</v>
      </c>
      <c r="B695" s="79" t="s">
        <v>1049</v>
      </c>
      <c r="C695" s="703">
        <f>C405*Stock!G31*AF!D26/1000</f>
        <v>9.7750280090047017</v>
      </c>
      <c r="D695" s="705">
        <f t="shared" si="259"/>
        <v>0.86921736291355867</v>
      </c>
      <c r="E695" s="706">
        <f t="shared" si="260"/>
        <v>9.3028779253623863</v>
      </c>
      <c r="F695" s="250">
        <f t="shared" si="261"/>
        <v>0.47215008364231537</v>
      </c>
      <c r="G695" s="707">
        <f>ROUNDUP(E695/C695,2)</f>
        <v>0.96</v>
      </c>
    </row>
    <row r="696" spans="1:7">
      <c r="C696" s="5">
        <f>SUM(C693:C695)</f>
        <v>11.189370472849102</v>
      </c>
      <c r="E696" s="699">
        <f>SUM(E693:E695)</f>
        <v>10.621077132676747</v>
      </c>
    </row>
  </sheetData>
  <mergeCells count="32">
    <mergeCell ref="B487:L487"/>
    <mergeCell ref="B506:L506"/>
    <mergeCell ref="B461:F461"/>
    <mergeCell ref="A411:A412"/>
    <mergeCell ref="A413:A414"/>
    <mergeCell ref="A415:A416"/>
    <mergeCell ref="B545:L545"/>
    <mergeCell ref="B563:F563"/>
    <mergeCell ref="A524:G524"/>
    <mergeCell ref="A536:G536"/>
    <mergeCell ref="A537:G537"/>
    <mergeCell ref="A110:B110"/>
    <mergeCell ref="A89:B89"/>
    <mergeCell ref="G130:H130"/>
    <mergeCell ref="G131:H131"/>
    <mergeCell ref="B443:L443"/>
    <mergeCell ref="I206:AB206"/>
    <mergeCell ref="I207:I208"/>
    <mergeCell ref="J207:L207"/>
    <mergeCell ref="N207:P207"/>
    <mergeCell ref="R207:T207"/>
    <mergeCell ref="V207:X207"/>
    <mergeCell ref="Z207:AB207"/>
    <mergeCell ref="F411:F412"/>
    <mergeCell ref="F413:F414"/>
    <mergeCell ref="F415:F416"/>
    <mergeCell ref="A383:A384"/>
    <mergeCell ref="A385:A386"/>
    <mergeCell ref="A381:A382"/>
    <mergeCell ref="A368:A369"/>
    <mergeCell ref="A370:A371"/>
    <mergeCell ref="A372:A373"/>
  </mergeCells>
  <phoneticPr fontId="36" type="noConversion"/>
  <pageMargins left="0.7" right="0.7" top="0.75" bottom="0.75" header="0.3" footer="0.3"/>
  <pageSetup paperSize="9" orientation="portrait" r:id="rId1"/>
  <ignoredErrors>
    <ignoredError sqref="C434:AC435 D433:AC433"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34C3-C324-43CB-8D86-6E59F2042A4B}">
  <sheetPr>
    <tabColor rgb="FF00B0F0"/>
  </sheetPr>
  <dimension ref="B3:V42"/>
  <sheetViews>
    <sheetView zoomScale="70" zoomScaleNormal="70" workbookViewId="0">
      <selection activeCell="E39" sqref="E39"/>
    </sheetView>
  </sheetViews>
  <sheetFormatPr defaultRowHeight="14.5"/>
  <cols>
    <col min="2" max="2" width="18.08984375" customWidth="1"/>
    <col min="3" max="3" width="20" customWidth="1"/>
    <col min="4" max="4" width="24.453125" customWidth="1"/>
    <col min="5" max="5" width="34" bestFit="1" customWidth="1"/>
    <col min="6" max="6" width="11.7265625" customWidth="1"/>
    <col min="7" max="7" width="13.1796875" customWidth="1"/>
    <col min="8" max="8" width="11.81640625" customWidth="1"/>
    <col min="9" max="9" width="11.36328125" customWidth="1"/>
    <col min="11" max="11" width="10.453125" customWidth="1"/>
    <col min="12" max="12" width="11.453125" customWidth="1"/>
  </cols>
  <sheetData>
    <row r="3" spans="2:21">
      <c r="B3" s="21" t="s">
        <v>1192</v>
      </c>
      <c r="C3" s="21"/>
      <c r="D3" s="264"/>
      <c r="E3" s="264"/>
      <c r="F3" s="264"/>
      <c r="G3" s="264"/>
      <c r="H3" s="264"/>
      <c r="I3" s="264"/>
      <c r="J3" s="264"/>
    </row>
    <row r="4" spans="2:21">
      <c r="B4" s="370" t="s">
        <v>68</v>
      </c>
      <c r="C4" s="371" t="s">
        <v>768</v>
      </c>
      <c r="D4" s="370" t="s">
        <v>69</v>
      </c>
      <c r="E4" s="370" t="s">
        <v>70</v>
      </c>
      <c r="F4" s="370" t="s">
        <v>71</v>
      </c>
      <c r="G4" s="370" t="s">
        <v>72</v>
      </c>
      <c r="H4" s="370" t="s">
        <v>73</v>
      </c>
      <c r="I4" s="370" t="s">
        <v>74</v>
      </c>
      <c r="J4" s="370" t="s">
        <v>0</v>
      </c>
    </row>
    <row r="5" spans="2:21">
      <c r="B5" s="371" t="s">
        <v>633</v>
      </c>
      <c r="C5" s="371"/>
      <c r="D5" s="371"/>
      <c r="E5" s="371"/>
      <c r="F5" s="371"/>
      <c r="G5" s="371"/>
      <c r="H5" s="371"/>
      <c r="I5" s="371"/>
      <c r="J5" s="371"/>
    </row>
    <row r="6" spans="2:21">
      <c r="B6" s="372" t="s">
        <v>714</v>
      </c>
      <c r="C6" s="372"/>
      <c r="D6" s="372"/>
      <c r="E6" s="372"/>
      <c r="F6" s="373"/>
      <c r="G6" s="372"/>
      <c r="H6" s="372"/>
      <c r="I6" s="372"/>
      <c r="J6" s="372"/>
    </row>
    <row r="7" spans="2:21">
      <c r="B7" s="716" t="s">
        <v>777</v>
      </c>
      <c r="C7" s="716" t="s">
        <v>1167</v>
      </c>
      <c r="D7" s="722" t="s">
        <v>1171</v>
      </c>
      <c r="E7" s="720" t="s">
        <v>1168</v>
      </c>
      <c r="F7" s="716" t="s">
        <v>792</v>
      </c>
      <c r="G7" s="716" t="s">
        <v>1089</v>
      </c>
      <c r="H7" s="716"/>
      <c r="I7" s="716"/>
      <c r="J7" s="716"/>
    </row>
    <row r="8" spans="2:21">
      <c r="B8" s="716" t="s">
        <v>777</v>
      </c>
      <c r="C8" s="716" t="s">
        <v>1167</v>
      </c>
      <c r="D8" s="722" t="s">
        <v>1172</v>
      </c>
      <c r="E8" s="720" t="s">
        <v>1169</v>
      </c>
      <c r="F8" s="716" t="s">
        <v>792</v>
      </c>
      <c r="G8" s="716" t="s">
        <v>1089</v>
      </c>
      <c r="H8" s="716"/>
      <c r="I8" s="716"/>
      <c r="J8" s="716"/>
    </row>
    <row r="9" spans="2:21">
      <c r="B9" s="716" t="s">
        <v>777</v>
      </c>
      <c r="C9" s="716" t="s">
        <v>1167</v>
      </c>
      <c r="D9" s="722" t="s">
        <v>1173</v>
      </c>
      <c r="E9" s="720" t="s">
        <v>1170</v>
      </c>
      <c r="F9" s="716" t="s">
        <v>792</v>
      </c>
      <c r="G9" s="716" t="s">
        <v>1089</v>
      </c>
      <c r="H9" s="712"/>
      <c r="I9" s="712"/>
      <c r="J9" s="712"/>
    </row>
    <row r="11" spans="2:21">
      <c r="E11" s="723"/>
    </row>
    <row r="12" spans="2:21">
      <c r="E12" s="723"/>
    </row>
    <row r="13" spans="2:21">
      <c r="E13" s="723"/>
    </row>
    <row r="14" spans="2:21">
      <c r="E14" s="141" t="s">
        <v>1193</v>
      </c>
    </row>
    <row r="15" spans="2:21" ht="15" thickBot="1">
      <c r="B15" s="35" t="s">
        <v>69</v>
      </c>
      <c r="C15" s="35" t="s">
        <v>94</v>
      </c>
      <c r="D15" s="35" t="s">
        <v>76</v>
      </c>
      <c r="E15" s="35" t="s">
        <v>77</v>
      </c>
      <c r="F15" s="718" t="s">
        <v>1175</v>
      </c>
      <c r="G15" s="35" t="s">
        <v>1176</v>
      </c>
      <c r="H15" s="35" t="s">
        <v>169</v>
      </c>
      <c r="I15" s="35" t="s">
        <v>1188</v>
      </c>
      <c r="J15" s="35" t="s">
        <v>1189</v>
      </c>
      <c r="K15" s="35" t="s">
        <v>1190</v>
      </c>
      <c r="L15" s="35" t="s">
        <v>790</v>
      </c>
      <c r="M15" s="35" t="s">
        <v>525</v>
      </c>
    </row>
    <row r="16" spans="2:21" ht="15.5">
      <c r="B16" s="721" t="s">
        <v>1174</v>
      </c>
      <c r="C16" s="721"/>
      <c r="D16" s="719"/>
      <c r="E16" s="719"/>
      <c r="F16" s="719"/>
      <c r="G16" s="719" t="s">
        <v>1187</v>
      </c>
      <c r="H16" s="719" t="s">
        <v>1186</v>
      </c>
      <c r="I16" s="719"/>
      <c r="J16" s="719"/>
      <c r="K16" s="719"/>
      <c r="L16" s="719"/>
      <c r="M16" s="719"/>
      <c r="R16" s="285" t="s">
        <v>1177</v>
      </c>
      <c r="S16" s="285" t="s">
        <v>390</v>
      </c>
      <c r="U16" t="s">
        <v>390</v>
      </c>
    </row>
    <row r="17" spans="2:22">
      <c r="B17" t="str">
        <f>D7</f>
        <v>T-SAVI_INT_JETK00</v>
      </c>
      <c r="C17" t="s">
        <v>1089</v>
      </c>
      <c r="D17" t="str">
        <f>Commodities!C18&amp;","&amp;Commodities!C12&amp;","&amp;Commodities!C19</f>
        <v>TRAKER,TRABJK,TRAPtLKER</v>
      </c>
      <c r="E17" t="str">
        <f>Commodities!C34&amp;","&amp;Commodities!C33</f>
        <v>TAVIINTS,TAVIINT</v>
      </c>
      <c r="F17" s="37">
        <v>2010</v>
      </c>
      <c r="G17" s="37">
        <f>S17/3/1000</f>
        <v>0.18966666666666665</v>
      </c>
      <c r="H17">
        <v>30</v>
      </c>
      <c r="I17">
        <v>10</v>
      </c>
      <c r="J17">
        <v>117</v>
      </c>
      <c r="K17">
        <v>2800</v>
      </c>
      <c r="L17">
        <v>2.7000000000000001E-3</v>
      </c>
      <c r="M17">
        <v>1E-3</v>
      </c>
      <c r="Q17" t="s">
        <v>1178</v>
      </c>
      <c r="R17" s="285">
        <v>6711</v>
      </c>
      <c r="S17" s="285">
        <v>569</v>
      </c>
      <c r="U17" t="s">
        <v>669</v>
      </c>
      <c r="V17" t="s">
        <v>1185</v>
      </c>
    </row>
    <row r="18" spans="2:22">
      <c r="B18" t="str">
        <f>D8</f>
        <v>T-MAVI_INT_JETK00</v>
      </c>
      <c r="C18" t="s">
        <v>1089</v>
      </c>
      <c r="D18" t="str">
        <f>Commodities!C18&amp;","&amp;Commodities!C12&amp;","&amp;Commodities!C19</f>
        <v>TRAKER,TRABJK,TRAPtLKER</v>
      </c>
      <c r="E18" t="str">
        <f>Commodities!C35&amp;","&amp;Commodities!C33</f>
        <v>TAVIINTM,TAVIINT</v>
      </c>
      <c r="F18" s="37">
        <v>2010</v>
      </c>
      <c r="G18">
        <f>G17</f>
        <v>0.18966666666666665</v>
      </c>
      <c r="H18">
        <v>30</v>
      </c>
      <c r="I18">
        <v>10</v>
      </c>
      <c r="J18">
        <v>150</v>
      </c>
      <c r="K18">
        <v>2800</v>
      </c>
      <c r="L18">
        <v>2.7000000000000001E-3</v>
      </c>
      <c r="M18">
        <v>1E-3</v>
      </c>
      <c r="Q18" t="s">
        <v>1179</v>
      </c>
      <c r="R18" s="86">
        <v>0.21</v>
      </c>
      <c r="S18" s="86">
        <v>0.27</v>
      </c>
      <c r="U18" s="2">
        <f>S17*S18</f>
        <v>153.63000000000002</v>
      </c>
      <c r="V18">
        <v>3</v>
      </c>
    </row>
    <row r="19" spans="2:22">
      <c r="B19" t="str">
        <f>D9</f>
        <v>T-LAVI_INT_JETK00</v>
      </c>
      <c r="C19" t="s">
        <v>1089</v>
      </c>
      <c r="D19" t="str">
        <f>Commodities!C18&amp;","&amp;Commodities!C12&amp;","&amp;Commodities!C19</f>
        <v>TRAKER,TRABJK,TRAPtLKER</v>
      </c>
      <c r="E19" t="str">
        <f>Commodities!C36&amp;","&amp;Commodities!C33</f>
        <v>TAVIINTL,TAVIINT</v>
      </c>
      <c r="F19" s="37">
        <v>2010</v>
      </c>
      <c r="G19">
        <f>G18</f>
        <v>0.18966666666666665</v>
      </c>
      <c r="H19">
        <v>30</v>
      </c>
      <c r="I19">
        <v>10</v>
      </c>
      <c r="J19">
        <v>220</v>
      </c>
      <c r="K19">
        <v>2800</v>
      </c>
      <c r="L19">
        <v>2.7000000000000001E-3</v>
      </c>
      <c r="M19">
        <v>1E-3</v>
      </c>
      <c r="Q19" t="s">
        <v>1180</v>
      </c>
      <c r="R19" s="86">
        <v>0.27</v>
      </c>
      <c r="S19" s="86"/>
      <c r="U19" s="2">
        <f>S17*R19</f>
        <v>153.63000000000002</v>
      </c>
      <c r="V19">
        <v>8</v>
      </c>
    </row>
    <row r="20" spans="2:22">
      <c r="F20" s="37"/>
      <c r="G20" s="37"/>
      <c r="Q20" t="s">
        <v>1181</v>
      </c>
      <c r="R20" s="86">
        <v>0.19</v>
      </c>
      <c r="S20" s="86"/>
      <c r="U20" s="2">
        <f>S17*R20</f>
        <v>108.11</v>
      </c>
      <c r="V20">
        <v>13</v>
      </c>
    </row>
    <row r="21" spans="2:22">
      <c r="Q21" t="s">
        <v>1182</v>
      </c>
      <c r="R21" s="86">
        <v>0.17</v>
      </c>
      <c r="S21" s="86"/>
      <c r="U21" s="2">
        <f>S17-SUM(U18:U20,U22)</f>
        <v>113.79999999999995</v>
      </c>
      <c r="V21">
        <v>17</v>
      </c>
    </row>
    <row r="22" spans="2:22">
      <c r="Q22" t="s">
        <v>1183</v>
      </c>
      <c r="R22" s="86">
        <v>0.17</v>
      </c>
      <c r="S22" s="86">
        <v>7.0000000000000007E-2</v>
      </c>
      <c r="U22" s="2">
        <f>S17*S22</f>
        <v>39.830000000000005</v>
      </c>
      <c r="V22">
        <v>25</v>
      </c>
    </row>
    <row r="23" spans="2:22">
      <c r="Q23" t="s">
        <v>1184</v>
      </c>
    </row>
    <row r="28" spans="2:22">
      <c r="B28" s="21" t="s">
        <v>1194</v>
      </c>
      <c r="C28" s="37"/>
      <c r="D28" s="37"/>
    </row>
    <row r="29" spans="2:22" ht="15" thickBot="1">
      <c r="B29" s="24" t="s">
        <v>61</v>
      </c>
      <c r="C29" s="26" t="s">
        <v>94</v>
      </c>
      <c r="D29" s="25" t="s">
        <v>897</v>
      </c>
    </row>
    <row r="30" spans="2:22">
      <c r="B30" t="str">
        <f>Commodities!C34</f>
        <v>TAVIINTS</v>
      </c>
      <c r="C30" t="s">
        <v>792</v>
      </c>
      <c r="D30" s="699">
        <v>2.9</v>
      </c>
    </row>
    <row r="31" spans="2:22">
      <c r="B31" t="str">
        <f>Commodities!C35</f>
        <v>TAVIINTM</v>
      </c>
      <c r="C31" t="s">
        <v>792</v>
      </c>
      <c r="D31" s="699">
        <v>15.8</v>
      </c>
    </row>
    <row r="32" spans="2:22">
      <c r="B32" t="str">
        <f>Commodities!C36</f>
        <v>TAVIINTL</v>
      </c>
      <c r="C32" t="s">
        <v>792</v>
      </c>
      <c r="D32" s="699">
        <v>13.8</v>
      </c>
    </row>
    <row r="38" spans="2:9">
      <c r="E38" s="369" t="s">
        <v>1193</v>
      </c>
      <c r="F38" s="188"/>
      <c r="G38" s="9"/>
      <c r="H38" s="9"/>
      <c r="I38" s="9"/>
    </row>
    <row r="39" spans="2:9">
      <c r="B39" s="123" t="s">
        <v>768</v>
      </c>
      <c r="C39" s="123" t="s">
        <v>69</v>
      </c>
      <c r="D39" s="123" t="s">
        <v>76</v>
      </c>
      <c r="E39" s="405" t="s">
        <v>64</v>
      </c>
      <c r="F39" s="405" t="s">
        <v>915</v>
      </c>
      <c r="G39" s="405" t="s">
        <v>917</v>
      </c>
      <c r="H39" s="405" t="s">
        <v>1191</v>
      </c>
      <c r="I39" s="405" t="s">
        <v>984</v>
      </c>
    </row>
    <row r="40" spans="2:9">
      <c r="B40" t="s">
        <v>897</v>
      </c>
      <c r="C40" t="str">
        <f>B17</f>
        <v>T-SAVI_INT_JETK00</v>
      </c>
      <c r="D40" t="s">
        <v>92</v>
      </c>
      <c r="E40" t="s">
        <v>919</v>
      </c>
      <c r="F40">
        <v>1</v>
      </c>
      <c r="G40">
        <v>0.95</v>
      </c>
      <c r="H40">
        <v>0.5</v>
      </c>
      <c r="I40">
        <v>5</v>
      </c>
    </row>
    <row r="41" spans="2:9">
      <c r="B41" t="s">
        <v>897</v>
      </c>
      <c r="C41" t="str">
        <f t="shared" ref="C41:C42" si="0">B18</f>
        <v>T-MAVI_INT_JETK00</v>
      </c>
      <c r="D41" t="s">
        <v>92</v>
      </c>
      <c r="E41" t="s">
        <v>919</v>
      </c>
      <c r="F41">
        <f>F40</f>
        <v>1</v>
      </c>
      <c r="G41">
        <f t="shared" ref="G41:H41" si="1">G40</f>
        <v>0.95</v>
      </c>
      <c r="H41">
        <f t="shared" si="1"/>
        <v>0.5</v>
      </c>
      <c r="I41">
        <v>5</v>
      </c>
    </row>
    <row r="42" spans="2:9">
      <c r="B42" t="s">
        <v>897</v>
      </c>
      <c r="C42" t="str">
        <f t="shared" si="0"/>
        <v>T-LAVI_INT_JETK00</v>
      </c>
      <c r="D42" t="s">
        <v>92</v>
      </c>
      <c r="E42" t="s">
        <v>919</v>
      </c>
      <c r="F42">
        <f>F41</f>
        <v>1</v>
      </c>
      <c r="G42">
        <f t="shared" ref="G42" si="2">G41</f>
        <v>0.95</v>
      </c>
      <c r="H42">
        <f t="shared" ref="H42" si="3">H41</f>
        <v>0.5</v>
      </c>
      <c r="I42">
        <v>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18BF-60EC-4D32-8ADE-103A7ACC2AA9}">
  <sheetPr codeName="Sheet13"/>
  <dimension ref="B1:AF686"/>
  <sheetViews>
    <sheetView topLeftCell="A36" zoomScale="70" zoomScaleNormal="70" workbookViewId="0">
      <selection activeCell="D40" sqref="D40"/>
    </sheetView>
  </sheetViews>
  <sheetFormatPr defaultRowHeight="14.5"/>
  <cols>
    <col min="2" max="2" width="22.453125" bestFit="1" customWidth="1"/>
    <col min="3" max="3" width="12.1796875" customWidth="1"/>
    <col min="4" max="4" width="11" customWidth="1"/>
    <col min="5" max="30" width="9.54296875" customWidth="1"/>
  </cols>
  <sheetData>
    <row r="1" spans="2:31">
      <c r="F1" s="2"/>
    </row>
    <row r="3" spans="2:31">
      <c r="D3" s="141"/>
    </row>
    <row r="4" spans="2:31" ht="15" thickBot="1">
      <c r="B4" s="35" t="s">
        <v>69</v>
      </c>
      <c r="C4" s="35" t="s">
        <v>94</v>
      </c>
      <c r="D4" s="35" t="s">
        <v>99</v>
      </c>
      <c r="E4" s="146" t="str">
        <f>Demands!C3</f>
        <v>IE</v>
      </c>
      <c r="F4" s="146" t="str">
        <f>Demands!D3</f>
        <v>IE-CW</v>
      </c>
      <c r="G4" s="146" t="str">
        <f>Demands!E3</f>
        <v>IE-D</v>
      </c>
      <c r="H4" s="146" t="str">
        <f>Demands!F3</f>
        <v>IE-KE</v>
      </c>
      <c r="I4" s="146" t="str">
        <f>Demands!G3</f>
        <v>IE-KK</v>
      </c>
      <c r="J4" s="146" t="str">
        <f>Demands!H3</f>
        <v>IE-LS</v>
      </c>
      <c r="K4" s="146" t="str">
        <f>Demands!I3</f>
        <v>IE-LD</v>
      </c>
      <c r="L4" s="146" t="str">
        <f>Demands!J3</f>
        <v>IE-LH</v>
      </c>
      <c r="M4" s="146" t="str">
        <f>Demands!K3</f>
        <v>IE-MH</v>
      </c>
      <c r="N4" s="146" t="str">
        <f>Demands!L3</f>
        <v>IE-OY</v>
      </c>
      <c r="O4" s="146" t="str">
        <f>Demands!M3</f>
        <v>IE-WH</v>
      </c>
      <c r="P4" s="146" t="str">
        <f>Demands!N3</f>
        <v>IE-WX</v>
      </c>
      <c r="Q4" s="146" t="str">
        <f>Demands!O3</f>
        <v>IE-WW</v>
      </c>
      <c r="R4" s="146" t="str">
        <f>Demands!P3</f>
        <v>IE-CE</v>
      </c>
      <c r="S4" s="146" t="str">
        <f>Demands!Q3</f>
        <v>IE-CO</v>
      </c>
      <c r="T4" s="146" t="str">
        <f>Demands!R3</f>
        <v>IE-KY</v>
      </c>
      <c r="U4" s="146" t="str">
        <f>Demands!S3</f>
        <v>IE-LK</v>
      </c>
      <c r="V4" s="146" t="str">
        <f>Demands!T3</f>
        <v>IE-TA</v>
      </c>
      <c r="W4" s="146" t="str">
        <f>Demands!U3</f>
        <v>IE-WD</v>
      </c>
      <c r="X4" s="146" t="str">
        <f>Demands!V3</f>
        <v>IE-G</v>
      </c>
      <c r="Y4" s="146" t="str">
        <f>Demands!W3</f>
        <v>IE-LM</v>
      </c>
      <c r="Z4" s="146" t="str">
        <f>Demands!X3</f>
        <v>IE-MO</v>
      </c>
      <c r="AA4" s="146" t="str">
        <f>Demands!Y3</f>
        <v>IE-RN</v>
      </c>
      <c r="AB4" s="146" t="str">
        <f>Demands!Z3</f>
        <v>IE-SO</v>
      </c>
      <c r="AC4" s="146" t="str">
        <f>Demands!AA3</f>
        <v>IE-CN</v>
      </c>
      <c r="AD4" s="146" t="str">
        <f>Demands!AB3</f>
        <v>IE-DL</v>
      </c>
      <c r="AE4" s="146" t="str">
        <f>Demands!AC3</f>
        <v>IE-MN</v>
      </c>
    </row>
    <row r="5" spans="2:31">
      <c r="B5" t="str">
        <f>Processes!D6</f>
        <v>T-WLK_WLK</v>
      </c>
      <c r="C5" t="s">
        <v>896</v>
      </c>
      <c r="D5" t="s">
        <v>790</v>
      </c>
      <c r="E5" s="2">
        <v>1500</v>
      </c>
      <c r="F5" s="2">
        <v>1500</v>
      </c>
      <c r="G5" s="2">
        <v>1500</v>
      </c>
      <c r="H5" s="2">
        <v>1500</v>
      </c>
      <c r="I5" s="2">
        <v>1500</v>
      </c>
      <c r="J5" s="2">
        <v>1500</v>
      </c>
      <c r="K5" s="2">
        <v>1500</v>
      </c>
      <c r="L5" s="2">
        <v>1500</v>
      </c>
      <c r="M5" s="2">
        <v>1500</v>
      </c>
      <c r="N5" s="2">
        <v>1500</v>
      </c>
      <c r="O5" s="2">
        <v>1500</v>
      </c>
      <c r="P5" s="2">
        <v>1500</v>
      </c>
      <c r="Q5" s="2">
        <v>1500</v>
      </c>
      <c r="R5" s="2">
        <v>1500</v>
      </c>
      <c r="S5" s="2">
        <v>1500</v>
      </c>
      <c r="T5" s="2">
        <v>1500</v>
      </c>
      <c r="U5" s="2">
        <v>1500</v>
      </c>
      <c r="V5" s="2">
        <v>1500</v>
      </c>
      <c r="W5" s="2">
        <v>1500</v>
      </c>
      <c r="X5" s="2">
        <v>1500</v>
      </c>
      <c r="Y5" s="2">
        <v>1500</v>
      </c>
      <c r="Z5" s="2">
        <v>1500</v>
      </c>
      <c r="AA5" s="2">
        <v>1500</v>
      </c>
      <c r="AB5" s="2">
        <v>1500</v>
      </c>
      <c r="AC5" s="2">
        <v>1500</v>
      </c>
      <c r="AD5" s="2">
        <v>1500</v>
      </c>
      <c r="AE5" s="2">
        <v>1500</v>
      </c>
    </row>
    <row r="6" spans="2:31">
      <c r="B6" t="str">
        <f>Processes!D7</f>
        <v>T-CYC_CYC</v>
      </c>
      <c r="C6" t="s">
        <v>896</v>
      </c>
      <c r="D6" t="s">
        <v>790</v>
      </c>
      <c r="E6" s="2">
        <v>1500</v>
      </c>
      <c r="F6" s="2">
        <v>1500</v>
      </c>
      <c r="G6" s="2">
        <v>1500</v>
      </c>
      <c r="H6" s="2">
        <v>1500</v>
      </c>
      <c r="I6" s="2">
        <v>1500</v>
      </c>
      <c r="J6" s="2">
        <v>1500</v>
      </c>
      <c r="K6" s="2">
        <v>1500</v>
      </c>
      <c r="L6" s="2">
        <v>1500</v>
      </c>
      <c r="M6" s="2">
        <v>1500</v>
      </c>
      <c r="N6" s="2">
        <v>1500</v>
      </c>
      <c r="O6" s="2">
        <v>1500</v>
      </c>
      <c r="P6" s="2">
        <v>1500</v>
      </c>
      <c r="Q6" s="2">
        <v>1500</v>
      </c>
      <c r="R6" s="2">
        <v>1500</v>
      </c>
      <c r="S6" s="2">
        <v>1500</v>
      </c>
      <c r="T6" s="2">
        <v>1500</v>
      </c>
      <c r="U6" s="2">
        <v>1500</v>
      </c>
      <c r="V6" s="2">
        <v>1500</v>
      </c>
      <c r="W6" s="2">
        <v>1500</v>
      </c>
      <c r="X6" s="2">
        <v>1500</v>
      </c>
      <c r="Y6" s="2">
        <v>1500</v>
      </c>
      <c r="Z6" s="2">
        <v>1500</v>
      </c>
      <c r="AA6" s="2">
        <v>1500</v>
      </c>
      <c r="AB6" s="2">
        <v>1500</v>
      </c>
      <c r="AC6" s="2">
        <v>1500</v>
      </c>
      <c r="AD6" s="2">
        <v>1500</v>
      </c>
      <c r="AE6" s="2">
        <v>1500</v>
      </c>
    </row>
    <row r="7" spans="2:31">
      <c r="B7" t="str">
        <f>Processes!D9</f>
        <v>T-MOT-ICE_GSL00</v>
      </c>
      <c r="C7" t="s">
        <v>896</v>
      </c>
      <c r="D7" t="s">
        <v>790</v>
      </c>
      <c r="E7" s="2">
        <v>587.97955123032</v>
      </c>
      <c r="F7" s="2">
        <v>587.97955123032</v>
      </c>
      <c r="G7" s="2">
        <v>587.97955123032</v>
      </c>
      <c r="H7" s="2">
        <v>587.97955123032</v>
      </c>
      <c r="I7" s="2">
        <v>587.97955123032</v>
      </c>
      <c r="J7" s="2">
        <v>587.97955123032</v>
      </c>
      <c r="K7" s="2">
        <v>587.97955123032</v>
      </c>
      <c r="L7" s="2">
        <v>587.97955123032</v>
      </c>
      <c r="M7" s="2">
        <v>587.97955123032</v>
      </c>
      <c r="N7" s="2">
        <v>587.97955123032</v>
      </c>
      <c r="O7" s="2">
        <v>587.97955123032</v>
      </c>
      <c r="P7" s="2">
        <v>587.97955123032</v>
      </c>
      <c r="Q7" s="2">
        <v>587.97955123032</v>
      </c>
      <c r="R7" s="2">
        <v>587.97955123032</v>
      </c>
      <c r="S7" s="2">
        <v>587.97955123032</v>
      </c>
      <c r="T7" s="2">
        <v>587.97955123032</v>
      </c>
      <c r="U7" s="2">
        <v>587.97955123032</v>
      </c>
      <c r="V7" s="2">
        <v>587.97955123032</v>
      </c>
      <c r="W7" s="2">
        <v>587.97955123032</v>
      </c>
      <c r="X7" s="2">
        <v>587.97955123032</v>
      </c>
      <c r="Y7" s="2">
        <v>587.97955123032</v>
      </c>
      <c r="Z7" s="2">
        <v>587.97955123032</v>
      </c>
      <c r="AA7" s="2">
        <v>587.97955123032</v>
      </c>
      <c r="AB7" s="2">
        <v>587.97955123032</v>
      </c>
      <c r="AC7" s="2">
        <v>587.97955123032</v>
      </c>
      <c r="AD7" s="2">
        <v>587.97955123032</v>
      </c>
      <c r="AE7" s="2">
        <v>587.97955123032</v>
      </c>
    </row>
    <row r="8" spans="2:31">
      <c r="B8" t="str">
        <f>Processes!D11</f>
        <v>T-CAR-ICE_GSL00</v>
      </c>
      <c r="C8" t="s">
        <v>896</v>
      </c>
      <c r="D8" t="s">
        <v>790</v>
      </c>
      <c r="E8" s="2">
        <f>D117/(1+'On-Road Fac.'!$D$5)</f>
        <v>433.50426001298206</v>
      </c>
      <c r="F8" s="2">
        <f>E117/(1+'On-Road Fac.'!$D$5)</f>
        <v>434.10337874367298</v>
      </c>
      <c r="G8" s="2">
        <f>F117/(1+'On-Road Fac.'!$D$5)</f>
        <v>432.27719266740485</v>
      </c>
      <c r="H8" s="2">
        <f>G117/(1+'On-Road Fac.'!$D$5)</f>
        <v>434.11833683379734</v>
      </c>
      <c r="I8" s="2">
        <f>H117/(1+'On-Road Fac.'!$D$5)</f>
        <v>435.17270356063506</v>
      </c>
      <c r="J8" s="2">
        <f>I117/(1+'On-Road Fac.'!$D$5)</f>
        <v>434.45389250962</v>
      </c>
      <c r="K8" s="2">
        <f>J117/(1+'On-Road Fac.'!$D$5)</f>
        <v>434.67644908357607</v>
      </c>
      <c r="L8" s="2">
        <f>K117/(1+'On-Road Fac.'!$D$5)</f>
        <v>437.49003518417993</v>
      </c>
      <c r="M8" s="2">
        <f>L117/(1+'On-Road Fac.'!$D$5)</f>
        <v>433.52135711277987</v>
      </c>
      <c r="N8" s="2">
        <f>M117/(1+'On-Road Fac.'!$D$5)</f>
        <v>435.00242399129166</v>
      </c>
      <c r="O8" s="2">
        <f>N117/(1+'On-Road Fac.'!$D$5)</f>
        <v>434.88447974243724</v>
      </c>
      <c r="P8" s="2">
        <f>O117/(1+'On-Road Fac.'!$D$5)</f>
        <v>435.68939275988379</v>
      </c>
      <c r="Q8" s="2">
        <f>P117/(1+'On-Road Fac.'!$D$5)</f>
        <v>432.97476525754041</v>
      </c>
      <c r="R8" s="2">
        <f>Q117/(1+'On-Road Fac.'!$D$5)</f>
        <v>433.01786668250327</v>
      </c>
      <c r="S8" s="2">
        <f>R117/(1+'On-Road Fac.'!$D$5)</f>
        <v>433.89154353764064</v>
      </c>
      <c r="T8" s="2">
        <f>S117/(1+'On-Road Fac.'!$D$5)</f>
        <v>432.42601757040472</v>
      </c>
      <c r="U8" s="2">
        <f>T117/(1+'On-Road Fac.'!$D$5)</f>
        <v>433.61869842810705</v>
      </c>
      <c r="V8" s="2">
        <f>U117/(1+'On-Road Fac.'!$D$5)</f>
        <v>434.08597485062614</v>
      </c>
      <c r="W8" s="2">
        <f>V117/(1+'On-Road Fac.'!$D$5)</f>
        <v>436.01919270515066</v>
      </c>
      <c r="X8" s="2">
        <f>W117/(1+'On-Road Fac.'!$D$5)</f>
        <v>431.91206997355971</v>
      </c>
      <c r="Y8" s="2">
        <f>X117/(1+'On-Road Fac.'!$D$5)</f>
        <v>434.97766905148757</v>
      </c>
      <c r="Z8" s="2">
        <f>Y117/(1+'On-Road Fac.'!$D$5)</f>
        <v>432.81008057700501</v>
      </c>
      <c r="AA8" s="2">
        <f>Z117/(1+'On-Road Fac.'!$D$5)</f>
        <v>438.56974158729849</v>
      </c>
      <c r="AB8" s="2">
        <f>AA117/(1+'On-Road Fac.'!$D$5)</f>
        <v>434.54244488905925</v>
      </c>
      <c r="AC8" s="2">
        <f>AB117/(1+'On-Road Fac.'!$D$5)</f>
        <v>434.52270444585378</v>
      </c>
      <c r="AD8" s="2">
        <f>AC117/(1+'On-Road Fac.'!$D$5)</f>
        <v>434.47832557719772</v>
      </c>
      <c r="AE8" s="2">
        <f>AD117/(1+'On-Road Fac.'!$D$5)</f>
        <v>434.2932121246302</v>
      </c>
    </row>
    <row r="9" spans="2:31">
      <c r="B9" t="str">
        <f>Processes!D12</f>
        <v>T-CAR-ICE_DST00</v>
      </c>
      <c r="C9" t="s">
        <v>896</v>
      </c>
      <c r="D9" t="s">
        <v>790</v>
      </c>
      <c r="E9" s="2">
        <f>D163/(1+'On-Road Fac.'!$D$5)</f>
        <v>401.18080181954258</v>
      </c>
      <c r="F9" s="2">
        <f>E163/(1+'On-Road Fac.'!$D$5)</f>
        <v>401.54965651392541</v>
      </c>
      <c r="G9" s="2">
        <f>F163/(1+'On-Road Fac.'!$D$5)</f>
        <v>397.35475238769277</v>
      </c>
      <c r="H9" s="2">
        <f>G163/(1+'On-Road Fac.'!$D$5)</f>
        <v>400.80411823888068</v>
      </c>
      <c r="I9" s="2">
        <f>H163/(1+'On-Road Fac.'!$D$5)</f>
        <v>403.19075764172976</v>
      </c>
      <c r="J9" s="2">
        <f>I163/(1+'On-Road Fac.'!$D$5)</f>
        <v>402.60399905298118</v>
      </c>
      <c r="K9" s="2">
        <f>J163/(1+'On-Road Fac.'!$D$5)</f>
        <v>399.42461167325956</v>
      </c>
      <c r="L9" s="2">
        <f>K163/(1+'On-Road Fac.'!$D$5)</f>
        <v>404.22747158559491</v>
      </c>
      <c r="M9" s="2">
        <f>L163/(1+'On-Road Fac.'!$D$5)</f>
        <v>401.03527290750844</v>
      </c>
      <c r="N9" s="2">
        <f>M163/(1+'On-Road Fac.'!$D$5)</f>
        <v>404.01897313768683</v>
      </c>
      <c r="O9" s="2">
        <f>N163/(1+'On-Road Fac.'!$D$5)</f>
        <v>402.25828612575441</v>
      </c>
      <c r="P9" s="2">
        <f>O163/(1+'On-Road Fac.'!$D$5)</f>
        <v>403.83255193088127</v>
      </c>
      <c r="Q9" s="2">
        <f>P163/(1+'On-Road Fac.'!$D$5)</f>
        <v>398.67347797298879</v>
      </c>
      <c r="R9" s="2">
        <f>Q163/(1+'On-Road Fac.'!$D$5)</f>
        <v>403.91188169855508</v>
      </c>
      <c r="S9" s="2">
        <f>R163/(1+'On-Road Fac.'!$D$5)</f>
        <v>403.04120341634439</v>
      </c>
      <c r="T9" s="2">
        <f>S163/(1+'On-Road Fac.'!$D$5)</f>
        <v>402.2853884326326</v>
      </c>
      <c r="U9" s="2">
        <f>T163/(1+'On-Road Fac.'!$D$5)</f>
        <v>402.93345607453642</v>
      </c>
      <c r="V9" s="2">
        <f>U163/(1+'On-Road Fac.'!$D$5)</f>
        <v>402.32307368081302</v>
      </c>
      <c r="W9" s="2">
        <f>V163/(1+'On-Road Fac.'!$D$5)</f>
        <v>403.31353682072159</v>
      </c>
      <c r="X9" s="2">
        <f>W163/(1+'On-Road Fac.'!$D$5)</f>
        <v>399.97521117967403</v>
      </c>
      <c r="Y9" s="2">
        <f>X163/(1+'On-Road Fac.'!$D$5)</f>
        <v>400.97659736729861</v>
      </c>
      <c r="Z9" s="2">
        <f>Y163/(1+'On-Road Fac.'!$D$5)</f>
        <v>400.36046247620675</v>
      </c>
      <c r="AA9" s="2">
        <f>Z163/(1+'On-Road Fac.'!$D$5)</f>
        <v>405.07051032455092</v>
      </c>
      <c r="AB9" s="2">
        <f>AA163/(1+'On-Road Fac.'!$D$5)</f>
        <v>400.70609016823602</v>
      </c>
      <c r="AC9" s="2">
        <f>AB163/(1+'On-Road Fac.'!$D$5)</f>
        <v>402.32034855908853</v>
      </c>
      <c r="AD9" s="2">
        <f>AC163/(1+'On-Road Fac.'!$D$5)</f>
        <v>402.87904937646454</v>
      </c>
      <c r="AE9" s="2">
        <f>AD163/(1+'On-Road Fac.'!$D$5)</f>
        <v>400.63387925487814</v>
      </c>
    </row>
    <row r="10" spans="2:31">
      <c r="B10" t="str">
        <f>Processes!D13</f>
        <v>T-CAR-ICE_DF00</v>
      </c>
      <c r="C10" t="s">
        <v>896</v>
      </c>
      <c r="D10" t="s">
        <v>790</v>
      </c>
      <c r="E10" s="2">
        <f>D211/(1+'On-Road Fac.'!$D$5)</f>
        <v>346.42546952946822</v>
      </c>
      <c r="F10" s="2">
        <f>E211/(1+'On-Road Fac.'!$D$5)</f>
        <v>346.42546952946822</v>
      </c>
      <c r="G10" s="2">
        <f>F211/(1+'On-Road Fac.'!$D$5)</f>
        <v>356.92116208134138</v>
      </c>
      <c r="H10" s="2">
        <f>G211/(1+'On-Road Fac.'!$D$5)</f>
        <v>346.42546952946822</v>
      </c>
      <c r="I10" s="2">
        <f>H211/(1+'On-Road Fac.'!$D$5)</f>
        <v>346.42546952946822</v>
      </c>
      <c r="J10" s="2">
        <f>I211/(1+'On-Road Fac.'!$D$5)</f>
        <v>346.42546952946822</v>
      </c>
      <c r="K10" s="2">
        <f>J211/(1+'On-Road Fac.'!$D$5)</f>
        <v>313.6230093836574</v>
      </c>
      <c r="L10" s="2">
        <f>K211/(1+'On-Road Fac.'!$D$5)</f>
        <v>346.42546952946822</v>
      </c>
      <c r="M10" s="2">
        <f>L211/(1+'On-Road Fac.'!$D$5)</f>
        <v>316.324667374645</v>
      </c>
      <c r="N10" s="2">
        <f>M211/(1+'On-Road Fac.'!$D$5)</f>
        <v>328.31515728369328</v>
      </c>
      <c r="O10" s="2">
        <f>N211/(1+'On-Road Fac.'!$D$5)</f>
        <v>346.42546952946822</v>
      </c>
      <c r="P10" s="2">
        <f>O211/(1+'On-Road Fac.'!$D$5)</f>
        <v>306.83097781910516</v>
      </c>
      <c r="Q10" s="2">
        <f>P211/(1+'On-Road Fac.'!$D$5)</f>
        <v>364.82558929179396</v>
      </c>
      <c r="R10" s="2">
        <f>Q211/(1+'On-Road Fac.'!$D$5)</f>
        <v>346.42546952946822</v>
      </c>
      <c r="S10" s="2">
        <f>R211/(1+'On-Road Fac.'!$D$5)</f>
        <v>337.83519026083707</v>
      </c>
      <c r="T10" s="2">
        <f>S211/(1+'On-Road Fac.'!$D$5)</f>
        <v>354.24735781365808</v>
      </c>
      <c r="U10" s="2">
        <f>T211/(1+'On-Road Fac.'!$D$5)</f>
        <v>356.62771663978873</v>
      </c>
      <c r="V10" s="2">
        <f>U211/(1+'On-Road Fac.'!$D$5)</f>
        <v>346.42546952946822</v>
      </c>
      <c r="W10" s="2">
        <f>V211/(1+'On-Road Fac.'!$D$5)</f>
        <v>346.42546952946822</v>
      </c>
      <c r="X10" s="2">
        <f>W211/(1+'On-Road Fac.'!$D$5)</f>
        <v>345.12014220119158</v>
      </c>
      <c r="Y10" s="2">
        <f>X211/(1+'On-Road Fac.'!$D$5)</f>
        <v>346.42546952946822</v>
      </c>
      <c r="Z10" s="2">
        <f>Y211/(1+'On-Road Fac.'!$D$5)</f>
        <v>346.42546952946822</v>
      </c>
      <c r="AA10" s="2">
        <f>Z211/(1+'On-Road Fac.'!$D$5)</f>
        <v>346.42546952946822</v>
      </c>
      <c r="AB10" s="2">
        <f>AA211/(1+'On-Road Fac.'!$D$5)</f>
        <v>346.42546952946822</v>
      </c>
      <c r="AC10" s="2">
        <f>AB211/(1+'On-Road Fac.'!$D$5)</f>
        <v>346.42546952946822</v>
      </c>
      <c r="AD10" s="2">
        <f>AC211/(1+'On-Road Fac.'!$D$5)</f>
        <v>353.74970289794538</v>
      </c>
      <c r="AE10" s="2">
        <f>AD211/(1+'On-Road Fac.'!$D$5)</f>
        <v>346.42546952946822</v>
      </c>
    </row>
    <row r="11" spans="2:31">
      <c r="B11" t="str">
        <f>Processes!D14</f>
        <v>T-CAR-ICE_E8500</v>
      </c>
      <c r="C11" t="s">
        <v>896</v>
      </c>
      <c r="D11" t="s">
        <v>790</v>
      </c>
      <c r="E11" s="2">
        <f>D260/(1+'On-Road Fac.'!$D$5)</f>
        <v>414.96671483785497</v>
      </c>
      <c r="F11" s="2">
        <f>E260/(1+'On-Road Fac.'!$D$5)</f>
        <v>420.11336576060239</v>
      </c>
      <c r="G11" s="2">
        <f>F260/(1+'On-Road Fac.'!$D$5)</f>
        <v>409.91964243223504</v>
      </c>
      <c r="H11" s="2">
        <f>G260/(1+'On-Road Fac.'!$D$5)</f>
        <v>420.96104427040677</v>
      </c>
      <c r="I11" s="2">
        <f>H260/(1+'On-Road Fac.'!$D$5)</f>
        <v>419.47774256432695</v>
      </c>
      <c r="J11" s="2">
        <f>I260/(1+'On-Road Fac.'!$D$5)</f>
        <v>417.59928366979068</v>
      </c>
      <c r="K11" s="2">
        <f>J260/(1+'On-Road Fac.'!$D$5)</f>
        <v>416.06107672777193</v>
      </c>
      <c r="L11" s="2">
        <f>K260/(1+'On-Road Fac.'!$D$5)</f>
        <v>423.30918885696349</v>
      </c>
      <c r="M11" s="2">
        <f>L260/(1+'On-Road Fac.'!$D$5)</f>
        <v>405.0300595694253</v>
      </c>
      <c r="N11" s="2">
        <f>M260/(1+'On-Road Fac.'!$D$5)</f>
        <v>425.188165357532</v>
      </c>
      <c r="O11" s="2">
        <f>N260/(1+'On-Road Fac.'!$D$5)</f>
        <v>417.32291967721653</v>
      </c>
      <c r="P11" s="2">
        <f>O260/(1+'On-Road Fac.'!$D$5)</f>
        <v>426.66355626596567</v>
      </c>
      <c r="Q11" s="2">
        <f>P260/(1+'On-Road Fac.'!$D$5)</f>
        <v>424.49102044988729</v>
      </c>
      <c r="R11" s="2">
        <f>Q260/(1+'On-Road Fac.'!$D$5)</f>
        <v>417.70817686631074</v>
      </c>
      <c r="S11" s="2">
        <f>R260/(1+'On-Road Fac.'!$D$5)</f>
        <v>416.94826702277555</v>
      </c>
      <c r="T11" s="2">
        <f>S260/(1+'On-Road Fac.'!$D$5)</f>
        <v>411.38752524194899</v>
      </c>
      <c r="U11" s="2">
        <f>T260/(1+'On-Road Fac.'!$D$5)</f>
        <v>421.23501670793587</v>
      </c>
      <c r="V11" s="2">
        <f>U260/(1+'On-Road Fac.'!$D$5)</f>
        <v>425.49680158337799</v>
      </c>
      <c r="W11" s="2">
        <f>V260/(1+'On-Road Fac.'!$D$5)</f>
        <v>417.30399948813414</v>
      </c>
      <c r="X11" s="2">
        <f>W260/(1+'On-Road Fac.'!$D$5)</f>
        <v>406.60180735532811</v>
      </c>
      <c r="Y11" s="2">
        <f>X260/(1+'On-Road Fac.'!$D$5)</f>
        <v>420.16401988019129</v>
      </c>
      <c r="Z11" s="2">
        <f>Y260/(1+'On-Road Fac.'!$D$5)</f>
        <v>423.57869590041156</v>
      </c>
      <c r="AA11" s="2">
        <f>Z260/(1+'On-Road Fac.'!$D$5)</f>
        <v>421.49217568193484</v>
      </c>
      <c r="AB11" s="2">
        <f>AA260/(1+'On-Road Fac.'!$D$5)</f>
        <v>423.4521650766884</v>
      </c>
      <c r="AC11" s="2">
        <f>AB260/(1+'On-Road Fac.'!$D$5)</f>
        <v>426.19820514383485</v>
      </c>
      <c r="AD11" s="2">
        <f>AC260/(1+'On-Road Fac.'!$D$5)</f>
        <v>423.30288486897183</v>
      </c>
      <c r="AE11" s="2">
        <f>AD260/(1+'On-Road Fac.'!$D$5)</f>
        <v>422.30989715167726</v>
      </c>
    </row>
    <row r="12" spans="2:31">
      <c r="B12" t="str">
        <f>Processes!D15</f>
        <v>T-CAR-HEV_GSL00</v>
      </c>
      <c r="C12" t="s">
        <v>896</v>
      </c>
      <c r="D12" t="s">
        <v>790</v>
      </c>
      <c r="E12" s="2">
        <f>D308/(1+'On-Road Fac.'!$D$5)</f>
        <v>487.30496436285102</v>
      </c>
      <c r="F12" s="2">
        <f>E308/(1+'On-Road Fac.'!$D$5)</f>
        <v>487.99562401870338</v>
      </c>
      <c r="G12" s="2">
        <f>F308/(1+'On-Road Fac.'!$D$5)</f>
        <v>488.36951409300991</v>
      </c>
      <c r="H12" s="2">
        <f>G308/(1+'On-Road Fac.'!$D$5)</f>
        <v>489.06911069650101</v>
      </c>
      <c r="I12" s="2">
        <f>H308/(1+'On-Road Fac.'!$D$5)</f>
        <v>489.69692593099558</v>
      </c>
      <c r="J12" s="2">
        <f>I308/(1+'On-Road Fac.'!$D$5)</f>
        <v>493.02699501969931</v>
      </c>
      <c r="K12" s="2">
        <f>J308/(1+'On-Road Fac.'!$D$5)</f>
        <v>491.13557900150994</v>
      </c>
      <c r="L12" s="2">
        <f>K308/(1+'On-Road Fac.'!$D$5)</f>
        <v>487.62642343137918</v>
      </c>
      <c r="M12" s="2">
        <f>L308/(1+'On-Road Fac.'!$D$5)</f>
        <v>485.77879797556989</v>
      </c>
      <c r="N12" s="2">
        <f>M308/(1+'On-Road Fac.'!$D$5)</f>
        <v>488.95606334996853</v>
      </c>
      <c r="O12" s="2">
        <f>N308/(1+'On-Road Fac.'!$D$5)</f>
        <v>491.05534179848866</v>
      </c>
      <c r="P12" s="2">
        <f>O308/(1+'On-Road Fac.'!$D$5)</f>
        <v>491.36195028476715</v>
      </c>
      <c r="Q12" s="2">
        <f>P308/(1+'On-Road Fac.'!$D$5)</f>
        <v>492.35360153427888</v>
      </c>
      <c r="R12" s="2">
        <f>Q308/(1+'On-Road Fac.'!$D$5)</f>
        <v>490.49628079603173</v>
      </c>
      <c r="S12" s="2">
        <f>R308/(1+'On-Road Fac.'!$D$5)</f>
        <v>484.36770438577958</v>
      </c>
      <c r="T12" s="2">
        <f>S308/(1+'On-Road Fac.'!$D$5)</f>
        <v>483.75049699227822</v>
      </c>
      <c r="U12" s="2">
        <f>T308/(1+'On-Road Fac.'!$D$5)</f>
        <v>489.46087811192785</v>
      </c>
      <c r="V12" s="2">
        <f>U308/(1+'On-Road Fac.'!$D$5)</f>
        <v>496.26614882546056</v>
      </c>
      <c r="W12" s="2">
        <f>V308/(1+'On-Road Fac.'!$D$5)</f>
        <v>490.96836957192193</v>
      </c>
      <c r="X12" s="2">
        <f>W308/(1+'On-Road Fac.'!$D$5)</f>
        <v>486.03086546286454</v>
      </c>
      <c r="Y12" s="2">
        <f>X308/(1+'On-Road Fac.'!$D$5)</f>
        <v>495.32292590930382</v>
      </c>
      <c r="Z12" s="2">
        <f>Y308/(1+'On-Road Fac.'!$D$5)</f>
        <v>493.17287658406769</v>
      </c>
      <c r="AA12" s="2">
        <f>Z308/(1+'On-Road Fac.'!$D$5)</f>
        <v>491.60419704579755</v>
      </c>
      <c r="AB12" s="2">
        <f>AA308/(1+'On-Road Fac.'!$D$5)</f>
        <v>484.3269036120314</v>
      </c>
      <c r="AC12" s="2">
        <f>AB308/(1+'On-Road Fac.'!$D$5)</f>
        <v>488.56276999543934</v>
      </c>
      <c r="AD12" s="2">
        <f>AC308/(1+'On-Road Fac.'!$D$5)</f>
        <v>491.4628871340156</v>
      </c>
      <c r="AE12" s="2">
        <f>AD308/(1+'On-Road Fac.'!$D$5)</f>
        <v>486.85490241710806</v>
      </c>
    </row>
    <row r="13" spans="2:31">
      <c r="B13" t="str">
        <f>Processes!D16</f>
        <v>T-CAR-HEV_DST00</v>
      </c>
      <c r="C13" t="s">
        <v>896</v>
      </c>
      <c r="D13" t="s">
        <v>790</v>
      </c>
      <c r="E13" s="2">
        <f>D356/(1+'On-Road Fac.'!$D$5)</f>
        <v>492.55495178372917</v>
      </c>
      <c r="F13" s="2">
        <f>E356/(1+'On-Road Fac.'!$D$5)</f>
        <v>491.80710230897688</v>
      </c>
      <c r="G13" s="2">
        <f>F356/(1+'On-Road Fac.'!$D$5)</f>
        <v>492.42630105027416</v>
      </c>
      <c r="H13" s="2">
        <f>G356/(1+'On-Road Fac.'!$D$5)</f>
        <v>499.37028520156093</v>
      </c>
      <c r="I13" s="2">
        <f>H356/(1+'On-Road Fac.'!$D$5)</f>
        <v>494.91148459495184</v>
      </c>
      <c r="J13" s="2">
        <f>I356/(1+'On-Road Fac.'!$D$5)</f>
        <v>490.53491018804414</v>
      </c>
      <c r="K13" s="2">
        <f>J356/(1+'On-Road Fac.'!$D$5)</f>
        <v>484.68400082583696</v>
      </c>
      <c r="L13" s="2">
        <f>K356/(1+'On-Road Fac.'!$D$5)</f>
        <v>490.53491018804414</v>
      </c>
      <c r="M13" s="2">
        <f>L356/(1+'On-Road Fac.'!$D$5)</f>
        <v>487.14226526289264</v>
      </c>
      <c r="N13" s="2">
        <f>M356/(1+'On-Road Fac.'!$D$5)</f>
        <v>481.81057637269379</v>
      </c>
      <c r="O13" s="2">
        <f>N356/(1+'On-Road Fac.'!$D$5)</f>
        <v>502.73163071559514</v>
      </c>
      <c r="P13" s="2">
        <f>O356/(1+'On-Road Fac.'!$D$5)</f>
        <v>495.01664079990093</v>
      </c>
      <c r="Q13" s="2">
        <f>P356/(1+'On-Road Fac.'!$D$5)</f>
        <v>485.87716185167784</v>
      </c>
      <c r="R13" s="2">
        <f>Q356/(1+'On-Road Fac.'!$D$5)</f>
        <v>498.16765610214054</v>
      </c>
      <c r="S13" s="2">
        <f>R356/(1+'On-Road Fac.'!$D$5)</f>
        <v>496.74252871240014</v>
      </c>
      <c r="T13" s="2">
        <f>S356/(1+'On-Road Fac.'!$D$5)</f>
        <v>486.13360389957603</v>
      </c>
      <c r="U13" s="2">
        <f>T356/(1+'On-Road Fac.'!$D$5)</f>
        <v>481.81057637269379</v>
      </c>
      <c r="V13" s="2">
        <f>U356/(1+'On-Road Fac.'!$D$5)</f>
        <v>499.58102043092367</v>
      </c>
      <c r="W13" s="2">
        <f>V356/(1+'On-Road Fac.'!$D$5)</f>
        <v>498.16765610214054</v>
      </c>
      <c r="X13" s="2">
        <f>W356/(1+'On-Road Fac.'!$D$5)</f>
        <v>490.31836414710631</v>
      </c>
      <c r="Y13" s="2">
        <f>X356/(1+'On-Road Fac.'!$D$5)</f>
        <v>486.13360389957603</v>
      </c>
      <c r="Z13" s="2">
        <f>Y356/(1+'On-Road Fac.'!$D$5)</f>
        <v>481.81057637269379</v>
      </c>
      <c r="AA13" s="2">
        <f>Z356/(1+'On-Road Fac.'!$D$5)</f>
        <v>501.26173443444543</v>
      </c>
      <c r="AB13" s="2">
        <f>AA356/(1+'On-Road Fac.'!$D$5)</f>
        <v>506.23776711077056</v>
      </c>
      <c r="AC13" s="2">
        <f>AB356/(1+'On-Road Fac.'!$D$5)</f>
        <v>502.80620391542016</v>
      </c>
      <c r="AD13" s="2">
        <f>AC356/(1+'On-Road Fac.'!$D$5)</f>
        <v>530.18844807257176</v>
      </c>
      <c r="AE13" s="2">
        <f>AD356/(1+'On-Road Fac.'!$D$5)</f>
        <v>492.88355138112877</v>
      </c>
    </row>
    <row r="14" spans="2:31">
      <c r="B14" t="str">
        <f>Processes!D17</f>
        <v>T-CAR-PHEV_GSL00</v>
      </c>
      <c r="C14" t="s">
        <v>896</v>
      </c>
      <c r="D14" t="s">
        <v>790</v>
      </c>
      <c r="E14" s="2">
        <f>D404/(1+'On-Road Fac.'!$D$5)</f>
        <v>640.60354142073538</v>
      </c>
      <c r="F14" s="2">
        <f>E404/(1+'On-Road Fac.'!$D$5)</f>
        <v>654.05503233315869</v>
      </c>
      <c r="G14" s="2">
        <f>F404/(1+'On-Road Fac.'!$D$5)</f>
        <v>640.31103474022063</v>
      </c>
      <c r="H14" s="2">
        <f>G404/(1+'On-Road Fac.'!$D$5)</f>
        <v>648.65711401387512</v>
      </c>
      <c r="I14" s="2">
        <f>H404/(1+'On-Road Fac.'!$D$5)</f>
        <v>639.99952548680687</v>
      </c>
      <c r="J14" s="2">
        <f>I404/(1+'On-Road Fac.'!$D$5)</f>
        <v>637.65878122195852</v>
      </c>
      <c r="K14" s="2">
        <f>J404/(1+'On-Road Fac.'!$D$5)</f>
        <v>646.37011378027864</v>
      </c>
      <c r="L14" s="2">
        <f>K404/(1+'On-Road Fac.'!$D$5)</f>
        <v>639.98747171686466</v>
      </c>
      <c r="M14" s="2">
        <f>L404/(1+'On-Road Fac.'!$D$5)</f>
        <v>651.04243378966828</v>
      </c>
      <c r="N14" s="2">
        <f>M404/(1+'On-Road Fac.'!$D$5)</f>
        <v>640.51115306502049</v>
      </c>
      <c r="O14" s="2">
        <f>N404/(1+'On-Road Fac.'!$D$5)</f>
        <v>644.11792050716372</v>
      </c>
      <c r="P14" s="2">
        <f>O404/(1+'On-Road Fac.'!$D$5)</f>
        <v>640.31896921064845</v>
      </c>
      <c r="Q14" s="2">
        <f>P404/(1+'On-Road Fac.'!$D$5)</f>
        <v>643.94305629598136</v>
      </c>
      <c r="R14" s="2">
        <f>Q404/(1+'On-Road Fac.'!$D$5)</f>
        <v>641.87230901974567</v>
      </c>
      <c r="S14" s="2">
        <f>R404/(1+'On-Road Fac.'!$D$5)</f>
        <v>643.37906895714036</v>
      </c>
      <c r="T14" s="2">
        <f>S404/(1+'On-Road Fac.'!$D$5)</f>
        <v>640.41681864806651</v>
      </c>
      <c r="U14" s="2">
        <f>T404/(1+'On-Road Fac.'!$D$5)</f>
        <v>618.79182575597702</v>
      </c>
      <c r="V14" s="2">
        <f>U404/(1+'On-Road Fac.'!$D$5)</f>
        <v>647.43698974812582</v>
      </c>
      <c r="W14" s="2">
        <f>V404/(1+'On-Road Fac.'!$D$5)</f>
        <v>637.79128837026428</v>
      </c>
      <c r="X14" s="2">
        <f>W404/(1+'On-Road Fac.'!$D$5)</f>
        <v>638.90122612710081</v>
      </c>
      <c r="Y14" s="2">
        <f>X404/(1+'On-Road Fac.'!$D$5)</f>
        <v>655.52562122766005</v>
      </c>
      <c r="Z14" s="2">
        <f>Y404/(1+'On-Road Fac.'!$D$5)</f>
        <v>642.78551006016028</v>
      </c>
      <c r="AA14" s="2">
        <f>Z404/(1+'On-Road Fac.'!$D$5)</f>
        <v>642.11242532421966</v>
      </c>
      <c r="AB14" s="2">
        <f>AA404/(1+'On-Road Fac.'!$D$5)</f>
        <v>637.02485587260264</v>
      </c>
      <c r="AC14" s="2">
        <f>AB404/(1+'On-Road Fac.'!$D$5)</f>
        <v>643.76335765913041</v>
      </c>
      <c r="AD14" s="2">
        <f>AC404/(1+'On-Road Fac.'!$D$5)</f>
        <v>646.65762676027111</v>
      </c>
      <c r="AE14" s="2">
        <f>AD404/(1+'On-Road Fac.'!$D$5)</f>
        <v>641.21298281229565</v>
      </c>
    </row>
    <row r="15" spans="2:31">
      <c r="B15" t="str">
        <f>Processes!D18</f>
        <v>T-CAR-PHEV_DST00</v>
      </c>
      <c r="C15" t="s">
        <v>896</v>
      </c>
      <c r="D15" t="s">
        <v>790</v>
      </c>
      <c r="E15" s="2">
        <f>D452/(1+'On-Road Fac.'!$D$5)</f>
        <v>632.48823783251896</v>
      </c>
      <c r="F15" s="2">
        <f>E452/(1+'On-Road Fac.'!$D$5)</f>
        <v>346.42546952946822</v>
      </c>
      <c r="G15" s="2">
        <f>F452/(1+'On-Road Fac.'!$D$5)</f>
        <v>637.34452209736469</v>
      </c>
      <c r="H15" s="2">
        <f>G452/(1+'On-Road Fac.'!$D$5)</f>
        <v>628.72419405943629</v>
      </c>
      <c r="I15" s="2">
        <f>H452/(1+'On-Road Fac.'!$D$5)</f>
        <v>346.42546952946822</v>
      </c>
      <c r="J15" s="2">
        <f>I452/(1+'On-Road Fac.'!$D$5)</f>
        <v>346.42546952946822</v>
      </c>
      <c r="K15" s="2">
        <f>J452/(1+'On-Road Fac.'!$D$5)</f>
        <v>346.42546952946822</v>
      </c>
      <c r="L15" s="2">
        <f>K452/(1+'On-Road Fac.'!$D$5)</f>
        <v>346.42546952946822</v>
      </c>
      <c r="M15" s="2">
        <f>L452/(1+'On-Road Fac.'!$D$5)</f>
        <v>346.42546952946822</v>
      </c>
      <c r="N15" s="2">
        <f>M452/(1+'On-Road Fac.'!$D$5)</f>
        <v>346.42546952946822</v>
      </c>
      <c r="O15" s="2">
        <f>N452/(1+'On-Road Fac.'!$D$5)</f>
        <v>346.42546952946822</v>
      </c>
      <c r="P15" s="2">
        <f>O452/(1+'On-Road Fac.'!$D$5)</f>
        <v>346.42546952946822</v>
      </c>
      <c r="Q15" s="2">
        <f>P452/(1+'On-Road Fac.'!$D$5)</f>
        <v>346.42546952946822</v>
      </c>
      <c r="R15" s="2">
        <f>Q452/(1+'On-Road Fac.'!$D$5)</f>
        <v>628.72419405943629</v>
      </c>
      <c r="S15" s="2">
        <f>R452/(1+'On-Road Fac.'!$D$5)</f>
        <v>628.72419405943629</v>
      </c>
      <c r="T15" s="2">
        <f>S452/(1+'On-Road Fac.'!$D$5)</f>
        <v>346.42546952946822</v>
      </c>
      <c r="U15" s="2">
        <f>T452/(1+'On-Road Fac.'!$D$5)</f>
        <v>346.42546952946822</v>
      </c>
      <c r="V15" s="2">
        <f>U452/(1+'On-Road Fac.'!$D$5)</f>
        <v>346.42546952946822</v>
      </c>
      <c r="W15" s="2">
        <f>V452/(1+'On-Road Fac.'!$D$5)</f>
        <v>346.42546952946822</v>
      </c>
      <c r="X15" s="2">
        <f>W452/(1+'On-Road Fac.'!$D$5)</f>
        <v>346.42546952946822</v>
      </c>
      <c r="Y15" s="2">
        <f>X452/(1+'On-Road Fac.'!$D$5)</f>
        <v>346.42546952946822</v>
      </c>
      <c r="Z15" s="2">
        <f>Y452/(1+'On-Road Fac.'!$D$5)</f>
        <v>346.42546952946822</v>
      </c>
      <c r="AA15" s="2">
        <f>Z452/(1+'On-Road Fac.'!$D$5)</f>
        <v>346.42546952946822</v>
      </c>
      <c r="AB15" s="2">
        <f>AA452/(1+'On-Road Fac.'!$D$5)</f>
        <v>346.42546952946822</v>
      </c>
      <c r="AC15" s="2">
        <f>AB452/(1+'On-Road Fac.'!$D$5)</f>
        <v>346.42546952946822</v>
      </c>
      <c r="AD15" s="2">
        <f>AC452/(1+'On-Road Fac.'!$D$5)</f>
        <v>346.42546952946822</v>
      </c>
      <c r="AE15" s="2">
        <f>AD452/(1+'On-Road Fac.'!$D$5)</f>
        <v>346.42546952946822</v>
      </c>
    </row>
    <row r="16" spans="2:31">
      <c r="B16" t="str">
        <f>Processes!D19</f>
        <v>T-CAR-BEV_ELC00</v>
      </c>
      <c r="C16" t="s">
        <v>896</v>
      </c>
      <c r="D16" t="s">
        <v>790</v>
      </c>
      <c r="E16" s="2">
        <f>D500/(1+'On-Road Fac.'!$D$5)</f>
        <v>1173.2287821328744</v>
      </c>
      <c r="F16" s="2">
        <f>E500/(1+'On-Road Fac.'!$D$5)</f>
        <v>1231.9897183066071</v>
      </c>
      <c r="G16" s="2">
        <f>F500/(1+'On-Road Fac.'!$D$5)</f>
        <v>1172.1267841211363</v>
      </c>
      <c r="H16" s="2">
        <f>G500/(1+'On-Road Fac.'!$D$5)</f>
        <v>1167.3428558666337</v>
      </c>
      <c r="I16" s="2">
        <f>H500/(1+'On-Road Fac.'!$D$5)</f>
        <v>1152.635929071798</v>
      </c>
      <c r="J16" s="2">
        <f>I500/(1+'On-Road Fac.'!$D$5)</f>
        <v>1140.9696847248961</v>
      </c>
      <c r="K16" s="2">
        <f>J500/(1+'On-Road Fac.'!$D$5)</f>
        <v>1204.8628877531571</v>
      </c>
      <c r="L16" s="2">
        <f>K500/(1+'On-Road Fac.'!$D$5)</f>
        <v>1167.7575539058378</v>
      </c>
      <c r="M16" s="2">
        <f>L500/(1+'On-Road Fac.'!$D$5)</f>
        <v>1170.4169455809094</v>
      </c>
      <c r="N16" s="2">
        <f>M500/(1+'On-Road Fac.'!$D$5)</f>
        <v>1237.0464868469317</v>
      </c>
      <c r="O16" s="2">
        <f>N500/(1+'On-Road Fac.'!$D$5)</f>
        <v>1156.3382533854615</v>
      </c>
      <c r="P16" s="2">
        <f>O500/(1+'On-Road Fac.'!$D$5)</f>
        <v>1162.1703795208439</v>
      </c>
      <c r="Q16" s="2">
        <f>P500/(1+'On-Road Fac.'!$D$5)</f>
        <v>1169.7730450059598</v>
      </c>
      <c r="R16" s="2">
        <f>Q500/(1+'On-Road Fac.'!$D$5)</f>
        <v>1179.4477106438494</v>
      </c>
      <c r="S16" s="2">
        <f>R500/(1+'On-Road Fac.'!$D$5)</f>
        <v>1170.2244095064209</v>
      </c>
      <c r="T16" s="2">
        <f>S500/(1+'On-Road Fac.'!$D$5)</f>
        <v>1183.142465558836</v>
      </c>
      <c r="U16" s="2">
        <f>T500/(1+'On-Road Fac.'!$D$5)</f>
        <v>1160.8780175038391</v>
      </c>
      <c r="V16" s="2">
        <f>U500/(1+'On-Road Fac.'!$D$5)</f>
        <v>1172.3683314782265</v>
      </c>
      <c r="W16" s="2">
        <f>V500/(1+'On-Road Fac.'!$D$5)</f>
        <v>1184.1302265409483</v>
      </c>
      <c r="X16" s="2">
        <f>W500/(1+'On-Road Fac.'!$D$5)</f>
        <v>1169.4047507491546</v>
      </c>
      <c r="Y16" s="2">
        <f>X500/(1+'On-Road Fac.'!$D$5)</f>
        <v>1232.5893814443834</v>
      </c>
      <c r="Z16" s="2">
        <f>Y500/(1+'On-Road Fac.'!$D$5)</f>
        <v>1141.3875927280292</v>
      </c>
      <c r="AA16" s="2">
        <f>Z500/(1+'On-Road Fac.'!$D$5)</f>
        <v>1238.1337957445817</v>
      </c>
      <c r="AB16" s="2">
        <f>AA500/(1+'On-Road Fac.'!$D$5)</f>
        <v>1237.0464868469317</v>
      </c>
      <c r="AC16" s="2">
        <f>AB500/(1+'On-Road Fac.'!$D$5)</f>
        <v>1215.9942650500634</v>
      </c>
      <c r="AD16" s="2">
        <f>AC500/(1+'On-Road Fac.'!$D$5)</f>
        <v>1217.4455715077845</v>
      </c>
      <c r="AE16" s="2">
        <f>AD500/(1+'On-Road Fac.'!$D$5)</f>
        <v>1239.1526875019642</v>
      </c>
    </row>
    <row r="17" spans="2:31">
      <c r="B17" t="str">
        <f>Processes!D21</f>
        <v>T-TAX-ICE_GSL00</v>
      </c>
      <c r="C17" t="s">
        <v>896</v>
      </c>
      <c r="D17" t="s">
        <v>790</v>
      </c>
      <c r="E17" s="2">
        <f>D548/(1+'On-Road Fac.'!$D$5)</f>
        <v>380.16954306066924</v>
      </c>
      <c r="F17" s="2">
        <f>E548/(1+'On-Road Fac.'!$D$5)</f>
        <v>354.39129483975012</v>
      </c>
      <c r="G17" s="2">
        <f>F548/(1+'On-Road Fac.'!$D$5)</f>
        <v>382.34696617496132</v>
      </c>
      <c r="H17" s="2">
        <f>G548/(1+'On-Road Fac.'!$D$5)</f>
        <v>381.32982653224337</v>
      </c>
      <c r="I17" s="2">
        <f>H548/(1+'On-Road Fac.'!$D$5)</f>
        <v>376.94540246294929</v>
      </c>
      <c r="J17" s="2">
        <f>I548/(1+'On-Road Fac.'!$D$5)</f>
        <v>372.82795281558617</v>
      </c>
      <c r="K17" s="2">
        <f>J548/(1+'On-Road Fac.'!$D$5)</f>
        <v>341.72330074803892</v>
      </c>
      <c r="L17" s="2">
        <f>K548/(1+'On-Road Fac.'!$D$5)</f>
        <v>373.8597704583849</v>
      </c>
      <c r="M17" s="2">
        <f>L548/(1+'On-Road Fac.'!$D$5)</f>
        <v>374.19559882079403</v>
      </c>
      <c r="N17" s="2">
        <f>M548/(1+'On-Road Fac.'!$D$5)</f>
        <v>359.56111767483395</v>
      </c>
      <c r="O17" s="2">
        <f>N548/(1+'On-Road Fac.'!$D$5)</f>
        <v>379.85109854399502</v>
      </c>
      <c r="P17" s="2">
        <f>O548/(1+'On-Road Fac.'!$D$5)</f>
        <v>373.0939723825345</v>
      </c>
      <c r="Q17" s="2">
        <f>P548/(1+'On-Road Fac.'!$D$5)</f>
        <v>371.43444192771227</v>
      </c>
      <c r="R17" s="2">
        <f>Q548/(1+'On-Road Fac.'!$D$5)</f>
        <v>379.76795320515214</v>
      </c>
      <c r="S17" s="2">
        <f>R548/(1+'On-Road Fac.'!$D$5)</f>
        <v>380.51101807819578</v>
      </c>
      <c r="T17" s="2">
        <f>S548/(1+'On-Road Fac.'!$D$5)</f>
        <v>370.77389710675283</v>
      </c>
      <c r="U17" s="2">
        <f>T548/(1+'On-Road Fac.'!$D$5)</f>
        <v>382.10034899870089</v>
      </c>
      <c r="V17" s="2">
        <f>U548/(1+'On-Road Fac.'!$D$5)</f>
        <v>372.36336506218777</v>
      </c>
      <c r="W17" s="2">
        <f>V548/(1+'On-Road Fac.'!$D$5)</f>
        <v>377.71387808713621</v>
      </c>
      <c r="X17" s="2">
        <f>W548/(1+'On-Road Fac.'!$D$5)</f>
        <v>373.24912875233292</v>
      </c>
      <c r="Y17" s="2">
        <f>X548/(1+'On-Road Fac.'!$D$5)</f>
        <v>380.16954306066924</v>
      </c>
      <c r="Z17" s="2">
        <f>Y548/(1+'On-Road Fac.'!$D$5)</f>
        <v>375.80164735485658</v>
      </c>
      <c r="AA17" s="2">
        <f>Z548/(1+'On-Road Fac.'!$D$5)</f>
        <v>349.92700068852537</v>
      </c>
      <c r="AB17" s="2">
        <f>AA548/(1+'On-Road Fac.'!$D$5)</f>
        <v>378.06019419476127</v>
      </c>
      <c r="AC17" s="2">
        <f>AB548/(1+'On-Road Fac.'!$D$5)</f>
        <v>382.8020220199013</v>
      </c>
      <c r="AD17" s="2">
        <f>AC548/(1+'On-Road Fac.'!$D$5)</f>
        <v>381.17605454681097</v>
      </c>
      <c r="AE17" s="2">
        <f>AD548/(1+'On-Road Fac.'!$D$5)</f>
        <v>345.30230890443545</v>
      </c>
    </row>
    <row r="18" spans="2:31">
      <c r="B18" t="str">
        <f>Processes!D22</f>
        <v>T-TAX-ICE_DST00</v>
      </c>
      <c r="C18" t="s">
        <v>896</v>
      </c>
      <c r="D18" t="s">
        <v>790</v>
      </c>
      <c r="E18" s="2">
        <f>D596/(1+'On-Road Fac.'!$D$5)</f>
        <v>418.24523778353</v>
      </c>
      <c r="F18" s="2">
        <f>E596/(1+'On-Road Fac.'!$D$5)</f>
        <v>417.35102902840782</v>
      </c>
      <c r="G18" s="2">
        <f>F596/(1+'On-Road Fac.'!$D$5)</f>
        <v>423.84506513812613</v>
      </c>
      <c r="H18" s="2">
        <f>G596/(1+'On-Road Fac.'!$D$5)</f>
        <v>417.68252532069192</v>
      </c>
      <c r="I18" s="2">
        <f>H596/(1+'On-Road Fac.'!$D$5)</f>
        <v>420.89355195341642</v>
      </c>
      <c r="J18" s="2">
        <f>I596/(1+'On-Road Fac.'!$D$5)</f>
        <v>424.70572798360223</v>
      </c>
      <c r="K18" s="2">
        <f>J596/(1+'On-Road Fac.'!$D$5)</f>
        <v>411.13831796824093</v>
      </c>
      <c r="L18" s="2">
        <f>K596/(1+'On-Road Fac.'!$D$5)</f>
        <v>413.09356798488182</v>
      </c>
      <c r="M18" s="2">
        <f>L596/(1+'On-Road Fac.'!$D$5)</f>
        <v>417.83782712668193</v>
      </c>
      <c r="N18" s="2">
        <f>M596/(1+'On-Road Fac.'!$D$5)</f>
        <v>405.65275501685795</v>
      </c>
      <c r="O18" s="2">
        <f>N596/(1+'On-Road Fac.'!$D$5)</f>
        <v>417.6491359141682</v>
      </c>
      <c r="P18" s="2">
        <f>O596/(1+'On-Road Fac.'!$D$5)</f>
        <v>412.85986046481651</v>
      </c>
      <c r="Q18" s="2">
        <f>P596/(1+'On-Road Fac.'!$D$5)</f>
        <v>406.45262514758724</v>
      </c>
      <c r="R18" s="2">
        <f>Q596/(1+'On-Road Fac.'!$D$5)</f>
        <v>400.951154620919</v>
      </c>
      <c r="S18" s="2">
        <f>R596/(1+'On-Road Fac.'!$D$5)</f>
        <v>419.35059545813971</v>
      </c>
      <c r="T18" s="2">
        <f>S596/(1+'On-Road Fac.'!$D$5)</f>
        <v>399.96313751653258</v>
      </c>
      <c r="U18" s="2">
        <f>T596/(1+'On-Road Fac.'!$D$5)</f>
        <v>406.43018159014531</v>
      </c>
      <c r="V18" s="2">
        <f>U596/(1+'On-Road Fac.'!$D$5)</f>
        <v>402.37788409370341</v>
      </c>
      <c r="W18" s="2">
        <f>V596/(1+'On-Road Fac.'!$D$5)</f>
        <v>417.66241832180424</v>
      </c>
      <c r="X18" s="2">
        <f>W596/(1+'On-Road Fac.'!$D$5)</f>
        <v>409.81343563868722</v>
      </c>
      <c r="Y18" s="2">
        <f>X596/(1+'On-Road Fac.'!$D$5)</f>
        <v>418.24523778353</v>
      </c>
      <c r="Z18" s="2">
        <f>Y596/(1+'On-Road Fac.'!$D$5)</f>
        <v>406.90302650758213</v>
      </c>
      <c r="AA18" s="2">
        <f>Z596/(1+'On-Road Fac.'!$D$5)</f>
        <v>414.42404362056624</v>
      </c>
      <c r="AB18" s="2">
        <f>AA596/(1+'On-Road Fac.'!$D$5)</f>
        <v>416.40694133851781</v>
      </c>
      <c r="AC18" s="2">
        <f>AB596/(1+'On-Road Fac.'!$D$5)</f>
        <v>416.97454622004005</v>
      </c>
      <c r="AD18" s="2">
        <f>AC596/(1+'On-Road Fac.'!$D$5)</f>
        <v>410.50859774274483</v>
      </c>
      <c r="AE18" s="2">
        <f>AD596/(1+'On-Road Fac.'!$D$5)</f>
        <v>407.83458630990293</v>
      </c>
    </row>
    <row r="19" spans="2:31">
      <c r="B19" t="str">
        <f>Processes!D23</f>
        <v>T-TAX-HEV_GSL00</v>
      </c>
      <c r="C19" t="s">
        <v>896</v>
      </c>
      <c r="D19" t="s">
        <v>790</v>
      </c>
      <c r="E19" s="2">
        <f>D644/(1+'On-Road Fac.'!$D$5)</f>
        <v>493.2131815663169</v>
      </c>
      <c r="F19" s="2">
        <f>E644/(1+'On-Road Fac.'!$D$5)</f>
        <v>482.49903430873485</v>
      </c>
      <c r="G19" s="2">
        <f>F644/(1+'On-Road Fac.'!$D$5)</f>
        <v>493.55512564804246</v>
      </c>
      <c r="H19" s="2">
        <f>G644/(1+'On-Road Fac.'!$D$5)</f>
        <v>493.40332134817419</v>
      </c>
      <c r="I19" s="2">
        <f>H644/(1+'On-Road Fac.'!$D$5)</f>
        <v>437.01804019100189</v>
      </c>
      <c r="J19" s="2">
        <f>I644/(1+'On-Road Fac.'!$D$5)</f>
        <v>502.06759924561578</v>
      </c>
      <c r="K19" s="2">
        <f>J644/(1+'On-Road Fac.'!$D$5)</f>
        <v>493.2131815663169</v>
      </c>
      <c r="L19" s="2">
        <f>K644/(1+'On-Road Fac.'!$D$5)</f>
        <v>478.323500225185</v>
      </c>
      <c r="M19" s="2">
        <f>L644/(1+'On-Road Fac.'!$D$5)</f>
        <v>495.61891153260427</v>
      </c>
      <c r="N19" s="2">
        <f>M644/(1+'On-Road Fac.'!$D$5)</f>
        <v>492.27589454389022</v>
      </c>
      <c r="O19" s="2">
        <f>N644/(1+'On-Road Fac.'!$D$5)</f>
        <v>489.36736026616245</v>
      </c>
      <c r="P19" s="2">
        <f>O644/(1+'On-Road Fac.'!$D$5)</f>
        <v>492.27589454389022</v>
      </c>
      <c r="Q19" s="2">
        <f>P644/(1+'On-Road Fac.'!$D$5)</f>
        <v>486.2130531514332</v>
      </c>
      <c r="R19" s="2">
        <f>Q644/(1+'On-Road Fac.'!$D$5)</f>
        <v>498.74405001309862</v>
      </c>
      <c r="S19" s="2">
        <f>R644/(1+'On-Road Fac.'!$D$5)</f>
        <v>496.79778194196939</v>
      </c>
      <c r="T19" s="2">
        <f>S644/(1+'On-Road Fac.'!$D$5)</f>
        <v>513.32288625945137</v>
      </c>
      <c r="U19" s="2">
        <f>T644/(1+'On-Road Fac.'!$D$5)</f>
        <v>497.71017750157614</v>
      </c>
      <c r="V19" s="2">
        <f>U644/(1+'On-Road Fac.'!$D$5)</f>
        <v>471.5857435087018</v>
      </c>
      <c r="W19" s="2">
        <f>V644/(1+'On-Road Fac.'!$D$5)</f>
        <v>489.74013946395922</v>
      </c>
      <c r="X19" s="2">
        <f>W644/(1+'On-Road Fac.'!$D$5)</f>
        <v>472.55058340540216</v>
      </c>
      <c r="Y19" s="2">
        <f>X644/(1+'On-Road Fac.'!$D$5)</f>
        <v>493.2131815663169</v>
      </c>
      <c r="Z19" s="2">
        <f>Y644/(1+'On-Road Fac.'!$D$5)</f>
        <v>503.70782216956576</v>
      </c>
      <c r="AA19" s="2">
        <f>Z644/(1+'On-Road Fac.'!$D$5)</f>
        <v>493.2131815663169</v>
      </c>
      <c r="AB19" s="2">
        <f>AA644/(1+'On-Road Fac.'!$D$5)</f>
        <v>491.00474309922117</v>
      </c>
      <c r="AC19" s="2">
        <f>AB644/(1+'On-Road Fac.'!$D$5)</f>
        <v>588.85089886923743</v>
      </c>
      <c r="AD19" s="2">
        <f>AC644/(1+'On-Road Fac.'!$D$5)</f>
        <v>492.27589454389022</v>
      </c>
      <c r="AE19" s="2">
        <f>AD644/(1+'On-Road Fac.'!$D$5)</f>
        <v>493.2131815663169</v>
      </c>
    </row>
    <row r="20" spans="2:31">
      <c r="B20" t="str">
        <f>Processes!D25</f>
        <v>T-BUS-ICE_DST00</v>
      </c>
      <c r="C20" t="s">
        <v>896</v>
      </c>
      <c r="D20" t="s">
        <v>790</v>
      </c>
      <c r="E20" s="234">
        <v>98.42</v>
      </c>
      <c r="F20" s="2">
        <f t="shared" ref="F20:F23" si="0">E20</f>
        <v>98.42</v>
      </c>
      <c r="G20" s="2">
        <f t="shared" ref="G20:AE28" si="1">F20</f>
        <v>98.42</v>
      </c>
      <c r="H20" s="2">
        <f t="shared" si="1"/>
        <v>98.42</v>
      </c>
      <c r="I20" s="2">
        <f t="shared" si="1"/>
        <v>98.42</v>
      </c>
      <c r="J20" s="2">
        <f t="shared" si="1"/>
        <v>98.42</v>
      </c>
      <c r="K20" s="2">
        <f t="shared" si="1"/>
        <v>98.42</v>
      </c>
      <c r="L20" s="2">
        <f t="shared" si="1"/>
        <v>98.42</v>
      </c>
      <c r="M20" s="2">
        <f t="shared" si="1"/>
        <v>98.42</v>
      </c>
      <c r="N20" s="2">
        <f t="shared" si="1"/>
        <v>98.42</v>
      </c>
      <c r="O20" s="2">
        <f t="shared" si="1"/>
        <v>98.42</v>
      </c>
      <c r="P20" s="2">
        <f t="shared" si="1"/>
        <v>98.42</v>
      </c>
      <c r="Q20" s="2">
        <f t="shared" si="1"/>
        <v>98.42</v>
      </c>
      <c r="R20" s="2">
        <f t="shared" si="1"/>
        <v>98.42</v>
      </c>
      <c r="S20" s="2">
        <f t="shared" si="1"/>
        <v>98.42</v>
      </c>
      <c r="T20" s="2">
        <f t="shared" si="1"/>
        <v>98.42</v>
      </c>
      <c r="U20" s="2">
        <f t="shared" si="1"/>
        <v>98.42</v>
      </c>
      <c r="V20" s="2">
        <f t="shared" si="1"/>
        <v>98.42</v>
      </c>
      <c r="W20" s="2">
        <f t="shared" si="1"/>
        <v>98.42</v>
      </c>
      <c r="X20" s="2">
        <f t="shared" si="1"/>
        <v>98.42</v>
      </c>
      <c r="Y20" s="2">
        <f t="shared" si="1"/>
        <v>98.42</v>
      </c>
      <c r="Z20" s="2">
        <f t="shared" si="1"/>
        <v>98.42</v>
      </c>
      <c r="AA20" s="2">
        <f t="shared" si="1"/>
        <v>98.42</v>
      </c>
      <c r="AB20" s="2">
        <f t="shared" si="1"/>
        <v>98.42</v>
      </c>
      <c r="AC20" s="2">
        <f t="shared" si="1"/>
        <v>98.42</v>
      </c>
      <c r="AD20" s="2">
        <f t="shared" si="1"/>
        <v>98.42</v>
      </c>
      <c r="AE20" s="2">
        <f t="shared" si="1"/>
        <v>98.42</v>
      </c>
    </row>
    <row r="21" spans="2:31">
      <c r="B21" t="str">
        <f>Processes!D27</f>
        <v>T-LPT-BEV_ELC00</v>
      </c>
      <c r="C21" t="s">
        <v>896</v>
      </c>
      <c r="D21" t="s">
        <v>790</v>
      </c>
      <c r="E21" s="234">
        <v>40.299999999999997</v>
      </c>
      <c r="F21" s="6">
        <f t="shared" si="0"/>
        <v>40.299999999999997</v>
      </c>
      <c r="G21" s="6">
        <f t="shared" si="1"/>
        <v>40.299999999999997</v>
      </c>
      <c r="H21" s="6">
        <f t="shared" si="1"/>
        <v>40.299999999999997</v>
      </c>
      <c r="I21" s="6">
        <f t="shared" si="1"/>
        <v>40.299999999999997</v>
      </c>
      <c r="J21" s="6">
        <f t="shared" si="1"/>
        <v>40.299999999999997</v>
      </c>
      <c r="K21" s="6">
        <f t="shared" si="1"/>
        <v>40.299999999999997</v>
      </c>
      <c r="L21" s="6">
        <f t="shared" si="1"/>
        <v>40.299999999999997</v>
      </c>
      <c r="M21" s="6">
        <f t="shared" si="1"/>
        <v>40.299999999999997</v>
      </c>
      <c r="N21" s="6">
        <f t="shared" si="1"/>
        <v>40.299999999999997</v>
      </c>
      <c r="O21" s="6">
        <f t="shared" si="1"/>
        <v>40.299999999999997</v>
      </c>
      <c r="P21" s="6">
        <f t="shared" si="1"/>
        <v>40.299999999999997</v>
      </c>
      <c r="Q21" s="6">
        <f t="shared" si="1"/>
        <v>40.299999999999997</v>
      </c>
      <c r="R21" s="6">
        <f t="shared" si="1"/>
        <v>40.299999999999997</v>
      </c>
      <c r="S21" s="6">
        <f t="shared" si="1"/>
        <v>40.299999999999997</v>
      </c>
      <c r="T21" s="6">
        <f t="shared" si="1"/>
        <v>40.299999999999997</v>
      </c>
      <c r="U21" s="6">
        <f t="shared" si="1"/>
        <v>40.299999999999997</v>
      </c>
      <c r="V21" s="6">
        <f t="shared" si="1"/>
        <v>40.299999999999997</v>
      </c>
      <c r="W21" s="6">
        <f t="shared" si="1"/>
        <v>40.299999999999997</v>
      </c>
      <c r="X21" s="6">
        <f t="shared" si="1"/>
        <v>40.299999999999997</v>
      </c>
      <c r="Y21" s="6">
        <f t="shared" si="1"/>
        <v>40.299999999999997</v>
      </c>
      <c r="Z21" s="6">
        <f t="shared" si="1"/>
        <v>40.299999999999997</v>
      </c>
      <c r="AA21" s="6">
        <f t="shared" si="1"/>
        <v>40.299999999999997</v>
      </c>
      <c r="AB21" s="6">
        <f t="shared" si="1"/>
        <v>40.299999999999997</v>
      </c>
      <c r="AC21" s="6">
        <f t="shared" si="1"/>
        <v>40.299999999999997</v>
      </c>
      <c r="AD21" s="6">
        <f t="shared" si="1"/>
        <v>40.299999999999997</v>
      </c>
      <c r="AE21" s="6">
        <f t="shared" si="1"/>
        <v>40.299999999999997</v>
      </c>
    </row>
    <row r="22" spans="2:31">
      <c r="B22" t="str">
        <f>Processes!D28</f>
        <v>T-HPT-BEV_ELC00</v>
      </c>
      <c r="C22" t="s">
        <v>896</v>
      </c>
      <c r="D22" t="s">
        <v>790</v>
      </c>
      <c r="E22" s="234">
        <v>40.299999999999997</v>
      </c>
      <c r="F22" s="6">
        <f t="shared" si="0"/>
        <v>40.299999999999997</v>
      </c>
      <c r="G22" s="6">
        <f t="shared" si="1"/>
        <v>40.299999999999997</v>
      </c>
      <c r="H22" s="6">
        <f t="shared" si="1"/>
        <v>40.299999999999997</v>
      </c>
      <c r="I22" s="6">
        <f t="shared" si="1"/>
        <v>40.299999999999997</v>
      </c>
      <c r="J22" s="6">
        <f t="shared" si="1"/>
        <v>40.299999999999997</v>
      </c>
      <c r="K22" s="6">
        <f t="shared" si="1"/>
        <v>40.299999999999997</v>
      </c>
      <c r="L22" s="6">
        <f t="shared" si="1"/>
        <v>40.299999999999997</v>
      </c>
      <c r="M22" s="6">
        <f t="shared" si="1"/>
        <v>40.299999999999997</v>
      </c>
      <c r="N22" s="6">
        <f t="shared" si="1"/>
        <v>40.299999999999997</v>
      </c>
      <c r="O22" s="6">
        <f t="shared" si="1"/>
        <v>40.299999999999997</v>
      </c>
      <c r="P22" s="6">
        <f t="shared" si="1"/>
        <v>40.299999999999997</v>
      </c>
      <c r="Q22" s="6">
        <f t="shared" si="1"/>
        <v>40.299999999999997</v>
      </c>
      <c r="R22" s="6">
        <f t="shared" si="1"/>
        <v>40.299999999999997</v>
      </c>
      <c r="S22" s="6">
        <f t="shared" si="1"/>
        <v>40.299999999999997</v>
      </c>
      <c r="T22" s="6">
        <f t="shared" si="1"/>
        <v>40.299999999999997</v>
      </c>
      <c r="U22" s="6">
        <f t="shared" si="1"/>
        <v>40.299999999999997</v>
      </c>
      <c r="V22" s="6">
        <f t="shared" si="1"/>
        <v>40.299999999999997</v>
      </c>
      <c r="W22" s="6">
        <f t="shared" si="1"/>
        <v>40.299999999999997</v>
      </c>
      <c r="X22" s="6">
        <f t="shared" si="1"/>
        <v>40.299999999999997</v>
      </c>
      <c r="Y22" s="6">
        <f t="shared" si="1"/>
        <v>40.299999999999997</v>
      </c>
      <c r="Z22" s="6">
        <f t="shared" si="1"/>
        <v>40.299999999999997</v>
      </c>
      <c r="AA22" s="6">
        <f t="shared" si="1"/>
        <v>40.299999999999997</v>
      </c>
      <c r="AB22" s="6">
        <f t="shared" si="1"/>
        <v>40.299999999999997</v>
      </c>
      <c r="AC22" s="6">
        <f t="shared" si="1"/>
        <v>40.299999999999997</v>
      </c>
      <c r="AD22" s="6">
        <f t="shared" si="1"/>
        <v>40.299999999999997</v>
      </c>
      <c r="AE22" s="6">
        <f t="shared" si="1"/>
        <v>40.299999999999997</v>
      </c>
    </row>
    <row r="23" spans="2:31">
      <c r="B23" t="str">
        <f>Processes!D29</f>
        <v>T-HPT-ICE_DST00</v>
      </c>
      <c r="C23" t="s">
        <v>896</v>
      </c>
      <c r="D23" t="s">
        <v>790</v>
      </c>
      <c r="E23" s="234">
        <v>13</v>
      </c>
      <c r="F23" s="6">
        <f t="shared" si="0"/>
        <v>13</v>
      </c>
      <c r="G23" s="6">
        <f t="shared" si="1"/>
        <v>13</v>
      </c>
      <c r="H23" s="6">
        <f t="shared" si="1"/>
        <v>13</v>
      </c>
      <c r="I23" s="6">
        <f t="shared" si="1"/>
        <v>13</v>
      </c>
      <c r="J23" s="6">
        <f t="shared" si="1"/>
        <v>13</v>
      </c>
      <c r="K23" s="6">
        <f t="shared" si="1"/>
        <v>13</v>
      </c>
      <c r="L23" s="6">
        <f t="shared" si="1"/>
        <v>13</v>
      </c>
      <c r="M23" s="6">
        <f t="shared" si="1"/>
        <v>13</v>
      </c>
      <c r="N23" s="6">
        <f t="shared" si="1"/>
        <v>13</v>
      </c>
      <c r="O23" s="6">
        <f t="shared" si="1"/>
        <v>13</v>
      </c>
      <c r="P23" s="6">
        <f t="shared" si="1"/>
        <v>13</v>
      </c>
      <c r="Q23" s="6">
        <f t="shared" si="1"/>
        <v>13</v>
      </c>
      <c r="R23" s="6">
        <f t="shared" si="1"/>
        <v>13</v>
      </c>
      <c r="S23" s="6">
        <f t="shared" si="1"/>
        <v>13</v>
      </c>
      <c r="T23" s="6">
        <f t="shared" si="1"/>
        <v>13</v>
      </c>
      <c r="U23" s="6">
        <f t="shared" si="1"/>
        <v>13</v>
      </c>
      <c r="V23" s="6">
        <f t="shared" si="1"/>
        <v>13</v>
      </c>
      <c r="W23" s="6">
        <f t="shared" si="1"/>
        <v>13</v>
      </c>
      <c r="X23" s="6">
        <f t="shared" si="1"/>
        <v>13</v>
      </c>
      <c r="Y23" s="6">
        <f t="shared" si="1"/>
        <v>13</v>
      </c>
      <c r="Z23" s="6">
        <f t="shared" si="1"/>
        <v>13</v>
      </c>
      <c r="AA23" s="6">
        <f t="shared" si="1"/>
        <v>13</v>
      </c>
      <c r="AB23" s="6">
        <f t="shared" si="1"/>
        <v>13</v>
      </c>
      <c r="AC23" s="6">
        <f t="shared" si="1"/>
        <v>13</v>
      </c>
      <c r="AD23" s="6">
        <f t="shared" si="1"/>
        <v>13</v>
      </c>
      <c r="AE23" s="6">
        <f t="shared" si="1"/>
        <v>13</v>
      </c>
    </row>
    <row r="24" spans="2:31">
      <c r="B24" t="str">
        <f>Processes!D32</f>
        <v>T-LGT-ICE_GSL00</v>
      </c>
      <c r="C24" t="s">
        <v>896</v>
      </c>
      <c r="D24" t="s">
        <v>790</v>
      </c>
      <c r="E24" s="408">
        <v>459.79349648696655</v>
      </c>
      <c r="F24" s="409">
        <f>E24</f>
        <v>459.79349648696655</v>
      </c>
      <c r="G24" s="409">
        <f t="shared" si="1"/>
        <v>459.79349648696655</v>
      </c>
      <c r="H24" s="409">
        <f t="shared" si="1"/>
        <v>459.79349648696655</v>
      </c>
      <c r="I24" s="409">
        <f t="shared" si="1"/>
        <v>459.79349648696655</v>
      </c>
      <c r="J24" s="409">
        <f t="shared" si="1"/>
        <v>459.79349648696655</v>
      </c>
      <c r="K24" s="409">
        <f t="shared" si="1"/>
        <v>459.79349648696655</v>
      </c>
      <c r="L24" s="409">
        <f t="shared" si="1"/>
        <v>459.79349648696655</v>
      </c>
      <c r="M24" s="409">
        <f t="shared" si="1"/>
        <v>459.79349648696655</v>
      </c>
      <c r="N24" s="409">
        <f t="shared" si="1"/>
        <v>459.79349648696655</v>
      </c>
      <c r="O24" s="409">
        <f t="shared" si="1"/>
        <v>459.79349648696655</v>
      </c>
      <c r="P24" s="409">
        <f t="shared" si="1"/>
        <v>459.79349648696655</v>
      </c>
      <c r="Q24" s="409">
        <f t="shared" si="1"/>
        <v>459.79349648696655</v>
      </c>
      <c r="R24" s="409">
        <f t="shared" si="1"/>
        <v>459.79349648696655</v>
      </c>
      <c r="S24" s="409">
        <f t="shared" si="1"/>
        <v>459.79349648696655</v>
      </c>
      <c r="T24" s="409">
        <f t="shared" si="1"/>
        <v>459.79349648696655</v>
      </c>
      <c r="U24" s="409">
        <f t="shared" si="1"/>
        <v>459.79349648696655</v>
      </c>
      <c r="V24" s="409">
        <f t="shared" si="1"/>
        <v>459.79349648696655</v>
      </c>
      <c r="W24" s="409">
        <f t="shared" si="1"/>
        <v>459.79349648696655</v>
      </c>
      <c r="X24" s="409">
        <f t="shared" si="1"/>
        <v>459.79349648696655</v>
      </c>
      <c r="Y24" s="409">
        <f t="shared" si="1"/>
        <v>459.79349648696655</v>
      </c>
      <c r="Z24" s="409">
        <f t="shared" si="1"/>
        <v>459.79349648696655</v>
      </c>
      <c r="AA24" s="409">
        <f t="shared" si="1"/>
        <v>459.79349648696655</v>
      </c>
      <c r="AB24" s="409">
        <f t="shared" si="1"/>
        <v>459.79349648696655</v>
      </c>
      <c r="AC24" s="409">
        <f t="shared" si="1"/>
        <v>459.79349648696655</v>
      </c>
      <c r="AD24" s="409">
        <f t="shared" si="1"/>
        <v>459.79349648696655</v>
      </c>
      <c r="AE24" s="409">
        <f t="shared" si="1"/>
        <v>459.79349648696655</v>
      </c>
    </row>
    <row r="25" spans="2:31">
      <c r="B25" t="str">
        <f>Processes!D33</f>
        <v>T-LGT-ICE_DST00</v>
      </c>
      <c r="C25" t="s">
        <v>896</v>
      </c>
      <c r="D25" t="s">
        <v>790</v>
      </c>
      <c r="E25" s="408">
        <v>453.2881764130438</v>
      </c>
      <c r="F25" s="409">
        <f>E25</f>
        <v>453.2881764130438</v>
      </c>
      <c r="G25" s="409">
        <f t="shared" si="1"/>
        <v>453.2881764130438</v>
      </c>
      <c r="H25" s="409">
        <f t="shared" si="1"/>
        <v>453.2881764130438</v>
      </c>
      <c r="I25" s="409">
        <f t="shared" si="1"/>
        <v>453.2881764130438</v>
      </c>
      <c r="J25" s="409">
        <f t="shared" si="1"/>
        <v>453.2881764130438</v>
      </c>
      <c r="K25" s="409">
        <f t="shared" si="1"/>
        <v>453.2881764130438</v>
      </c>
      <c r="L25" s="409">
        <f t="shared" si="1"/>
        <v>453.2881764130438</v>
      </c>
      <c r="M25" s="409">
        <f t="shared" si="1"/>
        <v>453.2881764130438</v>
      </c>
      <c r="N25" s="409">
        <f t="shared" si="1"/>
        <v>453.2881764130438</v>
      </c>
      <c r="O25" s="409">
        <f t="shared" si="1"/>
        <v>453.2881764130438</v>
      </c>
      <c r="P25" s="409">
        <f t="shared" si="1"/>
        <v>453.2881764130438</v>
      </c>
      <c r="Q25" s="409">
        <f t="shared" si="1"/>
        <v>453.2881764130438</v>
      </c>
      <c r="R25" s="409">
        <f t="shared" si="1"/>
        <v>453.2881764130438</v>
      </c>
      <c r="S25" s="409">
        <f t="shared" si="1"/>
        <v>453.2881764130438</v>
      </c>
      <c r="T25" s="409">
        <f t="shared" si="1"/>
        <v>453.2881764130438</v>
      </c>
      <c r="U25" s="409">
        <f t="shared" si="1"/>
        <v>453.2881764130438</v>
      </c>
      <c r="V25" s="409">
        <f t="shared" si="1"/>
        <v>453.2881764130438</v>
      </c>
      <c r="W25" s="409">
        <f t="shared" si="1"/>
        <v>453.2881764130438</v>
      </c>
      <c r="X25" s="409">
        <f t="shared" si="1"/>
        <v>453.2881764130438</v>
      </c>
      <c r="Y25" s="409">
        <f t="shared" si="1"/>
        <v>453.2881764130438</v>
      </c>
      <c r="Z25" s="409">
        <f t="shared" si="1"/>
        <v>453.2881764130438</v>
      </c>
      <c r="AA25" s="409">
        <f t="shared" si="1"/>
        <v>453.2881764130438</v>
      </c>
      <c r="AB25" s="409">
        <f t="shared" si="1"/>
        <v>453.2881764130438</v>
      </c>
      <c r="AC25" s="409">
        <f t="shared" si="1"/>
        <v>453.2881764130438</v>
      </c>
      <c r="AD25" s="409">
        <f t="shared" si="1"/>
        <v>453.2881764130438</v>
      </c>
      <c r="AE25" s="409">
        <f t="shared" si="1"/>
        <v>453.2881764130438</v>
      </c>
    </row>
    <row r="26" spans="2:31">
      <c r="B26" t="str">
        <f>Processes!D34</f>
        <v>T-MGT-ICE_DST00</v>
      </c>
      <c r="C26" t="s">
        <v>896</v>
      </c>
      <c r="D26" t="s">
        <v>790</v>
      </c>
      <c r="E26" s="408">
        <v>34.167945420894434</v>
      </c>
      <c r="F26" s="409">
        <f>E26</f>
        <v>34.167945420894434</v>
      </c>
      <c r="G26" s="409">
        <f t="shared" si="1"/>
        <v>34.167945420894434</v>
      </c>
      <c r="H26" s="409">
        <f t="shared" si="1"/>
        <v>34.167945420894434</v>
      </c>
      <c r="I26" s="409">
        <f t="shared" si="1"/>
        <v>34.167945420894434</v>
      </c>
      <c r="J26" s="409">
        <f t="shared" si="1"/>
        <v>34.167945420894434</v>
      </c>
      <c r="K26" s="409">
        <f t="shared" si="1"/>
        <v>34.167945420894434</v>
      </c>
      <c r="L26" s="409">
        <f t="shared" si="1"/>
        <v>34.167945420894434</v>
      </c>
      <c r="M26" s="409">
        <f t="shared" si="1"/>
        <v>34.167945420894434</v>
      </c>
      <c r="N26" s="409">
        <f t="shared" si="1"/>
        <v>34.167945420894434</v>
      </c>
      <c r="O26" s="409">
        <f t="shared" si="1"/>
        <v>34.167945420894434</v>
      </c>
      <c r="P26" s="409">
        <f t="shared" si="1"/>
        <v>34.167945420894434</v>
      </c>
      <c r="Q26" s="409">
        <f t="shared" si="1"/>
        <v>34.167945420894434</v>
      </c>
      <c r="R26" s="409">
        <f t="shared" si="1"/>
        <v>34.167945420894434</v>
      </c>
      <c r="S26" s="409">
        <f t="shared" si="1"/>
        <v>34.167945420894434</v>
      </c>
      <c r="T26" s="409">
        <f t="shared" si="1"/>
        <v>34.167945420894434</v>
      </c>
      <c r="U26" s="409">
        <f t="shared" si="1"/>
        <v>34.167945420894434</v>
      </c>
      <c r="V26" s="409">
        <f t="shared" si="1"/>
        <v>34.167945420894434</v>
      </c>
      <c r="W26" s="409">
        <f t="shared" si="1"/>
        <v>34.167945420894434</v>
      </c>
      <c r="X26" s="409">
        <f t="shared" si="1"/>
        <v>34.167945420894434</v>
      </c>
      <c r="Y26" s="409">
        <f t="shared" si="1"/>
        <v>34.167945420894434</v>
      </c>
      <c r="Z26" s="409">
        <f t="shared" si="1"/>
        <v>34.167945420894434</v>
      </c>
      <c r="AA26" s="409">
        <f t="shared" si="1"/>
        <v>34.167945420894434</v>
      </c>
      <c r="AB26" s="409">
        <f t="shared" si="1"/>
        <v>34.167945420894434</v>
      </c>
      <c r="AC26" s="409">
        <f t="shared" si="1"/>
        <v>34.167945420894434</v>
      </c>
      <c r="AD26" s="409">
        <f t="shared" si="1"/>
        <v>34.167945420894434</v>
      </c>
      <c r="AE26" s="409">
        <f t="shared" si="1"/>
        <v>34.167945420894434</v>
      </c>
    </row>
    <row r="27" spans="2:31">
      <c r="B27" t="str">
        <f>Processes!D35</f>
        <v>T-HGT-ICE_DST00</v>
      </c>
      <c r="C27" t="s">
        <v>896</v>
      </c>
      <c r="D27" t="s">
        <v>790</v>
      </c>
      <c r="E27" s="408">
        <v>31.388598389155934</v>
      </c>
      <c r="F27" s="409">
        <f t="shared" ref="F27:U28" si="2">E27</f>
        <v>31.388598389155934</v>
      </c>
      <c r="G27" s="409">
        <f t="shared" si="2"/>
        <v>31.388598389155934</v>
      </c>
      <c r="H27" s="409">
        <f t="shared" si="2"/>
        <v>31.388598389155934</v>
      </c>
      <c r="I27" s="409">
        <f t="shared" si="2"/>
        <v>31.388598389155934</v>
      </c>
      <c r="J27" s="409">
        <f t="shared" si="2"/>
        <v>31.388598389155934</v>
      </c>
      <c r="K27" s="409">
        <f t="shared" si="2"/>
        <v>31.388598389155934</v>
      </c>
      <c r="L27" s="409">
        <f t="shared" si="2"/>
        <v>31.388598389155934</v>
      </c>
      <c r="M27" s="409">
        <f t="shared" si="2"/>
        <v>31.388598389155934</v>
      </c>
      <c r="N27" s="409">
        <f t="shared" si="2"/>
        <v>31.388598389155934</v>
      </c>
      <c r="O27" s="409">
        <f t="shared" si="2"/>
        <v>31.388598389155934</v>
      </c>
      <c r="P27" s="409">
        <f t="shared" si="2"/>
        <v>31.388598389155934</v>
      </c>
      <c r="Q27" s="409">
        <f t="shared" si="2"/>
        <v>31.388598389155934</v>
      </c>
      <c r="R27" s="409">
        <f t="shared" si="2"/>
        <v>31.388598389155934</v>
      </c>
      <c r="S27" s="409">
        <f t="shared" si="2"/>
        <v>31.388598389155934</v>
      </c>
      <c r="T27" s="409">
        <f t="shared" si="2"/>
        <v>31.388598389155934</v>
      </c>
      <c r="U27" s="409">
        <f t="shared" si="2"/>
        <v>31.388598389155934</v>
      </c>
      <c r="V27" s="409">
        <f t="shared" si="1"/>
        <v>31.388598389155934</v>
      </c>
      <c r="W27" s="409">
        <f t="shared" si="1"/>
        <v>31.388598389155934</v>
      </c>
      <c r="X27" s="409">
        <f t="shared" si="1"/>
        <v>31.388598389155934</v>
      </c>
      <c r="Y27" s="409">
        <f t="shared" si="1"/>
        <v>31.388598389155934</v>
      </c>
      <c r="Z27" s="409">
        <f t="shared" si="1"/>
        <v>31.388598389155934</v>
      </c>
      <c r="AA27" s="409">
        <f t="shared" si="1"/>
        <v>31.388598389155934</v>
      </c>
      <c r="AB27" s="409">
        <f t="shared" si="1"/>
        <v>31.388598389155934</v>
      </c>
      <c r="AC27" s="409">
        <f t="shared" si="1"/>
        <v>31.388598389155934</v>
      </c>
      <c r="AD27" s="409">
        <f t="shared" si="1"/>
        <v>31.388598389155934</v>
      </c>
      <c r="AE27" s="409">
        <f t="shared" si="1"/>
        <v>31.388598389155934</v>
      </c>
    </row>
    <row r="28" spans="2:31">
      <c r="B28" t="str">
        <f>Processes!D36</f>
        <v>T-GTR-ICE_DST00</v>
      </c>
      <c r="C28" t="s">
        <v>896</v>
      </c>
      <c r="D28" t="s">
        <v>790</v>
      </c>
      <c r="E28" s="235">
        <v>4.7112409841113401</v>
      </c>
      <c r="F28" s="234">
        <f t="shared" si="2"/>
        <v>4.7112409841113401</v>
      </c>
      <c r="G28" s="234">
        <f t="shared" si="1"/>
        <v>4.7112409841113401</v>
      </c>
      <c r="H28" s="234">
        <f t="shared" si="1"/>
        <v>4.7112409841113401</v>
      </c>
      <c r="I28" s="234">
        <f t="shared" si="1"/>
        <v>4.7112409841113401</v>
      </c>
      <c r="J28" s="234">
        <f t="shared" si="1"/>
        <v>4.7112409841113401</v>
      </c>
      <c r="K28" s="234">
        <f t="shared" si="1"/>
        <v>4.7112409841113401</v>
      </c>
      <c r="L28" s="234">
        <f t="shared" si="1"/>
        <v>4.7112409841113401</v>
      </c>
      <c r="M28" s="234">
        <f t="shared" si="1"/>
        <v>4.7112409841113401</v>
      </c>
      <c r="N28" s="234">
        <f t="shared" si="1"/>
        <v>4.7112409841113401</v>
      </c>
      <c r="O28" s="234">
        <f t="shared" si="1"/>
        <v>4.7112409841113401</v>
      </c>
      <c r="P28" s="234">
        <f t="shared" si="1"/>
        <v>4.7112409841113401</v>
      </c>
      <c r="Q28" s="234">
        <f t="shared" si="1"/>
        <v>4.7112409841113401</v>
      </c>
      <c r="R28" s="234">
        <f t="shared" si="1"/>
        <v>4.7112409841113401</v>
      </c>
      <c r="S28" s="234">
        <f t="shared" si="1"/>
        <v>4.7112409841113401</v>
      </c>
      <c r="T28" s="234">
        <f t="shared" si="1"/>
        <v>4.7112409841113401</v>
      </c>
      <c r="U28" s="234">
        <f t="shared" si="1"/>
        <v>4.7112409841113401</v>
      </c>
      <c r="V28" s="234">
        <f t="shared" si="1"/>
        <v>4.7112409841113401</v>
      </c>
      <c r="W28" s="234">
        <f t="shared" si="1"/>
        <v>4.7112409841113401</v>
      </c>
      <c r="X28" s="234">
        <f t="shared" si="1"/>
        <v>4.7112409841113401</v>
      </c>
      <c r="Y28" s="234">
        <f t="shared" si="1"/>
        <v>4.7112409841113401</v>
      </c>
      <c r="Z28" s="234">
        <f t="shared" si="1"/>
        <v>4.7112409841113401</v>
      </c>
      <c r="AA28" s="234">
        <f t="shared" si="1"/>
        <v>4.7112409841113401</v>
      </c>
      <c r="AB28" s="234">
        <f t="shared" si="1"/>
        <v>4.7112409841113401</v>
      </c>
      <c r="AC28" s="234">
        <f t="shared" si="1"/>
        <v>4.7112409841113401</v>
      </c>
      <c r="AD28" s="234">
        <f t="shared" si="1"/>
        <v>4.7112409841113401</v>
      </c>
      <c r="AE28" s="234">
        <f t="shared" si="1"/>
        <v>4.7112409841113401</v>
      </c>
    </row>
    <row r="29" spans="2:31">
      <c r="B29" t="str">
        <f>Processes!D38</f>
        <v>T-TUR_CON00</v>
      </c>
      <c r="C29" t="s">
        <v>17</v>
      </c>
      <c r="D29" t="s">
        <v>790</v>
      </c>
      <c r="E29" s="2">
        <v>1</v>
      </c>
      <c r="F29" s="2">
        <v>1</v>
      </c>
      <c r="G29" s="2">
        <v>1</v>
      </c>
      <c r="H29" s="2">
        <v>1</v>
      </c>
      <c r="I29" s="2">
        <v>1</v>
      </c>
      <c r="J29" s="2">
        <v>1</v>
      </c>
      <c r="K29" s="2">
        <v>1</v>
      </c>
      <c r="L29" s="2">
        <v>1</v>
      </c>
      <c r="M29" s="2">
        <v>1</v>
      </c>
      <c r="N29" s="2">
        <v>1</v>
      </c>
      <c r="O29" s="2">
        <v>1</v>
      </c>
      <c r="P29" s="2">
        <v>1</v>
      </c>
      <c r="Q29" s="2">
        <v>1</v>
      </c>
      <c r="R29" s="2">
        <v>1</v>
      </c>
      <c r="S29" s="2">
        <v>1</v>
      </c>
      <c r="T29" s="2">
        <v>1</v>
      </c>
      <c r="U29" s="2">
        <v>1</v>
      </c>
      <c r="V29" s="2">
        <v>1</v>
      </c>
      <c r="W29" s="2">
        <v>1</v>
      </c>
      <c r="X29" s="2">
        <v>1</v>
      </c>
      <c r="Y29" s="2">
        <v>1</v>
      </c>
      <c r="Z29" s="2">
        <v>1</v>
      </c>
      <c r="AA29" s="2">
        <v>1</v>
      </c>
      <c r="AB29" s="2">
        <v>1</v>
      </c>
      <c r="AC29" s="2">
        <v>1</v>
      </c>
      <c r="AD29" s="2">
        <v>1</v>
      </c>
      <c r="AE29" s="2">
        <v>1</v>
      </c>
    </row>
    <row r="30" spans="2:31">
      <c r="B30" t="str">
        <f>Processes!D39</f>
        <v>T-NAV_CON00</v>
      </c>
      <c r="C30" t="s">
        <v>17</v>
      </c>
      <c r="D30" t="s">
        <v>790</v>
      </c>
      <c r="E30" s="2">
        <v>1</v>
      </c>
      <c r="F30" s="2">
        <v>1</v>
      </c>
      <c r="G30" s="2">
        <v>1</v>
      </c>
      <c r="H30" s="2">
        <v>1</v>
      </c>
      <c r="I30" s="2">
        <v>1</v>
      </c>
      <c r="J30" s="2">
        <v>1</v>
      </c>
      <c r="K30" s="2">
        <v>1</v>
      </c>
      <c r="L30" s="2">
        <v>1</v>
      </c>
      <c r="M30" s="2">
        <v>1</v>
      </c>
      <c r="N30" s="2">
        <v>1</v>
      </c>
      <c r="O30" s="2">
        <v>1</v>
      </c>
      <c r="P30" s="2">
        <v>1</v>
      </c>
      <c r="Q30" s="2">
        <v>1</v>
      </c>
      <c r="R30" s="2">
        <v>1</v>
      </c>
      <c r="S30" s="2">
        <v>1</v>
      </c>
      <c r="T30" s="2">
        <v>1</v>
      </c>
      <c r="U30" s="2">
        <v>1</v>
      </c>
      <c r="V30" s="2">
        <v>1</v>
      </c>
      <c r="W30" s="2">
        <v>1</v>
      </c>
      <c r="X30" s="2">
        <v>1</v>
      </c>
      <c r="Y30" s="2">
        <v>1</v>
      </c>
      <c r="Z30" s="2">
        <v>1</v>
      </c>
      <c r="AA30" s="2">
        <v>1</v>
      </c>
      <c r="AB30" s="2">
        <v>1</v>
      </c>
      <c r="AC30" s="2">
        <v>1</v>
      </c>
      <c r="AD30" s="2">
        <v>1</v>
      </c>
      <c r="AE30" s="2">
        <v>1</v>
      </c>
    </row>
    <row r="31" spans="2:31">
      <c r="B31" t="str">
        <f>Processes!D40</f>
        <v>T-OTH_CON00</v>
      </c>
      <c r="C31" t="s">
        <v>17</v>
      </c>
      <c r="D31" t="s">
        <v>790</v>
      </c>
      <c r="E31" s="2">
        <v>1</v>
      </c>
      <c r="F31" s="2">
        <v>1</v>
      </c>
      <c r="G31" s="2">
        <v>1</v>
      </c>
      <c r="H31" s="2">
        <v>1</v>
      </c>
      <c r="I31" s="2">
        <v>1</v>
      </c>
      <c r="J31" s="2">
        <v>1</v>
      </c>
      <c r="K31" s="2">
        <v>1</v>
      </c>
      <c r="L31" s="2">
        <v>1</v>
      </c>
      <c r="M31" s="2">
        <v>1</v>
      </c>
      <c r="N31" s="2">
        <v>1</v>
      </c>
      <c r="O31" s="2">
        <v>1</v>
      </c>
      <c r="P31" s="2">
        <v>1</v>
      </c>
      <c r="Q31" s="2">
        <v>1</v>
      </c>
      <c r="R31" s="2">
        <v>1</v>
      </c>
      <c r="S31" s="2">
        <v>1</v>
      </c>
      <c r="T31" s="2">
        <v>1</v>
      </c>
      <c r="U31" s="2">
        <v>1</v>
      </c>
      <c r="V31" s="2">
        <v>1</v>
      </c>
      <c r="W31" s="2">
        <v>1</v>
      </c>
      <c r="X31" s="2">
        <v>1</v>
      </c>
      <c r="Y31" s="2">
        <v>1</v>
      </c>
      <c r="Z31" s="2">
        <v>1</v>
      </c>
      <c r="AA31" s="2">
        <v>1</v>
      </c>
      <c r="AB31" s="2">
        <v>1</v>
      </c>
      <c r="AC31" s="2">
        <v>1</v>
      </c>
      <c r="AD31" s="2">
        <v>1</v>
      </c>
      <c r="AE31" s="2">
        <v>1</v>
      </c>
    </row>
    <row r="32" spans="2:31">
      <c r="B32" t="str">
        <f>Processes!D42</f>
        <v>T-AVI_DOM00</v>
      </c>
      <c r="C32" t="s">
        <v>17</v>
      </c>
      <c r="D32" t="s">
        <v>790</v>
      </c>
      <c r="E32" s="2">
        <v>1</v>
      </c>
      <c r="F32" s="2">
        <v>1</v>
      </c>
      <c r="G32" s="2">
        <v>1</v>
      </c>
      <c r="H32" s="2">
        <v>1</v>
      </c>
      <c r="I32" s="2">
        <v>1</v>
      </c>
      <c r="J32" s="2">
        <v>1</v>
      </c>
      <c r="K32" s="2">
        <v>1</v>
      </c>
      <c r="L32" s="2">
        <v>1</v>
      </c>
      <c r="M32" s="2">
        <v>1</v>
      </c>
      <c r="N32" s="2">
        <v>1</v>
      </c>
      <c r="O32" s="2">
        <v>1</v>
      </c>
      <c r="P32" s="2">
        <v>1</v>
      </c>
      <c r="Q32" s="2">
        <v>1</v>
      </c>
      <c r="R32" s="2">
        <v>1</v>
      </c>
      <c r="S32" s="2">
        <v>1</v>
      </c>
      <c r="T32" s="2">
        <v>1</v>
      </c>
      <c r="U32" s="2">
        <v>1</v>
      </c>
      <c r="V32" s="2">
        <v>1</v>
      </c>
      <c r="W32" s="2">
        <v>1</v>
      </c>
      <c r="X32" s="2">
        <v>1</v>
      </c>
      <c r="Y32" s="2">
        <v>1</v>
      </c>
      <c r="Z32" s="2">
        <v>1</v>
      </c>
      <c r="AA32" s="2">
        <v>1</v>
      </c>
      <c r="AB32" s="2">
        <v>1</v>
      </c>
      <c r="AC32" s="2">
        <v>1</v>
      </c>
      <c r="AD32" s="2">
        <v>1</v>
      </c>
      <c r="AE32" s="2">
        <v>1</v>
      </c>
    </row>
    <row r="33" spans="2:32">
      <c r="B33" s="79" t="str">
        <f>Processes!D43</f>
        <v>T-AVI_INT00</v>
      </c>
      <c r="C33" s="79" t="s">
        <v>17</v>
      </c>
      <c r="D33" s="79" t="s">
        <v>790</v>
      </c>
      <c r="E33" s="180">
        <v>1</v>
      </c>
      <c r="F33" s="180">
        <v>1</v>
      </c>
      <c r="G33" s="180">
        <v>1</v>
      </c>
      <c r="H33" s="180">
        <v>1</v>
      </c>
      <c r="I33" s="180">
        <v>1</v>
      </c>
      <c r="J33" s="180">
        <v>1</v>
      </c>
      <c r="K33" s="180">
        <v>1</v>
      </c>
      <c r="L33" s="180">
        <v>1</v>
      </c>
      <c r="M33" s="180">
        <v>1</v>
      </c>
      <c r="N33" s="180">
        <v>1</v>
      </c>
      <c r="O33" s="180">
        <v>1</v>
      </c>
      <c r="P33" s="180">
        <v>1</v>
      </c>
      <c r="Q33" s="180">
        <v>1</v>
      </c>
      <c r="R33" s="180">
        <v>1</v>
      </c>
      <c r="S33" s="180">
        <v>1</v>
      </c>
      <c r="T33" s="180">
        <v>1</v>
      </c>
      <c r="U33" s="180">
        <v>1</v>
      </c>
      <c r="V33" s="180">
        <v>1</v>
      </c>
      <c r="W33" s="180">
        <v>1</v>
      </c>
      <c r="X33" s="180">
        <v>1</v>
      </c>
      <c r="Y33" s="180">
        <v>1</v>
      </c>
      <c r="Z33" s="180">
        <v>1</v>
      </c>
      <c r="AA33" s="180">
        <v>1</v>
      </c>
      <c r="AB33" s="180">
        <v>1</v>
      </c>
      <c r="AC33" s="180">
        <v>1</v>
      </c>
      <c r="AD33" s="180">
        <v>1</v>
      </c>
      <c r="AE33" s="180">
        <v>1</v>
      </c>
    </row>
    <row r="34" spans="2:32">
      <c r="B34" t="s">
        <v>750</v>
      </c>
    </row>
    <row r="38" spans="2:32">
      <c r="D38" s="141" t="s">
        <v>75</v>
      </c>
    </row>
    <row r="39" spans="2:32" ht="15" thickBot="1">
      <c r="B39" s="35" t="s">
        <v>69</v>
      </c>
      <c r="C39" s="35" t="s">
        <v>94</v>
      </c>
      <c r="D39" s="35" t="s">
        <v>99</v>
      </c>
      <c r="E39" s="146" t="str">
        <f>E4</f>
        <v>IE</v>
      </c>
      <c r="F39" s="146" t="str">
        <f t="shared" ref="F39:AE39" si="3">F4</f>
        <v>IE-CW</v>
      </c>
      <c r="G39" s="146" t="str">
        <f t="shared" si="3"/>
        <v>IE-D</v>
      </c>
      <c r="H39" s="146" t="str">
        <f t="shared" si="3"/>
        <v>IE-KE</v>
      </c>
      <c r="I39" s="146" t="str">
        <f t="shared" si="3"/>
        <v>IE-KK</v>
      </c>
      <c r="J39" s="146" t="str">
        <f t="shared" si="3"/>
        <v>IE-LS</v>
      </c>
      <c r="K39" s="146" t="str">
        <f t="shared" si="3"/>
        <v>IE-LD</v>
      </c>
      <c r="L39" s="146" t="str">
        <f t="shared" si="3"/>
        <v>IE-LH</v>
      </c>
      <c r="M39" s="146" t="str">
        <f t="shared" si="3"/>
        <v>IE-MH</v>
      </c>
      <c r="N39" s="146" t="str">
        <f t="shared" si="3"/>
        <v>IE-OY</v>
      </c>
      <c r="O39" s="146" t="str">
        <f t="shared" si="3"/>
        <v>IE-WH</v>
      </c>
      <c r="P39" s="146" t="str">
        <f t="shared" si="3"/>
        <v>IE-WX</v>
      </c>
      <c r="Q39" s="146" t="str">
        <f t="shared" si="3"/>
        <v>IE-WW</v>
      </c>
      <c r="R39" s="146" t="str">
        <f t="shared" si="3"/>
        <v>IE-CE</v>
      </c>
      <c r="S39" s="146" t="str">
        <f t="shared" si="3"/>
        <v>IE-CO</v>
      </c>
      <c r="T39" s="146" t="str">
        <f t="shared" si="3"/>
        <v>IE-KY</v>
      </c>
      <c r="U39" s="146" t="str">
        <f t="shared" si="3"/>
        <v>IE-LK</v>
      </c>
      <c r="V39" s="146" t="str">
        <f t="shared" si="3"/>
        <v>IE-TA</v>
      </c>
      <c r="W39" s="146" t="str">
        <f t="shared" si="3"/>
        <v>IE-WD</v>
      </c>
      <c r="X39" s="146" t="str">
        <f t="shared" si="3"/>
        <v>IE-G</v>
      </c>
      <c r="Y39" s="146" t="str">
        <f t="shared" si="3"/>
        <v>IE-LM</v>
      </c>
      <c r="Z39" s="146" t="str">
        <f t="shared" si="3"/>
        <v>IE-MO</v>
      </c>
      <c r="AA39" s="146" t="str">
        <f t="shared" si="3"/>
        <v>IE-RN</v>
      </c>
      <c r="AB39" s="146" t="str">
        <f t="shared" si="3"/>
        <v>IE-SO</v>
      </c>
      <c r="AC39" s="146" t="str">
        <f t="shared" si="3"/>
        <v>IE-CN</v>
      </c>
      <c r="AD39" s="146" t="str">
        <f t="shared" si="3"/>
        <v>IE-DL</v>
      </c>
      <c r="AE39" s="146" t="str">
        <f t="shared" si="3"/>
        <v>IE-MN</v>
      </c>
    </row>
    <row r="40" spans="2:32">
      <c r="B40" t="str">
        <f t="shared" ref="B40:D40" si="4">B5</f>
        <v>T-WLK_WLK</v>
      </c>
      <c r="C40" t="s">
        <v>793</v>
      </c>
      <c r="D40" t="str">
        <f t="shared" si="4"/>
        <v>EFFICIENCY</v>
      </c>
      <c r="E40" s="32">
        <f t="shared" ref="E40:AE40" si="5">E5/1000</f>
        <v>1.5</v>
      </c>
      <c r="F40" s="32">
        <f t="shared" si="5"/>
        <v>1.5</v>
      </c>
      <c r="G40" s="32">
        <f t="shared" si="5"/>
        <v>1.5</v>
      </c>
      <c r="H40" s="32">
        <f t="shared" si="5"/>
        <v>1.5</v>
      </c>
      <c r="I40" s="32">
        <f t="shared" si="5"/>
        <v>1.5</v>
      </c>
      <c r="J40" s="32">
        <f t="shared" si="5"/>
        <v>1.5</v>
      </c>
      <c r="K40" s="32">
        <f t="shared" si="5"/>
        <v>1.5</v>
      </c>
      <c r="L40" s="32">
        <f t="shared" si="5"/>
        <v>1.5</v>
      </c>
      <c r="M40" s="32">
        <f t="shared" si="5"/>
        <v>1.5</v>
      </c>
      <c r="N40" s="32">
        <f t="shared" si="5"/>
        <v>1.5</v>
      </c>
      <c r="O40" s="32">
        <f t="shared" si="5"/>
        <v>1.5</v>
      </c>
      <c r="P40" s="32">
        <f t="shared" si="5"/>
        <v>1.5</v>
      </c>
      <c r="Q40" s="32">
        <f t="shared" si="5"/>
        <v>1.5</v>
      </c>
      <c r="R40" s="32">
        <f t="shared" si="5"/>
        <v>1.5</v>
      </c>
      <c r="S40" s="32">
        <f t="shared" si="5"/>
        <v>1.5</v>
      </c>
      <c r="T40" s="32">
        <f t="shared" si="5"/>
        <v>1.5</v>
      </c>
      <c r="U40" s="32">
        <f t="shared" si="5"/>
        <v>1.5</v>
      </c>
      <c r="V40" s="32">
        <f t="shared" si="5"/>
        <v>1.5</v>
      </c>
      <c r="W40" s="32">
        <f t="shared" si="5"/>
        <v>1.5</v>
      </c>
      <c r="X40" s="32">
        <f t="shared" si="5"/>
        <v>1.5</v>
      </c>
      <c r="Y40" s="32">
        <f t="shared" si="5"/>
        <v>1.5</v>
      </c>
      <c r="Z40" s="32">
        <f t="shared" si="5"/>
        <v>1.5</v>
      </c>
      <c r="AA40" s="32">
        <f t="shared" si="5"/>
        <v>1.5</v>
      </c>
      <c r="AB40" s="32">
        <f t="shared" si="5"/>
        <v>1.5</v>
      </c>
      <c r="AC40" s="32">
        <f t="shared" si="5"/>
        <v>1.5</v>
      </c>
      <c r="AD40" s="32">
        <f t="shared" si="5"/>
        <v>1.5</v>
      </c>
      <c r="AE40" s="32">
        <f t="shared" si="5"/>
        <v>1.5</v>
      </c>
      <c r="AF40" s="10"/>
    </row>
    <row r="41" spans="2:32">
      <c r="B41" t="str">
        <f t="shared" ref="B41:D41" si="6">B6</f>
        <v>T-CYC_CYC</v>
      </c>
      <c r="C41" t="s">
        <v>793</v>
      </c>
      <c r="D41" t="str">
        <f t="shared" si="6"/>
        <v>EFFICIENCY</v>
      </c>
      <c r="E41" s="32">
        <f t="shared" ref="E41:AE41" si="7">E6/1000</f>
        <v>1.5</v>
      </c>
      <c r="F41" s="32">
        <f t="shared" si="7"/>
        <v>1.5</v>
      </c>
      <c r="G41" s="32">
        <f t="shared" si="7"/>
        <v>1.5</v>
      </c>
      <c r="H41" s="32">
        <f t="shared" si="7"/>
        <v>1.5</v>
      </c>
      <c r="I41" s="32">
        <f t="shared" si="7"/>
        <v>1.5</v>
      </c>
      <c r="J41" s="32">
        <f t="shared" si="7"/>
        <v>1.5</v>
      </c>
      <c r="K41" s="32">
        <f t="shared" si="7"/>
        <v>1.5</v>
      </c>
      <c r="L41" s="32">
        <f t="shared" si="7"/>
        <v>1.5</v>
      </c>
      <c r="M41" s="32">
        <f t="shared" si="7"/>
        <v>1.5</v>
      </c>
      <c r="N41" s="32">
        <f t="shared" si="7"/>
        <v>1.5</v>
      </c>
      <c r="O41" s="32">
        <f t="shared" si="7"/>
        <v>1.5</v>
      </c>
      <c r="P41" s="32">
        <f t="shared" si="7"/>
        <v>1.5</v>
      </c>
      <c r="Q41" s="32">
        <f t="shared" si="7"/>
        <v>1.5</v>
      </c>
      <c r="R41" s="32">
        <f t="shared" si="7"/>
        <v>1.5</v>
      </c>
      <c r="S41" s="32">
        <f t="shared" si="7"/>
        <v>1.5</v>
      </c>
      <c r="T41" s="32">
        <f t="shared" si="7"/>
        <v>1.5</v>
      </c>
      <c r="U41" s="32">
        <f t="shared" si="7"/>
        <v>1.5</v>
      </c>
      <c r="V41" s="32">
        <f t="shared" si="7"/>
        <v>1.5</v>
      </c>
      <c r="W41" s="32">
        <f t="shared" si="7"/>
        <v>1.5</v>
      </c>
      <c r="X41" s="32">
        <f t="shared" si="7"/>
        <v>1.5</v>
      </c>
      <c r="Y41" s="32">
        <f t="shared" si="7"/>
        <v>1.5</v>
      </c>
      <c r="Z41" s="32">
        <f t="shared" si="7"/>
        <v>1.5</v>
      </c>
      <c r="AA41" s="32">
        <f t="shared" si="7"/>
        <v>1.5</v>
      </c>
      <c r="AB41" s="32">
        <f t="shared" si="7"/>
        <v>1.5</v>
      </c>
      <c r="AC41" s="32">
        <f t="shared" si="7"/>
        <v>1.5</v>
      </c>
      <c r="AD41" s="32">
        <f t="shared" si="7"/>
        <v>1.5</v>
      </c>
      <c r="AE41" s="32">
        <f t="shared" si="7"/>
        <v>1.5</v>
      </c>
      <c r="AF41" s="10"/>
    </row>
    <row r="42" spans="2:32">
      <c r="B42" t="str">
        <f t="shared" ref="B42:B59" si="8">B7</f>
        <v>T-MOT-ICE_GSL00</v>
      </c>
      <c r="C42" t="s">
        <v>793</v>
      </c>
      <c r="D42" t="str">
        <f t="shared" ref="D42:D59" si="9">D7</f>
        <v>EFFICIENCY</v>
      </c>
      <c r="E42" s="10">
        <f t="shared" ref="E42:AE42" si="10">E7/1000</f>
        <v>0.58797955123031997</v>
      </c>
      <c r="F42" s="10">
        <f t="shared" si="10"/>
        <v>0.58797955123031997</v>
      </c>
      <c r="G42" s="10">
        <f t="shared" si="10"/>
        <v>0.58797955123031997</v>
      </c>
      <c r="H42" s="10">
        <f t="shared" si="10"/>
        <v>0.58797955123031997</v>
      </c>
      <c r="I42" s="10">
        <f t="shared" si="10"/>
        <v>0.58797955123031997</v>
      </c>
      <c r="J42" s="10">
        <f t="shared" si="10"/>
        <v>0.58797955123031997</v>
      </c>
      <c r="K42" s="10">
        <f t="shared" si="10"/>
        <v>0.58797955123031997</v>
      </c>
      <c r="L42" s="10">
        <f t="shared" si="10"/>
        <v>0.58797955123031997</v>
      </c>
      <c r="M42" s="10">
        <f t="shared" si="10"/>
        <v>0.58797955123031997</v>
      </c>
      <c r="N42" s="10">
        <f t="shared" si="10"/>
        <v>0.58797955123031997</v>
      </c>
      <c r="O42" s="10">
        <f t="shared" si="10"/>
        <v>0.58797955123031997</v>
      </c>
      <c r="P42" s="10">
        <f t="shared" si="10"/>
        <v>0.58797955123031997</v>
      </c>
      <c r="Q42" s="10">
        <f t="shared" si="10"/>
        <v>0.58797955123031997</v>
      </c>
      <c r="R42" s="10">
        <f t="shared" si="10"/>
        <v>0.58797955123031997</v>
      </c>
      <c r="S42" s="10">
        <f t="shared" si="10"/>
        <v>0.58797955123031997</v>
      </c>
      <c r="T42" s="10">
        <f t="shared" si="10"/>
        <v>0.58797955123031997</v>
      </c>
      <c r="U42" s="10">
        <f t="shared" si="10"/>
        <v>0.58797955123031997</v>
      </c>
      <c r="V42" s="10">
        <f t="shared" si="10"/>
        <v>0.58797955123031997</v>
      </c>
      <c r="W42" s="10">
        <f t="shared" si="10"/>
        <v>0.58797955123031997</v>
      </c>
      <c r="X42" s="10">
        <f t="shared" si="10"/>
        <v>0.58797955123031997</v>
      </c>
      <c r="Y42" s="10">
        <f t="shared" si="10"/>
        <v>0.58797955123031997</v>
      </c>
      <c r="Z42" s="10">
        <f t="shared" si="10"/>
        <v>0.58797955123031997</v>
      </c>
      <c r="AA42" s="10">
        <f t="shared" si="10"/>
        <v>0.58797955123031997</v>
      </c>
      <c r="AB42" s="10">
        <f t="shared" si="10"/>
        <v>0.58797955123031997</v>
      </c>
      <c r="AC42" s="10">
        <f t="shared" si="10"/>
        <v>0.58797955123031997</v>
      </c>
      <c r="AD42" s="10">
        <f t="shared" si="10"/>
        <v>0.58797955123031997</v>
      </c>
      <c r="AE42" s="10">
        <f t="shared" si="10"/>
        <v>0.58797955123031997</v>
      </c>
      <c r="AF42" s="10"/>
    </row>
    <row r="43" spans="2:32">
      <c r="B43" t="str">
        <f t="shared" si="8"/>
        <v>T-CAR-ICE_GSL00</v>
      </c>
      <c r="C43" t="s">
        <v>793</v>
      </c>
      <c r="D43" t="str">
        <f t="shared" si="9"/>
        <v>EFFICIENCY</v>
      </c>
      <c r="E43" s="10">
        <f t="shared" ref="E43:AE43" si="11">E8/1000</f>
        <v>0.43350426001298203</v>
      </c>
      <c r="F43" s="10">
        <f t="shared" si="11"/>
        <v>0.434103378743673</v>
      </c>
      <c r="G43" s="10">
        <f t="shared" si="11"/>
        <v>0.43227719266740483</v>
      </c>
      <c r="H43" s="10">
        <f t="shared" si="11"/>
        <v>0.43411833683379736</v>
      </c>
      <c r="I43" s="10">
        <f t="shared" si="11"/>
        <v>0.43517270356063503</v>
      </c>
      <c r="J43" s="10">
        <f t="shared" si="11"/>
        <v>0.43445389250962002</v>
      </c>
      <c r="K43" s="10">
        <f t="shared" si="11"/>
        <v>0.43467644908357606</v>
      </c>
      <c r="L43" s="10">
        <f t="shared" si="11"/>
        <v>0.43749003518417995</v>
      </c>
      <c r="M43" s="10">
        <f t="shared" si="11"/>
        <v>0.43352135711277989</v>
      </c>
      <c r="N43" s="10">
        <f t="shared" si="11"/>
        <v>0.43500242399129169</v>
      </c>
      <c r="O43" s="10">
        <f t="shared" si="11"/>
        <v>0.43488447974243721</v>
      </c>
      <c r="P43" s="10">
        <f t="shared" si="11"/>
        <v>0.43568939275988378</v>
      </c>
      <c r="Q43" s="10">
        <f t="shared" si="11"/>
        <v>0.43297476525754042</v>
      </c>
      <c r="R43" s="10">
        <f t="shared" si="11"/>
        <v>0.43301786668250325</v>
      </c>
      <c r="S43" s="10">
        <f t="shared" si="11"/>
        <v>0.43389154353764064</v>
      </c>
      <c r="T43" s="10">
        <f t="shared" si="11"/>
        <v>0.43242601757040472</v>
      </c>
      <c r="U43" s="10">
        <f t="shared" si="11"/>
        <v>0.43361869842810707</v>
      </c>
      <c r="V43" s="10">
        <f t="shared" si="11"/>
        <v>0.43408597485062617</v>
      </c>
      <c r="W43" s="10">
        <f t="shared" si="11"/>
        <v>0.43601919270515066</v>
      </c>
      <c r="X43" s="10">
        <f t="shared" si="11"/>
        <v>0.43191206997355969</v>
      </c>
      <c r="Y43" s="10">
        <f t="shared" si="11"/>
        <v>0.43497766905148755</v>
      </c>
      <c r="Z43" s="10">
        <f t="shared" si="11"/>
        <v>0.43281008057700499</v>
      </c>
      <c r="AA43" s="10">
        <f t="shared" si="11"/>
        <v>0.4385697415872985</v>
      </c>
      <c r="AB43" s="10">
        <f t="shared" si="11"/>
        <v>0.43454244488905924</v>
      </c>
      <c r="AC43" s="10">
        <f t="shared" si="11"/>
        <v>0.43452270444585378</v>
      </c>
      <c r="AD43" s="10">
        <f t="shared" si="11"/>
        <v>0.43447832557719773</v>
      </c>
      <c r="AE43" s="10">
        <f t="shared" si="11"/>
        <v>0.43429321212463018</v>
      </c>
      <c r="AF43" s="10"/>
    </row>
    <row r="44" spans="2:32">
      <c r="B44" t="str">
        <f t="shared" si="8"/>
        <v>T-CAR-ICE_DST00</v>
      </c>
      <c r="C44" t="s">
        <v>793</v>
      </c>
      <c r="D44" t="str">
        <f t="shared" si="9"/>
        <v>EFFICIENCY</v>
      </c>
      <c r="E44" s="10">
        <f>E9/1000</f>
        <v>0.40118080181954258</v>
      </c>
      <c r="F44" s="10">
        <f t="shared" ref="F44:AE44" si="12">F9/1000</f>
        <v>0.40154965651392543</v>
      </c>
      <c r="G44" s="10">
        <f t="shared" si="12"/>
        <v>0.39735475238769274</v>
      </c>
      <c r="H44" s="10">
        <f t="shared" si="12"/>
        <v>0.40080411823888068</v>
      </c>
      <c r="I44" s="10">
        <f t="shared" si="12"/>
        <v>0.40319075764172974</v>
      </c>
      <c r="J44" s="10">
        <f t="shared" si="12"/>
        <v>0.40260399905298117</v>
      </c>
      <c r="K44" s="10">
        <f t="shared" si="12"/>
        <v>0.39942461167325954</v>
      </c>
      <c r="L44" s="10">
        <f t="shared" si="12"/>
        <v>0.40422747158559491</v>
      </c>
      <c r="M44" s="10">
        <f t="shared" si="12"/>
        <v>0.40103527290750846</v>
      </c>
      <c r="N44" s="10">
        <f t="shared" si="12"/>
        <v>0.40401897313768681</v>
      </c>
      <c r="O44" s="10">
        <f t="shared" si="12"/>
        <v>0.40225828612575443</v>
      </c>
      <c r="P44" s="10">
        <f t="shared" si="12"/>
        <v>0.40383255193088125</v>
      </c>
      <c r="Q44" s="10">
        <f t="shared" si="12"/>
        <v>0.3986734779729888</v>
      </c>
      <c r="R44" s="10">
        <f t="shared" si="12"/>
        <v>0.40391188169855508</v>
      </c>
      <c r="S44" s="10">
        <f t="shared" si="12"/>
        <v>0.40304120341634436</v>
      </c>
      <c r="T44" s="10">
        <f t="shared" si="12"/>
        <v>0.40228538843263262</v>
      </c>
      <c r="U44" s="10">
        <f t="shared" si="12"/>
        <v>0.4029334560745364</v>
      </c>
      <c r="V44" s="10">
        <f t="shared" si="12"/>
        <v>0.40232307368081305</v>
      </c>
      <c r="W44" s="10">
        <f t="shared" si="12"/>
        <v>0.40331353682072157</v>
      </c>
      <c r="X44" s="10">
        <f t="shared" si="12"/>
        <v>0.39997521117967405</v>
      </c>
      <c r="Y44" s="10">
        <f t="shared" si="12"/>
        <v>0.40097659736729863</v>
      </c>
      <c r="Z44" s="10">
        <f t="shared" si="12"/>
        <v>0.40036046247620677</v>
      </c>
      <c r="AA44" s="10">
        <f t="shared" si="12"/>
        <v>0.40507051032455094</v>
      </c>
      <c r="AB44" s="10">
        <f t="shared" si="12"/>
        <v>0.400706090168236</v>
      </c>
      <c r="AC44" s="10">
        <f t="shared" si="12"/>
        <v>0.40232034855908855</v>
      </c>
      <c r="AD44" s="10">
        <f t="shared" si="12"/>
        <v>0.40287904937646452</v>
      </c>
      <c r="AE44" s="10">
        <f t="shared" si="12"/>
        <v>0.40063387925487814</v>
      </c>
    </row>
    <row r="45" spans="2:32">
      <c r="B45" t="str">
        <f t="shared" si="8"/>
        <v>T-CAR-ICE_DF00</v>
      </c>
      <c r="C45" t="s">
        <v>793</v>
      </c>
      <c r="D45" t="str">
        <f t="shared" si="9"/>
        <v>EFFICIENCY</v>
      </c>
      <c r="E45" s="10">
        <f t="shared" ref="E45:AE45" si="13">E10/1000</f>
        <v>0.34642546952946823</v>
      </c>
      <c r="F45" s="10">
        <f t="shared" si="13"/>
        <v>0.34642546952946823</v>
      </c>
      <c r="G45" s="10">
        <f t="shared" si="13"/>
        <v>0.35692116208134139</v>
      </c>
      <c r="H45" s="10">
        <f t="shared" si="13"/>
        <v>0.34642546952946823</v>
      </c>
      <c r="I45" s="10">
        <f t="shared" si="13"/>
        <v>0.34642546952946823</v>
      </c>
      <c r="J45" s="10">
        <f t="shared" si="13"/>
        <v>0.34642546952946823</v>
      </c>
      <c r="K45" s="10">
        <f t="shared" si="13"/>
        <v>0.31362300938365739</v>
      </c>
      <c r="L45" s="10">
        <f t="shared" si="13"/>
        <v>0.34642546952946823</v>
      </c>
      <c r="M45" s="10">
        <f t="shared" si="13"/>
        <v>0.31632466737464499</v>
      </c>
      <c r="N45" s="10">
        <f t="shared" si="13"/>
        <v>0.32831515728369326</v>
      </c>
      <c r="O45" s="10">
        <f t="shared" si="13"/>
        <v>0.34642546952946823</v>
      </c>
      <c r="P45" s="10">
        <f t="shared" si="13"/>
        <v>0.30683097781910518</v>
      </c>
      <c r="Q45" s="10">
        <f t="shared" si="13"/>
        <v>0.36482558929179398</v>
      </c>
      <c r="R45" s="10">
        <f t="shared" si="13"/>
        <v>0.34642546952946823</v>
      </c>
      <c r="S45" s="10">
        <f t="shared" si="13"/>
        <v>0.33783519026083708</v>
      </c>
      <c r="T45" s="10">
        <f t="shared" si="13"/>
        <v>0.35424735781365807</v>
      </c>
      <c r="U45" s="10">
        <f t="shared" si="13"/>
        <v>0.35662771663978871</v>
      </c>
      <c r="V45" s="10">
        <f t="shared" si="13"/>
        <v>0.34642546952946823</v>
      </c>
      <c r="W45" s="10">
        <f t="shared" si="13"/>
        <v>0.34642546952946823</v>
      </c>
      <c r="X45" s="10">
        <f t="shared" si="13"/>
        <v>0.34512014220119158</v>
      </c>
      <c r="Y45" s="10">
        <f t="shared" si="13"/>
        <v>0.34642546952946823</v>
      </c>
      <c r="Z45" s="10">
        <f t="shared" si="13"/>
        <v>0.34642546952946823</v>
      </c>
      <c r="AA45" s="10">
        <f t="shared" si="13"/>
        <v>0.34642546952946823</v>
      </c>
      <c r="AB45" s="10">
        <f t="shared" si="13"/>
        <v>0.34642546952946823</v>
      </c>
      <c r="AC45" s="10">
        <f t="shared" si="13"/>
        <v>0.34642546952946823</v>
      </c>
      <c r="AD45" s="10">
        <f t="shared" si="13"/>
        <v>0.35374970289794538</v>
      </c>
      <c r="AE45" s="10">
        <f t="shared" si="13"/>
        <v>0.34642546952946823</v>
      </c>
    </row>
    <row r="46" spans="2:32">
      <c r="B46" t="str">
        <f t="shared" si="8"/>
        <v>T-CAR-ICE_E8500</v>
      </c>
      <c r="C46" t="s">
        <v>793</v>
      </c>
      <c r="D46" t="str">
        <f t="shared" si="9"/>
        <v>EFFICIENCY</v>
      </c>
      <c r="E46" s="10">
        <f t="shared" ref="E46:AE46" si="14">E11/1000</f>
        <v>0.41496671483785497</v>
      </c>
      <c r="F46" s="10">
        <f t="shared" si="14"/>
        <v>0.42011336576060238</v>
      </c>
      <c r="G46" s="10">
        <f t="shared" si="14"/>
        <v>0.40991964243223505</v>
      </c>
      <c r="H46" s="10">
        <f t="shared" si="14"/>
        <v>0.42096104427040676</v>
      </c>
      <c r="I46" s="10">
        <f t="shared" si="14"/>
        <v>0.41947774256432696</v>
      </c>
      <c r="J46" s="10">
        <f t="shared" si="14"/>
        <v>0.41759928366979066</v>
      </c>
      <c r="K46" s="10">
        <f t="shared" si="14"/>
        <v>0.41606107672777193</v>
      </c>
      <c r="L46" s="10">
        <f t="shared" si="14"/>
        <v>0.4233091888569635</v>
      </c>
      <c r="M46" s="10">
        <f t="shared" si="14"/>
        <v>0.40503005956942528</v>
      </c>
      <c r="N46" s="10">
        <f t="shared" si="14"/>
        <v>0.42518816535753201</v>
      </c>
      <c r="O46" s="10">
        <f t="shared" si="14"/>
        <v>0.41732291967721652</v>
      </c>
      <c r="P46" s="10">
        <f t="shared" si="14"/>
        <v>0.42666355626596569</v>
      </c>
      <c r="Q46" s="10">
        <f t="shared" si="14"/>
        <v>0.42449102044988729</v>
      </c>
      <c r="R46" s="10">
        <f t="shared" si="14"/>
        <v>0.41770817686631073</v>
      </c>
      <c r="S46" s="10">
        <f t="shared" si="14"/>
        <v>0.41694826702277554</v>
      </c>
      <c r="T46" s="10">
        <f t="shared" si="14"/>
        <v>0.41138752524194899</v>
      </c>
      <c r="U46" s="10">
        <f t="shared" si="14"/>
        <v>0.42123501670793589</v>
      </c>
      <c r="V46" s="10">
        <f t="shared" si="14"/>
        <v>0.42549680158337799</v>
      </c>
      <c r="W46" s="10">
        <f t="shared" si="14"/>
        <v>0.41730399948813413</v>
      </c>
      <c r="X46" s="10">
        <f t="shared" si="14"/>
        <v>0.40660180735532808</v>
      </c>
      <c r="Y46" s="10">
        <f t="shared" si="14"/>
        <v>0.42016401988019131</v>
      </c>
      <c r="Z46" s="10">
        <f t="shared" si="14"/>
        <v>0.42357869590041158</v>
      </c>
      <c r="AA46" s="10">
        <f t="shared" si="14"/>
        <v>0.42149217568193487</v>
      </c>
      <c r="AB46" s="10">
        <f t="shared" si="14"/>
        <v>0.42345216507668842</v>
      </c>
      <c r="AC46" s="10">
        <f t="shared" si="14"/>
        <v>0.42619820514383483</v>
      </c>
      <c r="AD46" s="10">
        <f t="shared" si="14"/>
        <v>0.42330288486897183</v>
      </c>
      <c r="AE46" s="10">
        <f t="shared" si="14"/>
        <v>0.42230989715167727</v>
      </c>
    </row>
    <row r="47" spans="2:32">
      <c r="B47" t="str">
        <f t="shared" si="8"/>
        <v>T-CAR-HEV_GSL00</v>
      </c>
      <c r="C47" t="s">
        <v>793</v>
      </c>
      <c r="D47" t="str">
        <f t="shared" si="9"/>
        <v>EFFICIENCY</v>
      </c>
      <c r="E47" s="10">
        <f t="shared" ref="E47:AE47" si="15">E12/1000</f>
        <v>0.48730496436285103</v>
      </c>
      <c r="F47" s="10">
        <f t="shared" si="15"/>
        <v>0.48799562401870339</v>
      </c>
      <c r="G47" s="10">
        <f t="shared" si="15"/>
        <v>0.48836951409300994</v>
      </c>
      <c r="H47" s="10">
        <f t="shared" si="15"/>
        <v>0.489069110696501</v>
      </c>
      <c r="I47" s="10">
        <f t="shared" si="15"/>
        <v>0.48969692593099556</v>
      </c>
      <c r="J47" s="10">
        <f t="shared" si="15"/>
        <v>0.49302699501969932</v>
      </c>
      <c r="K47" s="10">
        <f t="shared" si="15"/>
        <v>0.49113557900150995</v>
      </c>
      <c r="L47" s="10">
        <f t="shared" si="15"/>
        <v>0.48762642343137919</v>
      </c>
      <c r="M47" s="10">
        <f t="shared" si="15"/>
        <v>0.48577879797556989</v>
      </c>
      <c r="N47" s="10">
        <f t="shared" si="15"/>
        <v>0.48895606334996855</v>
      </c>
      <c r="O47" s="10">
        <f t="shared" si="15"/>
        <v>0.49105534179848864</v>
      </c>
      <c r="P47" s="10">
        <f t="shared" si="15"/>
        <v>0.49136195028476715</v>
      </c>
      <c r="Q47" s="10">
        <f t="shared" si="15"/>
        <v>0.49235360153427887</v>
      </c>
      <c r="R47" s="10">
        <f t="shared" si="15"/>
        <v>0.49049628079603175</v>
      </c>
      <c r="S47" s="10">
        <f t="shared" si="15"/>
        <v>0.48436770438577958</v>
      </c>
      <c r="T47" s="10">
        <f t="shared" si="15"/>
        <v>0.48375049699227823</v>
      </c>
      <c r="U47" s="10">
        <f t="shared" si="15"/>
        <v>0.48946087811192784</v>
      </c>
      <c r="V47" s="10">
        <f t="shared" si="15"/>
        <v>0.49626614882546055</v>
      </c>
      <c r="W47" s="10">
        <f t="shared" si="15"/>
        <v>0.49096836957192191</v>
      </c>
      <c r="X47" s="10">
        <f t="shared" si="15"/>
        <v>0.48603086546286456</v>
      </c>
      <c r="Y47" s="10">
        <f t="shared" si="15"/>
        <v>0.49532292590930382</v>
      </c>
      <c r="Z47" s="10">
        <f t="shared" si="15"/>
        <v>0.49317287658406772</v>
      </c>
      <c r="AA47" s="10">
        <f t="shared" si="15"/>
        <v>0.49160419704579755</v>
      </c>
      <c r="AB47" s="10">
        <f t="shared" si="15"/>
        <v>0.4843269036120314</v>
      </c>
      <c r="AC47" s="10">
        <f t="shared" si="15"/>
        <v>0.48856276999543935</v>
      </c>
      <c r="AD47" s="10">
        <f t="shared" si="15"/>
        <v>0.49146288713401559</v>
      </c>
      <c r="AE47" s="10">
        <f t="shared" si="15"/>
        <v>0.48685490241710805</v>
      </c>
    </row>
    <row r="48" spans="2:32">
      <c r="B48" t="str">
        <f t="shared" si="8"/>
        <v>T-CAR-HEV_DST00</v>
      </c>
      <c r="C48" t="s">
        <v>793</v>
      </c>
      <c r="D48" t="str">
        <f t="shared" si="9"/>
        <v>EFFICIENCY</v>
      </c>
      <c r="E48" s="10">
        <f t="shared" ref="E48:AE48" si="16">E13/1000</f>
        <v>0.49255495178372916</v>
      </c>
      <c r="F48" s="10">
        <f t="shared" si="16"/>
        <v>0.4918071023089769</v>
      </c>
      <c r="G48" s="10">
        <f t="shared" si="16"/>
        <v>0.49242630105027418</v>
      </c>
      <c r="H48" s="10">
        <f t="shared" si="16"/>
        <v>0.49937028520156096</v>
      </c>
      <c r="I48" s="10">
        <f t="shared" si="16"/>
        <v>0.49491148459495182</v>
      </c>
      <c r="J48" s="10">
        <f t="shared" si="16"/>
        <v>0.49053491018804413</v>
      </c>
      <c r="K48" s="10">
        <f t="shared" si="16"/>
        <v>0.48468400082583696</v>
      </c>
      <c r="L48" s="10">
        <f t="shared" si="16"/>
        <v>0.49053491018804413</v>
      </c>
      <c r="M48" s="10">
        <f t="shared" si="16"/>
        <v>0.48714226526289262</v>
      </c>
      <c r="N48" s="10">
        <f t="shared" si="16"/>
        <v>0.48181057637269381</v>
      </c>
      <c r="O48" s="10">
        <f t="shared" si="16"/>
        <v>0.50273163071559512</v>
      </c>
      <c r="P48" s="10">
        <f t="shared" si="16"/>
        <v>0.49501664079990093</v>
      </c>
      <c r="Q48" s="10">
        <f t="shared" si="16"/>
        <v>0.48587716185167784</v>
      </c>
      <c r="R48" s="10">
        <f t="shared" si="16"/>
        <v>0.49816765610214053</v>
      </c>
      <c r="S48" s="10">
        <f t="shared" si="16"/>
        <v>0.49674252871240016</v>
      </c>
      <c r="T48" s="10">
        <f t="shared" si="16"/>
        <v>0.48613360389957605</v>
      </c>
      <c r="U48" s="10">
        <f t="shared" si="16"/>
        <v>0.48181057637269381</v>
      </c>
      <c r="V48" s="10">
        <f t="shared" si="16"/>
        <v>0.49958102043092367</v>
      </c>
      <c r="W48" s="10">
        <f t="shared" si="16"/>
        <v>0.49816765610214053</v>
      </c>
      <c r="X48" s="10">
        <f t="shared" si="16"/>
        <v>0.49031836414710633</v>
      </c>
      <c r="Y48" s="10">
        <f t="shared" si="16"/>
        <v>0.48613360389957605</v>
      </c>
      <c r="Z48" s="10">
        <f t="shared" si="16"/>
        <v>0.48181057637269381</v>
      </c>
      <c r="AA48" s="10">
        <f t="shared" si="16"/>
        <v>0.50126173443444544</v>
      </c>
      <c r="AB48" s="10">
        <f t="shared" si="16"/>
        <v>0.50623776711077051</v>
      </c>
      <c r="AC48" s="10">
        <f t="shared" si="16"/>
        <v>0.50280620391542019</v>
      </c>
      <c r="AD48" s="10">
        <f t="shared" si="16"/>
        <v>0.53018844807257171</v>
      </c>
      <c r="AE48" s="10">
        <f t="shared" si="16"/>
        <v>0.49288355138112877</v>
      </c>
    </row>
    <row r="49" spans="2:31">
      <c r="B49" t="str">
        <f t="shared" si="8"/>
        <v>T-CAR-PHEV_GSL00</v>
      </c>
      <c r="C49" t="s">
        <v>793</v>
      </c>
      <c r="D49" t="str">
        <f t="shared" si="9"/>
        <v>EFFICIENCY</v>
      </c>
      <c r="E49" s="10">
        <f t="shared" ref="E49:AE49" si="17">E14/1000</f>
        <v>0.64060354142073539</v>
      </c>
      <c r="F49" s="10">
        <f t="shared" si="17"/>
        <v>0.65405503233315865</v>
      </c>
      <c r="G49" s="10">
        <f t="shared" si="17"/>
        <v>0.64031103474022066</v>
      </c>
      <c r="H49" s="10">
        <f t="shared" si="17"/>
        <v>0.64865711401387516</v>
      </c>
      <c r="I49" s="10">
        <f t="shared" si="17"/>
        <v>0.63999952548680683</v>
      </c>
      <c r="J49" s="10">
        <f t="shared" si="17"/>
        <v>0.63765878122195851</v>
      </c>
      <c r="K49" s="10">
        <f t="shared" si="17"/>
        <v>0.64637011378027864</v>
      </c>
      <c r="L49" s="10">
        <f t="shared" si="17"/>
        <v>0.63998747171686465</v>
      </c>
      <c r="M49" s="10">
        <f t="shared" si="17"/>
        <v>0.65104243378966831</v>
      </c>
      <c r="N49" s="10">
        <f t="shared" si="17"/>
        <v>0.64051115306502049</v>
      </c>
      <c r="O49" s="10">
        <f t="shared" si="17"/>
        <v>0.64411792050716377</v>
      </c>
      <c r="P49" s="10">
        <f t="shared" si="17"/>
        <v>0.64031896921064846</v>
      </c>
      <c r="Q49" s="10">
        <f t="shared" si="17"/>
        <v>0.64394305629598136</v>
      </c>
      <c r="R49" s="10">
        <f t="shared" si="17"/>
        <v>0.64187230901974568</v>
      </c>
      <c r="S49" s="10">
        <f t="shared" si="17"/>
        <v>0.64337906895714037</v>
      </c>
      <c r="T49" s="10">
        <f t="shared" si="17"/>
        <v>0.64041681864806654</v>
      </c>
      <c r="U49" s="10">
        <f t="shared" si="17"/>
        <v>0.61879182575597702</v>
      </c>
      <c r="V49" s="10">
        <f t="shared" si="17"/>
        <v>0.6474369897481258</v>
      </c>
      <c r="W49" s="10">
        <f t="shared" si="17"/>
        <v>0.63779128837026433</v>
      </c>
      <c r="X49" s="10">
        <f t="shared" si="17"/>
        <v>0.63890122612710076</v>
      </c>
      <c r="Y49" s="10">
        <f t="shared" si="17"/>
        <v>0.65552562122766</v>
      </c>
      <c r="Z49" s="10">
        <f t="shared" si="17"/>
        <v>0.64278551006016027</v>
      </c>
      <c r="AA49" s="10">
        <f t="shared" si="17"/>
        <v>0.64211242532421964</v>
      </c>
      <c r="AB49" s="10">
        <f t="shared" si="17"/>
        <v>0.6370248558726026</v>
      </c>
      <c r="AC49" s="10">
        <f t="shared" si="17"/>
        <v>0.6437633576591304</v>
      </c>
      <c r="AD49" s="10">
        <f t="shared" si="17"/>
        <v>0.64665762676027116</v>
      </c>
      <c r="AE49" s="10">
        <f t="shared" si="17"/>
        <v>0.64121298281229566</v>
      </c>
    </row>
    <row r="50" spans="2:31">
      <c r="B50" t="str">
        <f t="shared" si="8"/>
        <v>T-CAR-PHEV_DST00</v>
      </c>
      <c r="C50" t="s">
        <v>793</v>
      </c>
      <c r="D50" t="str">
        <f t="shared" si="9"/>
        <v>EFFICIENCY</v>
      </c>
      <c r="E50" s="10">
        <f t="shared" ref="E50:AE50" si="18">E15/1000</f>
        <v>0.63248823783251895</v>
      </c>
      <c r="F50" s="10">
        <f t="shared" si="18"/>
        <v>0.34642546952946823</v>
      </c>
      <c r="G50" s="10">
        <f t="shared" si="18"/>
        <v>0.6373445220973647</v>
      </c>
      <c r="H50" s="10">
        <f t="shared" si="18"/>
        <v>0.62872419405943625</v>
      </c>
      <c r="I50" s="10">
        <f t="shared" si="18"/>
        <v>0.34642546952946823</v>
      </c>
      <c r="J50" s="10">
        <f t="shared" si="18"/>
        <v>0.34642546952946823</v>
      </c>
      <c r="K50" s="10">
        <f t="shared" si="18"/>
        <v>0.34642546952946823</v>
      </c>
      <c r="L50" s="10">
        <f t="shared" si="18"/>
        <v>0.34642546952946823</v>
      </c>
      <c r="M50" s="10">
        <f t="shared" si="18"/>
        <v>0.34642546952946823</v>
      </c>
      <c r="N50" s="10">
        <f t="shared" si="18"/>
        <v>0.34642546952946823</v>
      </c>
      <c r="O50" s="10">
        <f t="shared" si="18"/>
        <v>0.34642546952946823</v>
      </c>
      <c r="P50" s="10">
        <f t="shared" si="18"/>
        <v>0.34642546952946823</v>
      </c>
      <c r="Q50" s="10">
        <f t="shared" si="18"/>
        <v>0.34642546952946823</v>
      </c>
      <c r="R50" s="10">
        <f t="shared" si="18"/>
        <v>0.62872419405943625</v>
      </c>
      <c r="S50" s="10">
        <f t="shared" si="18"/>
        <v>0.62872419405943625</v>
      </c>
      <c r="T50" s="10">
        <f t="shared" si="18"/>
        <v>0.34642546952946823</v>
      </c>
      <c r="U50" s="10">
        <f t="shared" si="18"/>
        <v>0.34642546952946823</v>
      </c>
      <c r="V50" s="10">
        <f t="shared" si="18"/>
        <v>0.34642546952946823</v>
      </c>
      <c r="W50" s="10">
        <f t="shared" si="18"/>
        <v>0.34642546952946823</v>
      </c>
      <c r="X50" s="10">
        <f t="shared" si="18"/>
        <v>0.34642546952946823</v>
      </c>
      <c r="Y50" s="10">
        <f t="shared" si="18"/>
        <v>0.34642546952946823</v>
      </c>
      <c r="Z50" s="10">
        <f t="shared" si="18"/>
        <v>0.34642546952946823</v>
      </c>
      <c r="AA50" s="10">
        <f t="shared" si="18"/>
        <v>0.34642546952946823</v>
      </c>
      <c r="AB50" s="10">
        <f t="shared" si="18"/>
        <v>0.34642546952946823</v>
      </c>
      <c r="AC50" s="10">
        <f t="shared" si="18"/>
        <v>0.34642546952946823</v>
      </c>
      <c r="AD50" s="10">
        <f t="shared" si="18"/>
        <v>0.34642546952946823</v>
      </c>
      <c r="AE50" s="10">
        <f t="shared" si="18"/>
        <v>0.34642546952946823</v>
      </c>
    </row>
    <row r="51" spans="2:31">
      <c r="B51" t="str">
        <f t="shared" si="8"/>
        <v>T-CAR-BEV_ELC00</v>
      </c>
      <c r="C51" t="s">
        <v>793</v>
      </c>
      <c r="D51" t="str">
        <f t="shared" si="9"/>
        <v>EFFICIENCY</v>
      </c>
      <c r="E51" s="10">
        <f t="shared" ref="E51:AE51" si="19">E16/1000</f>
        <v>1.1732287821328744</v>
      </c>
      <c r="F51" s="10">
        <f t="shared" si="19"/>
        <v>1.2319897183066071</v>
      </c>
      <c r="G51" s="10">
        <f t="shared" si="19"/>
        <v>1.1721267841211362</v>
      </c>
      <c r="H51" s="10">
        <f t="shared" si="19"/>
        <v>1.1673428558666337</v>
      </c>
      <c r="I51" s="10">
        <f t="shared" si="19"/>
        <v>1.152635929071798</v>
      </c>
      <c r="J51" s="10">
        <f t="shared" si="19"/>
        <v>1.140969684724896</v>
      </c>
      <c r="K51" s="10">
        <f t="shared" si="19"/>
        <v>1.2048628877531571</v>
      </c>
      <c r="L51" s="10">
        <f t="shared" si="19"/>
        <v>1.1677575539058378</v>
      </c>
      <c r="M51" s="10">
        <f t="shared" si="19"/>
        <v>1.1704169455809095</v>
      </c>
      <c r="N51" s="10">
        <f t="shared" si="19"/>
        <v>1.2370464868469317</v>
      </c>
      <c r="O51" s="10">
        <f t="shared" si="19"/>
        <v>1.1563382533854616</v>
      </c>
      <c r="P51" s="10">
        <f t="shared" si="19"/>
        <v>1.1621703795208438</v>
      </c>
      <c r="Q51" s="10">
        <f t="shared" si="19"/>
        <v>1.1697730450059598</v>
      </c>
      <c r="R51" s="10">
        <f t="shared" si="19"/>
        <v>1.1794477106438495</v>
      </c>
      <c r="S51" s="10">
        <f t="shared" si="19"/>
        <v>1.1702244095064209</v>
      </c>
      <c r="T51" s="10">
        <f t="shared" si="19"/>
        <v>1.1831424655588361</v>
      </c>
      <c r="U51" s="10">
        <f t="shared" si="19"/>
        <v>1.1608780175038391</v>
      </c>
      <c r="V51" s="10">
        <f t="shared" si="19"/>
        <v>1.1723683314782265</v>
      </c>
      <c r="W51" s="10">
        <f t="shared" si="19"/>
        <v>1.1841302265409483</v>
      </c>
      <c r="X51" s="10">
        <f t="shared" si="19"/>
        <v>1.1694047507491545</v>
      </c>
      <c r="Y51" s="10">
        <f t="shared" si="19"/>
        <v>1.2325893814443833</v>
      </c>
      <c r="Z51" s="10">
        <f t="shared" si="19"/>
        <v>1.1413875927280293</v>
      </c>
      <c r="AA51" s="10">
        <f t="shared" si="19"/>
        <v>1.2381337957445817</v>
      </c>
      <c r="AB51" s="10">
        <f t="shared" si="19"/>
        <v>1.2370464868469317</v>
      </c>
      <c r="AC51" s="10">
        <f t="shared" si="19"/>
        <v>1.2159942650500635</v>
      </c>
      <c r="AD51" s="10">
        <f t="shared" si="19"/>
        <v>1.2174455715077845</v>
      </c>
      <c r="AE51" s="10">
        <f t="shared" si="19"/>
        <v>1.2391526875019643</v>
      </c>
    </row>
    <row r="52" spans="2:31">
      <c r="B52" t="str">
        <f t="shared" si="8"/>
        <v>T-TAX-ICE_GSL00</v>
      </c>
      <c r="C52" t="s">
        <v>793</v>
      </c>
      <c r="D52" t="str">
        <f t="shared" si="9"/>
        <v>EFFICIENCY</v>
      </c>
      <c r="E52" s="10">
        <f t="shared" ref="E52:AE52" si="20">E17/1000</f>
        <v>0.38016954306066925</v>
      </c>
      <c r="F52" s="10">
        <f t="shared" si="20"/>
        <v>0.35439129483975013</v>
      </c>
      <c r="G52" s="10">
        <f t="shared" si="20"/>
        <v>0.38234696617496133</v>
      </c>
      <c r="H52" s="10">
        <f t="shared" si="20"/>
        <v>0.3813298265322434</v>
      </c>
      <c r="I52" s="10">
        <f t="shared" si="20"/>
        <v>0.37694540246294927</v>
      </c>
      <c r="J52" s="10">
        <f t="shared" si="20"/>
        <v>0.37282795281558617</v>
      </c>
      <c r="K52" s="10">
        <f t="shared" si="20"/>
        <v>0.34172330074803892</v>
      </c>
      <c r="L52" s="10">
        <f t="shared" si="20"/>
        <v>0.37385977045838492</v>
      </c>
      <c r="M52" s="10">
        <f t="shared" si="20"/>
        <v>0.37419559882079401</v>
      </c>
      <c r="N52" s="10">
        <f t="shared" si="20"/>
        <v>0.35956111767483395</v>
      </c>
      <c r="O52" s="10">
        <f t="shared" si="20"/>
        <v>0.37985109854399501</v>
      </c>
      <c r="P52" s="10">
        <f t="shared" si="20"/>
        <v>0.3730939723825345</v>
      </c>
      <c r="Q52" s="10">
        <f t="shared" si="20"/>
        <v>0.37143444192771224</v>
      </c>
      <c r="R52" s="10">
        <f t="shared" si="20"/>
        <v>0.37976795320515216</v>
      </c>
      <c r="S52" s="10">
        <f t="shared" si="20"/>
        <v>0.38051101807819576</v>
      </c>
      <c r="T52" s="10">
        <f t="shared" si="20"/>
        <v>0.37077389710675285</v>
      </c>
      <c r="U52" s="10">
        <f t="shared" si="20"/>
        <v>0.38210034899870088</v>
      </c>
      <c r="V52" s="10">
        <f t="shared" si="20"/>
        <v>0.37236336506218776</v>
      </c>
      <c r="W52" s="10">
        <f t="shared" si="20"/>
        <v>0.37771387808713619</v>
      </c>
      <c r="X52" s="10">
        <f t="shared" si="20"/>
        <v>0.3732491287523329</v>
      </c>
      <c r="Y52" s="10">
        <f t="shared" si="20"/>
        <v>0.38016954306066925</v>
      </c>
      <c r="Z52" s="10">
        <f t="shared" si="20"/>
        <v>0.3758016473548566</v>
      </c>
      <c r="AA52" s="10">
        <f t="shared" si="20"/>
        <v>0.34992700068852539</v>
      </c>
      <c r="AB52" s="10">
        <f t="shared" si="20"/>
        <v>0.37806019419476128</v>
      </c>
      <c r="AC52" s="10">
        <f t="shared" si="20"/>
        <v>0.38280202201990132</v>
      </c>
      <c r="AD52" s="10">
        <f t="shared" si="20"/>
        <v>0.38117605454681097</v>
      </c>
      <c r="AE52" s="10">
        <f t="shared" si="20"/>
        <v>0.34530230890443547</v>
      </c>
    </row>
    <row r="53" spans="2:31">
      <c r="B53" t="str">
        <f t="shared" si="8"/>
        <v>T-TAX-ICE_DST00</v>
      </c>
      <c r="C53" t="s">
        <v>793</v>
      </c>
      <c r="D53" t="str">
        <f t="shared" si="9"/>
        <v>EFFICIENCY</v>
      </c>
      <c r="E53" s="10">
        <f t="shared" ref="E53:AE53" si="21">E18/1000</f>
        <v>0.41824523778353001</v>
      </c>
      <c r="F53" s="10">
        <f t="shared" si="21"/>
        <v>0.41735102902840782</v>
      </c>
      <c r="G53" s="10">
        <f t="shared" si="21"/>
        <v>0.42384506513812614</v>
      </c>
      <c r="H53" s="10">
        <f t="shared" si="21"/>
        <v>0.41768252532069194</v>
      </c>
      <c r="I53" s="10">
        <f t="shared" si="21"/>
        <v>0.42089355195341643</v>
      </c>
      <c r="J53" s="10">
        <f t="shared" si="21"/>
        <v>0.42470572798360223</v>
      </c>
      <c r="K53" s="10">
        <f t="shared" si="21"/>
        <v>0.41113831796824091</v>
      </c>
      <c r="L53" s="10">
        <f t="shared" si="21"/>
        <v>0.41309356798488184</v>
      </c>
      <c r="M53" s="10">
        <f t="shared" si="21"/>
        <v>0.41783782712668194</v>
      </c>
      <c r="N53" s="10">
        <f t="shared" si="21"/>
        <v>0.40565275501685794</v>
      </c>
      <c r="O53" s="10">
        <f t="shared" si="21"/>
        <v>0.41764913591416819</v>
      </c>
      <c r="P53" s="10">
        <f t="shared" si="21"/>
        <v>0.41285986046481649</v>
      </c>
      <c r="Q53" s="10">
        <f t="shared" si="21"/>
        <v>0.40645262514758723</v>
      </c>
      <c r="R53" s="10">
        <f t="shared" si="21"/>
        <v>0.40095115462091901</v>
      </c>
      <c r="S53" s="10">
        <f t="shared" si="21"/>
        <v>0.41935059545813969</v>
      </c>
      <c r="T53" s="10">
        <f t="shared" si="21"/>
        <v>0.39996313751653256</v>
      </c>
      <c r="U53" s="10">
        <f t="shared" si="21"/>
        <v>0.40643018159014532</v>
      </c>
      <c r="V53" s="10">
        <f t="shared" si="21"/>
        <v>0.4023778840937034</v>
      </c>
      <c r="W53" s="10">
        <f t="shared" si="21"/>
        <v>0.41766241832180423</v>
      </c>
      <c r="X53" s="10">
        <f t="shared" si="21"/>
        <v>0.40981343563868722</v>
      </c>
      <c r="Y53" s="10">
        <f t="shared" si="21"/>
        <v>0.41824523778353001</v>
      </c>
      <c r="Z53" s="10">
        <f t="shared" si="21"/>
        <v>0.40690302650758214</v>
      </c>
      <c r="AA53" s="10">
        <f t="shared" si="21"/>
        <v>0.41442404362056623</v>
      </c>
      <c r="AB53" s="10">
        <f t="shared" si="21"/>
        <v>0.4164069413385178</v>
      </c>
      <c r="AC53" s="10">
        <f t="shared" si="21"/>
        <v>0.41697454622004004</v>
      </c>
      <c r="AD53" s="10">
        <f t="shared" si="21"/>
        <v>0.41050859774274484</v>
      </c>
      <c r="AE53" s="10">
        <f t="shared" si="21"/>
        <v>0.40783458630990294</v>
      </c>
    </row>
    <row r="54" spans="2:31">
      <c r="B54" t="str">
        <f t="shared" si="8"/>
        <v>T-TAX-HEV_GSL00</v>
      </c>
      <c r="C54" t="s">
        <v>793</v>
      </c>
      <c r="D54" t="str">
        <f t="shared" si="9"/>
        <v>EFFICIENCY</v>
      </c>
      <c r="E54" s="10">
        <f t="shared" ref="E54:AE54" si="22">E19/1000</f>
        <v>0.49321318156631688</v>
      </c>
      <c r="F54" s="10">
        <f t="shared" si="22"/>
        <v>0.48249903430873486</v>
      </c>
      <c r="G54" s="10">
        <f t="shared" si="22"/>
        <v>0.49355512564804244</v>
      </c>
      <c r="H54" s="10">
        <f t="shared" si="22"/>
        <v>0.49340332134817416</v>
      </c>
      <c r="I54" s="10">
        <f t="shared" si="22"/>
        <v>0.43701804019100188</v>
      </c>
      <c r="J54" s="10">
        <f t="shared" si="22"/>
        <v>0.50206759924561584</v>
      </c>
      <c r="K54" s="10">
        <f t="shared" si="22"/>
        <v>0.49321318156631688</v>
      </c>
      <c r="L54" s="10">
        <f t="shared" si="22"/>
        <v>0.47832350022518499</v>
      </c>
      <c r="M54" s="10">
        <f t="shared" si="22"/>
        <v>0.49561891153260429</v>
      </c>
      <c r="N54" s="10">
        <f t="shared" si="22"/>
        <v>0.4922758945438902</v>
      </c>
      <c r="O54" s="10">
        <f t="shared" si="22"/>
        <v>0.48936736026616245</v>
      </c>
      <c r="P54" s="10">
        <f t="shared" si="22"/>
        <v>0.4922758945438902</v>
      </c>
      <c r="Q54" s="10">
        <f t="shared" si="22"/>
        <v>0.48621305315143321</v>
      </c>
      <c r="R54" s="10">
        <f t="shared" si="22"/>
        <v>0.49874405001309863</v>
      </c>
      <c r="S54" s="10">
        <f t="shared" si="22"/>
        <v>0.49679778194196939</v>
      </c>
      <c r="T54" s="10">
        <f t="shared" si="22"/>
        <v>0.51332288625945133</v>
      </c>
      <c r="U54" s="10">
        <f t="shared" si="22"/>
        <v>0.49771017750157615</v>
      </c>
      <c r="V54" s="10">
        <f t="shared" si="22"/>
        <v>0.4715857435087018</v>
      </c>
      <c r="W54" s="10">
        <f t="shared" si="22"/>
        <v>0.48974013946395922</v>
      </c>
      <c r="X54" s="10">
        <f t="shared" si="22"/>
        <v>0.47255058340540218</v>
      </c>
      <c r="Y54" s="10">
        <f t="shared" si="22"/>
        <v>0.49321318156631688</v>
      </c>
      <c r="Z54" s="10">
        <f t="shared" si="22"/>
        <v>0.50370782216956578</v>
      </c>
      <c r="AA54" s="10">
        <f t="shared" si="22"/>
        <v>0.49321318156631688</v>
      </c>
      <c r="AB54" s="10">
        <f t="shared" si="22"/>
        <v>0.49100474309922115</v>
      </c>
      <c r="AC54" s="10">
        <f t="shared" si="22"/>
        <v>0.58885089886923747</v>
      </c>
      <c r="AD54" s="10">
        <f t="shared" si="22"/>
        <v>0.4922758945438902</v>
      </c>
      <c r="AE54" s="10">
        <f t="shared" si="22"/>
        <v>0.49321318156631688</v>
      </c>
    </row>
    <row r="55" spans="2:31">
      <c r="B55" t="str">
        <f t="shared" si="8"/>
        <v>T-BUS-ICE_DST00</v>
      </c>
      <c r="C55" t="s">
        <v>793</v>
      </c>
      <c r="D55" t="str">
        <f t="shared" si="9"/>
        <v>EFFICIENCY</v>
      </c>
      <c r="E55" s="10">
        <f t="shared" ref="E55:AE55" si="23">E20/1000</f>
        <v>9.8420000000000007E-2</v>
      </c>
      <c r="F55" s="10">
        <f t="shared" si="23"/>
        <v>9.8420000000000007E-2</v>
      </c>
      <c r="G55" s="10">
        <f t="shared" si="23"/>
        <v>9.8420000000000007E-2</v>
      </c>
      <c r="H55" s="10">
        <f t="shared" si="23"/>
        <v>9.8420000000000007E-2</v>
      </c>
      <c r="I55" s="10">
        <f t="shared" si="23"/>
        <v>9.8420000000000007E-2</v>
      </c>
      <c r="J55" s="10">
        <f t="shared" si="23"/>
        <v>9.8420000000000007E-2</v>
      </c>
      <c r="K55" s="10">
        <f t="shared" si="23"/>
        <v>9.8420000000000007E-2</v>
      </c>
      <c r="L55" s="10">
        <f t="shared" si="23"/>
        <v>9.8420000000000007E-2</v>
      </c>
      <c r="M55" s="10">
        <f t="shared" si="23"/>
        <v>9.8420000000000007E-2</v>
      </c>
      <c r="N55" s="10">
        <f t="shared" si="23"/>
        <v>9.8420000000000007E-2</v>
      </c>
      <c r="O55" s="10">
        <f t="shared" si="23"/>
        <v>9.8420000000000007E-2</v>
      </c>
      <c r="P55" s="10">
        <f t="shared" si="23"/>
        <v>9.8420000000000007E-2</v>
      </c>
      <c r="Q55" s="10">
        <f t="shared" si="23"/>
        <v>9.8420000000000007E-2</v>
      </c>
      <c r="R55" s="10">
        <f t="shared" si="23"/>
        <v>9.8420000000000007E-2</v>
      </c>
      <c r="S55" s="10">
        <f t="shared" si="23"/>
        <v>9.8420000000000007E-2</v>
      </c>
      <c r="T55" s="10">
        <f t="shared" si="23"/>
        <v>9.8420000000000007E-2</v>
      </c>
      <c r="U55" s="10">
        <f t="shared" si="23"/>
        <v>9.8420000000000007E-2</v>
      </c>
      <c r="V55" s="10">
        <f t="shared" si="23"/>
        <v>9.8420000000000007E-2</v>
      </c>
      <c r="W55" s="10">
        <f t="shared" si="23"/>
        <v>9.8420000000000007E-2</v>
      </c>
      <c r="X55" s="10">
        <f t="shared" si="23"/>
        <v>9.8420000000000007E-2</v>
      </c>
      <c r="Y55" s="10">
        <f t="shared" si="23"/>
        <v>9.8420000000000007E-2</v>
      </c>
      <c r="Z55" s="10">
        <f t="shared" si="23"/>
        <v>9.8420000000000007E-2</v>
      </c>
      <c r="AA55" s="10">
        <f t="shared" si="23"/>
        <v>9.8420000000000007E-2</v>
      </c>
      <c r="AB55" s="10">
        <f t="shared" si="23"/>
        <v>9.8420000000000007E-2</v>
      </c>
      <c r="AC55" s="10">
        <f t="shared" si="23"/>
        <v>9.8420000000000007E-2</v>
      </c>
      <c r="AD55" s="10">
        <f t="shared" si="23"/>
        <v>9.8420000000000007E-2</v>
      </c>
      <c r="AE55" s="10">
        <f t="shared" si="23"/>
        <v>9.8420000000000007E-2</v>
      </c>
    </row>
    <row r="56" spans="2:31">
      <c r="B56" t="str">
        <f t="shared" si="8"/>
        <v>T-LPT-BEV_ELC00</v>
      </c>
      <c r="C56" t="s">
        <v>793</v>
      </c>
      <c r="D56" t="str">
        <f t="shared" si="9"/>
        <v>EFFICIENCY</v>
      </c>
      <c r="E56" s="10">
        <f t="shared" ref="E56:AE56" si="24">E21/1000</f>
        <v>4.0299999999999996E-2</v>
      </c>
      <c r="F56" s="10">
        <f t="shared" si="24"/>
        <v>4.0299999999999996E-2</v>
      </c>
      <c r="G56" s="10">
        <f t="shared" si="24"/>
        <v>4.0299999999999996E-2</v>
      </c>
      <c r="H56" s="10">
        <f t="shared" si="24"/>
        <v>4.0299999999999996E-2</v>
      </c>
      <c r="I56" s="10">
        <f t="shared" si="24"/>
        <v>4.0299999999999996E-2</v>
      </c>
      <c r="J56" s="10">
        <f t="shared" si="24"/>
        <v>4.0299999999999996E-2</v>
      </c>
      <c r="K56" s="10">
        <f t="shared" si="24"/>
        <v>4.0299999999999996E-2</v>
      </c>
      <c r="L56" s="10">
        <f t="shared" si="24"/>
        <v>4.0299999999999996E-2</v>
      </c>
      <c r="M56" s="10">
        <f t="shared" si="24"/>
        <v>4.0299999999999996E-2</v>
      </c>
      <c r="N56" s="10">
        <f t="shared" si="24"/>
        <v>4.0299999999999996E-2</v>
      </c>
      <c r="O56" s="10">
        <f t="shared" si="24"/>
        <v>4.0299999999999996E-2</v>
      </c>
      <c r="P56" s="10">
        <f t="shared" si="24"/>
        <v>4.0299999999999996E-2</v>
      </c>
      <c r="Q56" s="10">
        <f t="shared" si="24"/>
        <v>4.0299999999999996E-2</v>
      </c>
      <c r="R56" s="10">
        <f t="shared" si="24"/>
        <v>4.0299999999999996E-2</v>
      </c>
      <c r="S56" s="10">
        <f t="shared" si="24"/>
        <v>4.0299999999999996E-2</v>
      </c>
      <c r="T56" s="10">
        <f t="shared" si="24"/>
        <v>4.0299999999999996E-2</v>
      </c>
      <c r="U56" s="10">
        <f t="shared" si="24"/>
        <v>4.0299999999999996E-2</v>
      </c>
      <c r="V56" s="10">
        <f t="shared" si="24"/>
        <v>4.0299999999999996E-2</v>
      </c>
      <c r="W56" s="10">
        <f t="shared" si="24"/>
        <v>4.0299999999999996E-2</v>
      </c>
      <c r="X56" s="10">
        <f t="shared" si="24"/>
        <v>4.0299999999999996E-2</v>
      </c>
      <c r="Y56" s="10">
        <f t="shared" si="24"/>
        <v>4.0299999999999996E-2</v>
      </c>
      <c r="Z56" s="10">
        <f t="shared" si="24"/>
        <v>4.0299999999999996E-2</v>
      </c>
      <c r="AA56" s="10">
        <f t="shared" si="24"/>
        <v>4.0299999999999996E-2</v>
      </c>
      <c r="AB56" s="10">
        <f t="shared" si="24"/>
        <v>4.0299999999999996E-2</v>
      </c>
      <c r="AC56" s="10">
        <f t="shared" si="24"/>
        <v>4.0299999999999996E-2</v>
      </c>
      <c r="AD56" s="10">
        <f t="shared" si="24"/>
        <v>4.0299999999999996E-2</v>
      </c>
      <c r="AE56" s="10">
        <f t="shared" si="24"/>
        <v>4.0299999999999996E-2</v>
      </c>
    </row>
    <row r="57" spans="2:31">
      <c r="B57" t="str">
        <f t="shared" si="8"/>
        <v>T-HPT-BEV_ELC00</v>
      </c>
      <c r="C57" t="s">
        <v>793</v>
      </c>
      <c r="D57" t="str">
        <f t="shared" si="9"/>
        <v>EFFICIENCY</v>
      </c>
      <c r="E57" s="10">
        <f t="shared" ref="E57:AE57" si="25">E22/1000</f>
        <v>4.0299999999999996E-2</v>
      </c>
      <c r="F57" s="10">
        <f t="shared" si="25"/>
        <v>4.0299999999999996E-2</v>
      </c>
      <c r="G57" s="10">
        <f t="shared" si="25"/>
        <v>4.0299999999999996E-2</v>
      </c>
      <c r="H57" s="10">
        <f t="shared" si="25"/>
        <v>4.0299999999999996E-2</v>
      </c>
      <c r="I57" s="10">
        <f t="shared" si="25"/>
        <v>4.0299999999999996E-2</v>
      </c>
      <c r="J57" s="10">
        <f t="shared" si="25"/>
        <v>4.0299999999999996E-2</v>
      </c>
      <c r="K57" s="10">
        <f t="shared" si="25"/>
        <v>4.0299999999999996E-2</v>
      </c>
      <c r="L57" s="10">
        <f t="shared" si="25"/>
        <v>4.0299999999999996E-2</v>
      </c>
      <c r="M57" s="10">
        <f t="shared" si="25"/>
        <v>4.0299999999999996E-2</v>
      </c>
      <c r="N57" s="10">
        <f t="shared" si="25"/>
        <v>4.0299999999999996E-2</v>
      </c>
      <c r="O57" s="10">
        <f t="shared" si="25"/>
        <v>4.0299999999999996E-2</v>
      </c>
      <c r="P57" s="10">
        <f t="shared" si="25"/>
        <v>4.0299999999999996E-2</v>
      </c>
      <c r="Q57" s="10">
        <f t="shared" si="25"/>
        <v>4.0299999999999996E-2</v>
      </c>
      <c r="R57" s="10">
        <f t="shared" si="25"/>
        <v>4.0299999999999996E-2</v>
      </c>
      <c r="S57" s="10">
        <f t="shared" si="25"/>
        <v>4.0299999999999996E-2</v>
      </c>
      <c r="T57" s="10">
        <f t="shared" si="25"/>
        <v>4.0299999999999996E-2</v>
      </c>
      <c r="U57" s="10">
        <f t="shared" si="25"/>
        <v>4.0299999999999996E-2</v>
      </c>
      <c r="V57" s="10">
        <f t="shared" si="25"/>
        <v>4.0299999999999996E-2</v>
      </c>
      <c r="W57" s="10">
        <f t="shared" si="25"/>
        <v>4.0299999999999996E-2</v>
      </c>
      <c r="X57" s="10">
        <f t="shared" si="25"/>
        <v>4.0299999999999996E-2</v>
      </c>
      <c r="Y57" s="10">
        <f t="shared" si="25"/>
        <v>4.0299999999999996E-2</v>
      </c>
      <c r="Z57" s="10">
        <f t="shared" si="25"/>
        <v>4.0299999999999996E-2</v>
      </c>
      <c r="AA57" s="10">
        <f t="shared" si="25"/>
        <v>4.0299999999999996E-2</v>
      </c>
      <c r="AB57" s="10">
        <f t="shared" si="25"/>
        <v>4.0299999999999996E-2</v>
      </c>
      <c r="AC57" s="10">
        <f t="shared" si="25"/>
        <v>4.0299999999999996E-2</v>
      </c>
      <c r="AD57" s="10">
        <f t="shared" si="25"/>
        <v>4.0299999999999996E-2</v>
      </c>
      <c r="AE57" s="10">
        <f t="shared" si="25"/>
        <v>4.0299999999999996E-2</v>
      </c>
    </row>
    <row r="58" spans="2:31">
      <c r="B58" t="str">
        <f t="shared" si="8"/>
        <v>T-HPT-ICE_DST00</v>
      </c>
      <c r="C58" t="s">
        <v>793</v>
      </c>
      <c r="D58" t="str">
        <f t="shared" si="9"/>
        <v>EFFICIENCY</v>
      </c>
      <c r="E58" s="10">
        <f>E23/1000</f>
        <v>1.2999999999999999E-2</v>
      </c>
      <c r="F58" s="10">
        <f t="shared" ref="F58:AE63" si="26">F23/1000</f>
        <v>1.2999999999999999E-2</v>
      </c>
      <c r="G58" s="10">
        <f t="shared" si="26"/>
        <v>1.2999999999999999E-2</v>
      </c>
      <c r="H58" s="10">
        <f t="shared" si="26"/>
        <v>1.2999999999999999E-2</v>
      </c>
      <c r="I58" s="10">
        <f t="shared" si="26"/>
        <v>1.2999999999999999E-2</v>
      </c>
      <c r="J58" s="10">
        <f t="shared" si="26"/>
        <v>1.2999999999999999E-2</v>
      </c>
      <c r="K58" s="10">
        <f t="shared" si="26"/>
        <v>1.2999999999999999E-2</v>
      </c>
      <c r="L58" s="10">
        <f t="shared" si="26"/>
        <v>1.2999999999999999E-2</v>
      </c>
      <c r="M58" s="10">
        <f t="shared" si="26"/>
        <v>1.2999999999999999E-2</v>
      </c>
      <c r="N58" s="10">
        <f t="shared" si="26"/>
        <v>1.2999999999999999E-2</v>
      </c>
      <c r="O58" s="10">
        <f t="shared" si="26"/>
        <v>1.2999999999999999E-2</v>
      </c>
      <c r="P58" s="10">
        <f t="shared" si="26"/>
        <v>1.2999999999999999E-2</v>
      </c>
      <c r="Q58" s="10">
        <f t="shared" si="26"/>
        <v>1.2999999999999999E-2</v>
      </c>
      <c r="R58" s="10">
        <f t="shared" si="26"/>
        <v>1.2999999999999999E-2</v>
      </c>
      <c r="S58" s="10">
        <f t="shared" si="26"/>
        <v>1.2999999999999999E-2</v>
      </c>
      <c r="T58" s="10">
        <f t="shared" si="26"/>
        <v>1.2999999999999999E-2</v>
      </c>
      <c r="U58" s="10">
        <f t="shared" si="26"/>
        <v>1.2999999999999999E-2</v>
      </c>
      <c r="V58" s="10">
        <f t="shared" si="26"/>
        <v>1.2999999999999999E-2</v>
      </c>
      <c r="W58" s="10">
        <f t="shared" si="26"/>
        <v>1.2999999999999999E-2</v>
      </c>
      <c r="X58" s="10">
        <f t="shared" si="26"/>
        <v>1.2999999999999999E-2</v>
      </c>
      <c r="Y58" s="10">
        <f t="shared" si="26"/>
        <v>1.2999999999999999E-2</v>
      </c>
      <c r="Z58" s="10">
        <f t="shared" si="26"/>
        <v>1.2999999999999999E-2</v>
      </c>
      <c r="AA58" s="10">
        <f t="shared" si="26"/>
        <v>1.2999999999999999E-2</v>
      </c>
      <c r="AB58" s="10">
        <f t="shared" si="26"/>
        <v>1.2999999999999999E-2</v>
      </c>
      <c r="AC58" s="10">
        <f t="shared" si="26"/>
        <v>1.2999999999999999E-2</v>
      </c>
      <c r="AD58" s="10">
        <f t="shared" si="26"/>
        <v>1.2999999999999999E-2</v>
      </c>
      <c r="AE58" s="10">
        <f t="shared" si="26"/>
        <v>1.2999999999999999E-2</v>
      </c>
    </row>
    <row r="59" spans="2:31">
      <c r="B59" t="str">
        <f t="shared" si="8"/>
        <v>T-LGT-ICE_GSL00</v>
      </c>
      <c r="C59" t="s">
        <v>793</v>
      </c>
      <c r="D59" t="str">
        <f t="shared" si="9"/>
        <v>EFFICIENCY</v>
      </c>
      <c r="E59" s="10">
        <f t="shared" ref="E59:T63" si="27">E24/1000</f>
        <v>0.45979349648696655</v>
      </c>
      <c r="F59" s="10">
        <f t="shared" si="27"/>
        <v>0.45979349648696655</v>
      </c>
      <c r="G59" s="10">
        <f t="shared" si="27"/>
        <v>0.45979349648696655</v>
      </c>
      <c r="H59" s="10">
        <f t="shared" si="27"/>
        <v>0.45979349648696655</v>
      </c>
      <c r="I59" s="10">
        <f t="shared" si="27"/>
        <v>0.45979349648696655</v>
      </c>
      <c r="J59" s="10">
        <f t="shared" si="27"/>
        <v>0.45979349648696655</v>
      </c>
      <c r="K59" s="10">
        <f t="shared" si="27"/>
        <v>0.45979349648696655</v>
      </c>
      <c r="L59" s="10">
        <f t="shared" si="27"/>
        <v>0.45979349648696655</v>
      </c>
      <c r="M59" s="10">
        <f t="shared" si="27"/>
        <v>0.45979349648696655</v>
      </c>
      <c r="N59" s="10">
        <f t="shared" si="27"/>
        <v>0.45979349648696655</v>
      </c>
      <c r="O59" s="10">
        <f t="shared" si="27"/>
        <v>0.45979349648696655</v>
      </c>
      <c r="P59" s="10">
        <f t="shared" si="27"/>
        <v>0.45979349648696655</v>
      </c>
      <c r="Q59" s="10">
        <f t="shared" si="27"/>
        <v>0.45979349648696655</v>
      </c>
      <c r="R59" s="10">
        <f t="shared" si="27"/>
        <v>0.45979349648696655</v>
      </c>
      <c r="S59" s="10">
        <f t="shared" si="27"/>
        <v>0.45979349648696655</v>
      </c>
      <c r="T59" s="10">
        <f t="shared" si="27"/>
        <v>0.45979349648696655</v>
      </c>
      <c r="U59" s="10">
        <f t="shared" si="26"/>
        <v>0.45979349648696655</v>
      </c>
      <c r="V59" s="10">
        <f t="shared" si="26"/>
        <v>0.45979349648696655</v>
      </c>
      <c r="W59" s="10">
        <f t="shared" si="26"/>
        <v>0.45979349648696655</v>
      </c>
      <c r="X59" s="10">
        <f t="shared" si="26"/>
        <v>0.45979349648696655</v>
      </c>
      <c r="Y59" s="10">
        <f t="shared" si="26"/>
        <v>0.45979349648696655</v>
      </c>
      <c r="Z59" s="10">
        <f t="shared" si="26"/>
        <v>0.45979349648696655</v>
      </c>
      <c r="AA59" s="10">
        <f t="shared" si="26"/>
        <v>0.45979349648696655</v>
      </c>
      <c r="AB59" s="10">
        <f t="shared" si="26"/>
        <v>0.45979349648696655</v>
      </c>
      <c r="AC59" s="10">
        <f t="shared" si="26"/>
        <v>0.45979349648696655</v>
      </c>
      <c r="AD59" s="10">
        <f t="shared" si="26"/>
        <v>0.45979349648696655</v>
      </c>
      <c r="AE59" s="10">
        <f t="shared" si="26"/>
        <v>0.45979349648696655</v>
      </c>
    </row>
    <row r="60" spans="2:31">
      <c r="B60" t="str">
        <f t="shared" ref="B60:B61" si="28">B25</f>
        <v>T-LGT-ICE_DST00</v>
      </c>
      <c r="C60" t="s">
        <v>793</v>
      </c>
      <c r="D60" t="str">
        <f t="shared" ref="D60:D61" si="29">D25</f>
        <v>EFFICIENCY</v>
      </c>
      <c r="E60" s="10">
        <f t="shared" si="27"/>
        <v>0.45328817641304381</v>
      </c>
      <c r="F60" s="10">
        <f t="shared" si="26"/>
        <v>0.45328817641304381</v>
      </c>
      <c r="G60" s="10">
        <f t="shared" si="26"/>
        <v>0.45328817641304381</v>
      </c>
      <c r="H60" s="10">
        <f t="shared" si="26"/>
        <v>0.45328817641304381</v>
      </c>
      <c r="I60" s="10">
        <f t="shared" si="26"/>
        <v>0.45328817641304381</v>
      </c>
      <c r="J60" s="10">
        <f t="shared" si="26"/>
        <v>0.45328817641304381</v>
      </c>
      <c r="K60" s="10">
        <f t="shared" si="26"/>
        <v>0.45328817641304381</v>
      </c>
      <c r="L60" s="10">
        <f t="shared" si="26"/>
        <v>0.45328817641304381</v>
      </c>
      <c r="M60" s="10">
        <f t="shared" si="26"/>
        <v>0.45328817641304381</v>
      </c>
      <c r="N60" s="10">
        <f t="shared" si="26"/>
        <v>0.45328817641304381</v>
      </c>
      <c r="O60" s="10">
        <f t="shared" si="26"/>
        <v>0.45328817641304381</v>
      </c>
      <c r="P60" s="10">
        <f t="shared" si="26"/>
        <v>0.45328817641304381</v>
      </c>
      <c r="Q60" s="10">
        <f t="shared" si="26"/>
        <v>0.45328817641304381</v>
      </c>
      <c r="R60" s="10">
        <f t="shared" si="26"/>
        <v>0.45328817641304381</v>
      </c>
      <c r="S60" s="10">
        <f t="shared" si="26"/>
        <v>0.45328817641304381</v>
      </c>
      <c r="T60" s="10">
        <f t="shared" si="26"/>
        <v>0.45328817641304381</v>
      </c>
      <c r="U60" s="10">
        <f t="shared" si="26"/>
        <v>0.45328817641304381</v>
      </c>
      <c r="V60" s="10">
        <f t="shared" si="26"/>
        <v>0.45328817641304381</v>
      </c>
      <c r="W60" s="10">
        <f t="shared" si="26"/>
        <v>0.45328817641304381</v>
      </c>
      <c r="X60" s="10">
        <f t="shared" si="26"/>
        <v>0.45328817641304381</v>
      </c>
      <c r="Y60" s="10">
        <f t="shared" si="26"/>
        <v>0.45328817641304381</v>
      </c>
      <c r="Z60" s="10">
        <f t="shared" si="26"/>
        <v>0.45328817641304381</v>
      </c>
      <c r="AA60" s="10">
        <f t="shared" si="26"/>
        <v>0.45328817641304381</v>
      </c>
      <c r="AB60" s="10">
        <f t="shared" si="26"/>
        <v>0.45328817641304381</v>
      </c>
      <c r="AC60" s="10">
        <f t="shared" si="26"/>
        <v>0.45328817641304381</v>
      </c>
      <c r="AD60" s="10">
        <f t="shared" si="26"/>
        <v>0.45328817641304381</v>
      </c>
      <c r="AE60" s="10">
        <f t="shared" si="26"/>
        <v>0.45328817641304381</v>
      </c>
    </row>
    <row r="61" spans="2:31">
      <c r="B61" t="str">
        <f t="shared" si="28"/>
        <v>T-MGT-ICE_DST00</v>
      </c>
      <c r="C61" t="s">
        <v>793</v>
      </c>
      <c r="D61" t="str">
        <f t="shared" si="29"/>
        <v>EFFICIENCY</v>
      </c>
      <c r="E61" s="10">
        <f t="shared" si="27"/>
        <v>3.4167945420894436E-2</v>
      </c>
      <c r="F61" s="10">
        <f t="shared" si="26"/>
        <v>3.4167945420894436E-2</v>
      </c>
      <c r="G61" s="10">
        <f t="shared" si="26"/>
        <v>3.4167945420894436E-2</v>
      </c>
      <c r="H61" s="10">
        <f t="shared" si="26"/>
        <v>3.4167945420894436E-2</v>
      </c>
      <c r="I61" s="10">
        <f t="shared" si="26"/>
        <v>3.4167945420894436E-2</v>
      </c>
      <c r="J61" s="10">
        <f t="shared" si="26"/>
        <v>3.4167945420894436E-2</v>
      </c>
      <c r="K61" s="10">
        <f t="shared" si="26"/>
        <v>3.4167945420894436E-2</v>
      </c>
      <c r="L61" s="10">
        <f t="shared" si="26"/>
        <v>3.4167945420894436E-2</v>
      </c>
      <c r="M61" s="10">
        <f t="shared" si="26"/>
        <v>3.4167945420894436E-2</v>
      </c>
      <c r="N61" s="10">
        <f t="shared" si="26"/>
        <v>3.4167945420894436E-2</v>
      </c>
      <c r="O61" s="10">
        <f t="shared" si="26"/>
        <v>3.4167945420894436E-2</v>
      </c>
      <c r="P61" s="10">
        <f t="shared" si="26"/>
        <v>3.4167945420894436E-2</v>
      </c>
      <c r="Q61" s="10">
        <f t="shared" si="26"/>
        <v>3.4167945420894436E-2</v>
      </c>
      <c r="R61" s="10">
        <f t="shared" si="26"/>
        <v>3.4167945420894436E-2</v>
      </c>
      <c r="S61" s="10">
        <f t="shared" si="26"/>
        <v>3.4167945420894436E-2</v>
      </c>
      <c r="T61" s="10">
        <f t="shared" si="26"/>
        <v>3.4167945420894436E-2</v>
      </c>
      <c r="U61" s="10">
        <f t="shared" si="26"/>
        <v>3.4167945420894436E-2</v>
      </c>
      <c r="V61" s="10">
        <f t="shared" si="26"/>
        <v>3.4167945420894436E-2</v>
      </c>
      <c r="W61" s="10">
        <f t="shared" si="26"/>
        <v>3.4167945420894436E-2</v>
      </c>
      <c r="X61" s="10">
        <f t="shared" si="26"/>
        <v>3.4167945420894436E-2</v>
      </c>
      <c r="Y61" s="10">
        <f t="shared" si="26"/>
        <v>3.4167945420894436E-2</v>
      </c>
      <c r="Z61" s="10">
        <f t="shared" si="26"/>
        <v>3.4167945420894436E-2</v>
      </c>
      <c r="AA61" s="10">
        <f t="shared" si="26"/>
        <v>3.4167945420894436E-2</v>
      </c>
      <c r="AB61" s="10">
        <f t="shared" si="26"/>
        <v>3.4167945420894436E-2</v>
      </c>
      <c r="AC61" s="10">
        <f t="shared" si="26"/>
        <v>3.4167945420894436E-2</v>
      </c>
      <c r="AD61" s="10">
        <f t="shared" si="26"/>
        <v>3.4167945420894436E-2</v>
      </c>
      <c r="AE61" s="10">
        <f t="shared" si="26"/>
        <v>3.4167945420894436E-2</v>
      </c>
    </row>
    <row r="62" spans="2:31">
      <c r="B62" t="str">
        <f t="shared" ref="B62:B68" si="30">B27</f>
        <v>T-HGT-ICE_DST00</v>
      </c>
      <c r="C62" t="s">
        <v>793</v>
      </c>
      <c r="D62" t="str">
        <f t="shared" ref="D62:D68" si="31">D27</f>
        <v>EFFICIENCY</v>
      </c>
      <c r="E62" s="10">
        <f t="shared" si="27"/>
        <v>3.1388598389155933E-2</v>
      </c>
      <c r="F62" s="10">
        <f t="shared" si="26"/>
        <v>3.1388598389155933E-2</v>
      </c>
      <c r="G62" s="10">
        <f t="shared" si="26"/>
        <v>3.1388598389155933E-2</v>
      </c>
      <c r="H62" s="10">
        <f t="shared" si="26"/>
        <v>3.1388598389155933E-2</v>
      </c>
      <c r="I62" s="10">
        <f t="shared" si="26"/>
        <v>3.1388598389155933E-2</v>
      </c>
      <c r="J62" s="10">
        <f t="shared" si="26"/>
        <v>3.1388598389155933E-2</v>
      </c>
      <c r="K62" s="10">
        <f t="shared" si="26"/>
        <v>3.1388598389155933E-2</v>
      </c>
      <c r="L62" s="10">
        <f t="shared" si="26"/>
        <v>3.1388598389155933E-2</v>
      </c>
      <c r="M62" s="10">
        <f t="shared" si="26"/>
        <v>3.1388598389155933E-2</v>
      </c>
      <c r="N62" s="10">
        <f t="shared" si="26"/>
        <v>3.1388598389155933E-2</v>
      </c>
      <c r="O62" s="10">
        <f t="shared" si="26"/>
        <v>3.1388598389155933E-2</v>
      </c>
      <c r="P62" s="10">
        <f t="shared" si="26"/>
        <v>3.1388598389155933E-2</v>
      </c>
      <c r="Q62" s="10">
        <f t="shared" si="26"/>
        <v>3.1388598389155933E-2</v>
      </c>
      <c r="R62" s="10">
        <f t="shared" si="26"/>
        <v>3.1388598389155933E-2</v>
      </c>
      <c r="S62" s="10">
        <f t="shared" si="26"/>
        <v>3.1388598389155933E-2</v>
      </c>
      <c r="T62" s="10">
        <f t="shared" si="26"/>
        <v>3.1388598389155933E-2</v>
      </c>
      <c r="U62" s="10">
        <f t="shared" si="26"/>
        <v>3.1388598389155933E-2</v>
      </c>
      <c r="V62" s="10">
        <f t="shared" si="26"/>
        <v>3.1388598389155933E-2</v>
      </c>
      <c r="W62" s="10">
        <f t="shared" si="26"/>
        <v>3.1388598389155933E-2</v>
      </c>
      <c r="X62" s="10">
        <f t="shared" si="26"/>
        <v>3.1388598389155933E-2</v>
      </c>
      <c r="Y62" s="10">
        <f t="shared" si="26"/>
        <v>3.1388598389155933E-2</v>
      </c>
      <c r="Z62" s="10">
        <f t="shared" si="26"/>
        <v>3.1388598389155933E-2</v>
      </c>
      <c r="AA62" s="10">
        <f t="shared" si="26"/>
        <v>3.1388598389155933E-2</v>
      </c>
      <c r="AB62" s="10">
        <f t="shared" si="26"/>
        <v>3.1388598389155933E-2</v>
      </c>
      <c r="AC62" s="10">
        <f t="shared" si="26"/>
        <v>3.1388598389155933E-2</v>
      </c>
      <c r="AD62" s="10">
        <f t="shared" si="26"/>
        <v>3.1388598389155933E-2</v>
      </c>
      <c r="AE62" s="10">
        <f t="shared" si="26"/>
        <v>3.1388598389155933E-2</v>
      </c>
    </row>
    <row r="63" spans="2:31">
      <c r="B63" t="str">
        <f t="shared" si="30"/>
        <v>T-GTR-ICE_DST00</v>
      </c>
      <c r="C63" t="s">
        <v>793</v>
      </c>
      <c r="D63" t="str">
        <f t="shared" si="31"/>
        <v>EFFICIENCY</v>
      </c>
      <c r="E63" s="10">
        <f t="shared" si="27"/>
        <v>4.7112409841113404E-3</v>
      </c>
      <c r="F63" s="10">
        <f t="shared" si="26"/>
        <v>4.7112409841113404E-3</v>
      </c>
      <c r="G63" s="10">
        <f t="shared" si="26"/>
        <v>4.7112409841113404E-3</v>
      </c>
      <c r="H63" s="10">
        <f t="shared" si="26"/>
        <v>4.7112409841113404E-3</v>
      </c>
      <c r="I63" s="10">
        <f t="shared" si="26"/>
        <v>4.7112409841113404E-3</v>
      </c>
      <c r="J63" s="10">
        <f t="shared" si="26"/>
        <v>4.7112409841113404E-3</v>
      </c>
      <c r="K63" s="10">
        <f t="shared" si="26"/>
        <v>4.7112409841113404E-3</v>
      </c>
      <c r="L63" s="10">
        <f t="shared" si="26"/>
        <v>4.7112409841113404E-3</v>
      </c>
      <c r="M63" s="10">
        <f t="shared" si="26"/>
        <v>4.7112409841113404E-3</v>
      </c>
      <c r="N63" s="10">
        <f t="shared" si="26"/>
        <v>4.7112409841113404E-3</v>
      </c>
      <c r="O63" s="10">
        <f t="shared" si="26"/>
        <v>4.7112409841113404E-3</v>
      </c>
      <c r="P63" s="10">
        <f t="shared" si="26"/>
        <v>4.7112409841113404E-3</v>
      </c>
      <c r="Q63" s="10">
        <f t="shared" si="26"/>
        <v>4.7112409841113404E-3</v>
      </c>
      <c r="R63" s="10">
        <f t="shared" si="26"/>
        <v>4.7112409841113404E-3</v>
      </c>
      <c r="S63" s="10">
        <f t="shared" si="26"/>
        <v>4.7112409841113404E-3</v>
      </c>
      <c r="T63" s="10">
        <f t="shared" si="26"/>
        <v>4.7112409841113404E-3</v>
      </c>
      <c r="U63" s="10">
        <f t="shared" si="26"/>
        <v>4.7112409841113404E-3</v>
      </c>
      <c r="V63" s="10">
        <f t="shared" si="26"/>
        <v>4.7112409841113404E-3</v>
      </c>
      <c r="W63" s="10">
        <f t="shared" si="26"/>
        <v>4.7112409841113404E-3</v>
      </c>
      <c r="X63" s="10">
        <f t="shared" si="26"/>
        <v>4.7112409841113404E-3</v>
      </c>
      <c r="Y63" s="10">
        <f t="shared" si="26"/>
        <v>4.7112409841113404E-3</v>
      </c>
      <c r="Z63" s="10">
        <f t="shared" si="26"/>
        <v>4.7112409841113404E-3</v>
      </c>
      <c r="AA63" s="10">
        <f t="shared" si="26"/>
        <v>4.7112409841113404E-3</v>
      </c>
      <c r="AB63" s="10">
        <f t="shared" si="26"/>
        <v>4.7112409841113404E-3</v>
      </c>
      <c r="AC63" s="10">
        <f t="shared" si="26"/>
        <v>4.7112409841113404E-3</v>
      </c>
      <c r="AD63" s="10">
        <f t="shared" si="26"/>
        <v>4.7112409841113404E-3</v>
      </c>
      <c r="AE63" s="10">
        <f t="shared" si="26"/>
        <v>4.7112409841113404E-3</v>
      </c>
    </row>
    <row r="64" spans="2:31">
      <c r="B64" t="str">
        <f t="shared" si="30"/>
        <v>T-TUR_CON00</v>
      </c>
      <c r="C64" t="s">
        <v>17</v>
      </c>
      <c r="D64" t="str">
        <f t="shared" si="31"/>
        <v>EFFICIENCY</v>
      </c>
      <c r="E64">
        <f t="shared" ref="E64:AE64" si="32">E29</f>
        <v>1</v>
      </c>
      <c r="F64">
        <f t="shared" si="32"/>
        <v>1</v>
      </c>
      <c r="G64">
        <f t="shared" si="32"/>
        <v>1</v>
      </c>
      <c r="H64">
        <f t="shared" si="32"/>
        <v>1</v>
      </c>
      <c r="I64">
        <f t="shared" si="32"/>
        <v>1</v>
      </c>
      <c r="J64">
        <f t="shared" si="32"/>
        <v>1</v>
      </c>
      <c r="K64">
        <f t="shared" si="32"/>
        <v>1</v>
      </c>
      <c r="L64">
        <f t="shared" si="32"/>
        <v>1</v>
      </c>
      <c r="M64">
        <f t="shared" si="32"/>
        <v>1</v>
      </c>
      <c r="N64">
        <f t="shared" si="32"/>
        <v>1</v>
      </c>
      <c r="O64">
        <f t="shared" si="32"/>
        <v>1</v>
      </c>
      <c r="P64">
        <f t="shared" si="32"/>
        <v>1</v>
      </c>
      <c r="Q64">
        <f t="shared" si="32"/>
        <v>1</v>
      </c>
      <c r="R64">
        <f t="shared" si="32"/>
        <v>1</v>
      </c>
      <c r="S64">
        <f t="shared" si="32"/>
        <v>1</v>
      </c>
      <c r="T64">
        <f t="shared" si="32"/>
        <v>1</v>
      </c>
      <c r="U64">
        <f t="shared" si="32"/>
        <v>1</v>
      </c>
      <c r="V64">
        <f t="shared" si="32"/>
        <v>1</v>
      </c>
      <c r="W64">
        <f t="shared" si="32"/>
        <v>1</v>
      </c>
      <c r="X64">
        <f t="shared" si="32"/>
        <v>1</v>
      </c>
      <c r="Y64">
        <f t="shared" si="32"/>
        <v>1</v>
      </c>
      <c r="Z64">
        <f t="shared" si="32"/>
        <v>1</v>
      </c>
      <c r="AA64">
        <f t="shared" si="32"/>
        <v>1</v>
      </c>
      <c r="AB64">
        <f t="shared" si="32"/>
        <v>1</v>
      </c>
      <c r="AC64">
        <f t="shared" si="32"/>
        <v>1</v>
      </c>
      <c r="AD64">
        <f t="shared" si="32"/>
        <v>1</v>
      </c>
      <c r="AE64">
        <f t="shared" si="32"/>
        <v>1</v>
      </c>
    </row>
    <row r="65" spans="2:31">
      <c r="B65" t="str">
        <f t="shared" si="30"/>
        <v>T-NAV_CON00</v>
      </c>
      <c r="C65" t="s">
        <v>17</v>
      </c>
      <c r="D65" t="str">
        <f t="shared" si="31"/>
        <v>EFFICIENCY</v>
      </c>
      <c r="E65">
        <f t="shared" ref="E65:AE65" si="33">E30</f>
        <v>1</v>
      </c>
      <c r="F65">
        <f t="shared" si="33"/>
        <v>1</v>
      </c>
      <c r="G65">
        <f t="shared" si="33"/>
        <v>1</v>
      </c>
      <c r="H65">
        <f t="shared" si="33"/>
        <v>1</v>
      </c>
      <c r="I65">
        <f t="shared" si="33"/>
        <v>1</v>
      </c>
      <c r="J65">
        <f t="shared" si="33"/>
        <v>1</v>
      </c>
      <c r="K65">
        <f t="shared" si="33"/>
        <v>1</v>
      </c>
      <c r="L65">
        <f t="shared" si="33"/>
        <v>1</v>
      </c>
      <c r="M65">
        <f t="shared" si="33"/>
        <v>1</v>
      </c>
      <c r="N65">
        <f t="shared" si="33"/>
        <v>1</v>
      </c>
      <c r="O65">
        <f t="shared" si="33"/>
        <v>1</v>
      </c>
      <c r="P65">
        <f t="shared" si="33"/>
        <v>1</v>
      </c>
      <c r="Q65">
        <f t="shared" si="33"/>
        <v>1</v>
      </c>
      <c r="R65">
        <f t="shared" si="33"/>
        <v>1</v>
      </c>
      <c r="S65">
        <f t="shared" si="33"/>
        <v>1</v>
      </c>
      <c r="T65">
        <f t="shared" si="33"/>
        <v>1</v>
      </c>
      <c r="U65">
        <f t="shared" si="33"/>
        <v>1</v>
      </c>
      <c r="V65">
        <f t="shared" si="33"/>
        <v>1</v>
      </c>
      <c r="W65">
        <f t="shared" si="33"/>
        <v>1</v>
      </c>
      <c r="X65">
        <f t="shared" si="33"/>
        <v>1</v>
      </c>
      <c r="Y65">
        <f t="shared" si="33"/>
        <v>1</v>
      </c>
      <c r="Z65">
        <f t="shared" si="33"/>
        <v>1</v>
      </c>
      <c r="AA65">
        <f t="shared" si="33"/>
        <v>1</v>
      </c>
      <c r="AB65">
        <f t="shared" si="33"/>
        <v>1</v>
      </c>
      <c r="AC65">
        <f t="shared" si="33"/>
        <v>1</v>
      </c>
      <c r="AD65">
        <f t="shared" si="33"/>
        <v>1</v>
      </c>
      <c r="AE65">
        <f t="shared" si="33"/>
        <v>1</v>
      </c>
    </row>
    <row r="66" spans="2:31">
      <c r="B66" t="str">
        <f t="shared" si="30"/>
        <v>T-OTH_CON00</v>
      </c>
      <c r="C66" t="s">
        <v>17</v>
      </c>
      <c r="D66" t="str">
        <f t="shared" si="31"/>
        <v>EFFICIENCY</v>
      </c>
      <c r="E66">
        <f t="shared" ref="E66:AE66" si="34">E31</f>
        <v>1</v>
      </c>
      <c r="F66">
        <f t="shared" si="34"/>
        <v>1</v>
      </c>
      <c r="G66">
        <f t="shared" si="34"/>
        <v>1</v>
      </c>
      <c r="H66">
        <f t="shared" si="34"/>
        <v>1</v>
      </c>
      <c r="I66">
        <f t="shared" si="34"/>
        <v>1</v>
      </c>
      <c r="J66">
        <f t="shared" si="34"/>
        <v>1</v>
      </c>
      <c r="K66">
        <f t="shared" si="34"/>
        <v>1</v>
      </c>
      <c r="L66">
        <f t="shared" si="34"/>
        <v>1</v>
      </c>
      <c r="M66">
        <f t="shared" si="34"/>
        <v>1</v>
      </c>
      <c r="N66">
        <f t="shared" si="34"/>
        <v>1</v>
      </c>
      <c r="O66">
        <f t="shared" si="34"/>
        <v>1</v>
      </c>
      <c r="P66">
        <f t="shared" si="34"/>
        <v>1</v>
      </c>
      <c r="Q66">
        <f t="shared" si="34"/>
        <v>1</v>
      </c>
      <c r="R66">
        <f t="shared" si="34"/>
        <v>1</v>
      </c>
      <c r="S66">
        <f t="shared" si="34"/>
        <v>1</v>
      </c>
      <c r="T66">
        <f t="shared" si="34"/>
        <v>1</v>
      </c>
      <c r="U66">
        <f t="shared" si="34"/>
        <v>1</v>
      </c>
      <c r="V66">
        <f t="shared" si="34"/>
        <v>1</v>
      </c>
      <c r="W66">
        <f t="shared" si="34"/>
        <v>1</v>
      </c>
      <c r="X66">
        <f t="shared" si="34"/>
        <v>1</v>
      </c>
      <c r="Y66">
        <f t="shared" si="34"/>
        <v>1</v>
      </c>
      <c r="Z66">
        <f t="shared" si="34"/>
        <v>1</v>
      </c>
      <c r="AA66">
        <f t="shared" si="34"/>
        <v>1</v>
      </c>
      <c r="AB66">
        <f t="shared" si="34"/>
        <v>1</v>
      </c>
      <c r="AC66">
        <f t="shared" si="34"/>
        <v>1</v>
      </c>
      <c r="AD66">
        <f t="shared" si="34"/>
        <v>1</v>
      </c>
      <c r="AE66">
        <f t="shared" si="34"/>
        <v>1</v>
      </c>
    </row>
    <row r="67" spans="2:31">
      <c r="B67" t="str">
        <f t="shared" si="30"/>
        <v>T-AVI_DOM00</v>
      </c>
      <c r="C67" t="s">
        <v>17</v>
      </c>
      <c r="D67" t="str">
        <f t="shared" si="31"/>
        <v>EFFICIENCY</v>
      </c>
      <c r="E67">
        <f t="shared" ref="E67:AE67" si="35">E32</f>
        <v>1</v>
      </c>
      <c r="F67">
        <f t="shared" si="35"/>
        <v>1</v>
      </c>
      <c r="G67">
        <f t="shared" si="35"/>
        <v>1</v>
      </c>
      <c r="H67">
        <f t="shared" si="35"/>
        <v>1</v>
      </c>
      <c r="I67">
        <f t="shared" si="35"/>
        <v>1</v>
      </c>
      <c r="J67">
        <f t="shared" si="35"/>
        <v>1</v>
      </c>
      <c r="K67">
        <f t="shared" si="35"/>
        <v>1</v>
      </c>
      <c r="L67">
        <f t="shared" si="35"/>
        <v>1</v>
      </c>
      <c r="M67">
        <f t="shared" si="35"/>
        <v>1</v>
      </c>
      <c r="N67">
        <f t="shared" si="35"/>
        <v>1</v>
      </c>
      <c r="O67">
        <f t="shared" si="35"/>
        <v>1</v>
      </c>
      <c r="P67">
        <f t="shared" si="35"/>
        <v>1</v>
      </c>
      <c r="Q67">
        <f t="shared" si="35"/>
        <v>1</v>
      </c>
      <c r="R67">
        <f t="shared" si="35"/>
        <v>1</v>
      </c>
      <c r="S67">
        <f t="shared" si="35"/>
        <v>1</v>
      </c>
      <c r="T67">
        <f t="shared" si="35"/>
        <v>1</v>
      </c>
      <c r="U67">
        <f t="shared" si="35"/>
        <v>1</v>
      </c>
      <c r="V67">
        <f t="shared" si="35"/>
        <v>1</v>
      </c>
      <c r="W67">
        <f t="shared" si="35"/>
        <v>1</v>
      </c>
      <c r="X67">
        <f t="shared" si="35"/>
        <v>1</v>
      </c>
      <c r="Y67">
        <f t="shared" si="35"/>
        <v>1</v>
      </c>
      <c r="Z67">
        <f t="shared" si="35"/>
        <v>1</v>
      </c>
      <c r="AA67">
        <f t="shared" si="35"/>
        <v>1</v>
      </c>
      <c r="AB67">
        <f t="shared" si="35"/>
        <v>1</v>
      </c>
      <c r="AC67">
        <f t="shared" si="35"/>
        <v>1</v>
      </c>
      <c r="AD67">
        <f t="shared" si="35"/>
        <v>1</v>
      </c>
      <c r="AE67">
        <f t="shared" si="35"/>
        <v>1</v>
      </c>
    </row>
    <row r="68" spans="2:31">
      <c r="B68" s="79" t="str">
        <f t="shared" si="30"/>
        <v>T-AVI_INT00</v>
      </c>
      <c r="C68" s="79" t="s">
        <v>17</v>
      </c>
      <c r="D68" s="79" t="str">
        <f t="shared" si="31"/>
        <v>EFFICIENCY</v>
      </c>
      <c r="E68" s="79">
        <f t="shared" ref="E68:AE68" si="36">E33</f>
        <v>1</v>
      </c>
      <c r="F68" s="79">
        <f t="shared" si="36"/>
        <v>1</v>
      </c>
      <c r="G68" s="79">
        <f t="shared" si="36"/>
        <v>1</v>
      </c>
      <c r="H68" s="79">
        <f t="shared" si="36"/>
        <v>1</v>
      </c>
      <c r="I68" s="79">
        <f t="shared" si="36"/>
        <v>1</v>
      </c>
      <c r="J68" s="79">
        <f t="shared" si="36"/>
        <v>1</v>
      </c>
      <c r="K68" s="79">
        <f t="shared" si="36"/>
        <v>1</v>
      </c>
      <c r="L68" s="79">
        <f t="shared" si="36"/>
        <v>1</v>
      </c>
      <c r="M68" s="79">
        <f t="shared" si="36"/>
        <v>1</v>
      </c>
      <c r="N68" s="79">
        <f t="shared" si="36"/>
        <v>1</v>
      </c>
      <c r="O68" s="79">
        <f t="shared" si="36"/>
        <v>1</v>
      </c>
      <c r="P68" s="79">
        <f t="shared" si="36"/>
        <v>1</v>
      </c>
      <c r="Q68" s="79">
        <f t="shared" si="36"/>
        <v>1</v>
      </c>
      <c r="R68" s="79">
        <f t="shared" si="36"/>
        <v>1</v>
      </c>
      <c r="S68" s="79">
        <f t="shared" si="36"/>
        <v>1</v>
      </c>
      <c r="T68" s="79">
        <f t="shared" si="36"/>
        <v>1</v>
      </c>
      <c r="U68" s="79">
        <f t="shared" si="36"/>
        <v>1</v>
      </c>
      <c r="V68" s="79">
        <f t="shared" si="36"/>
        <v>1</v>
      </c>
      <c r="W68" s="79">
        <f t="shared" si="36"/>
        <v>1</v>
      </c>
      <c r="X68" s="79">
        <f t="shared" si="36"/>
        <v>1</v>
      </c>
      <c r="Y68" s="79">
        <f t="shared" si="36"/>
        <v>1</v>
      </c>
      <c r="Z68" s="79">
        <f t="shared" si="36"/>
        <v>1</v>
      </c>
      <c r="AA68" s="79">
        <f t="shared" si="36"/>
        <v>1</v>
      </c>
      <c r="AB68" s="79">
        <f t="shared" si="36"/>
        <v>1</v>
      </c>
      <c r="AC68" s="79">
        <f t="shared" si="36"/>
        <v>1</v>
      </c>
      <c r="AD68" s="79">
        <f t="shared" si="36"/>
        <v>1</v>
      </c>
      <c r="AE68" s="79">
        <f t="shared" si="36"/>
        <v>1</v>
      </c>
    </row>
    <row r="69" spans="2:31">
      <c r="B69" t="s">
        <v>750</v>
      </c>
    </row>
    <row r="73" spans="2:31">
      <c r="B73" s="182"/>
      <c r="C73" s="182"/>
      <c r="D73" s="182"/>
      <c r="E73" s="182"/>
      <c r="F73" s="182"/>
      <c r="G73" s="182"/>
      <c r="H73" s="182"/>
      <c r="I73" s="182"/>
      <c r="J73" s="182"/>
      <c r="K73" s="182"/>
      <c r="L73" s="182"/>
      <c r="M73" s="182"/>
      <c r="N73" s="182"/>
      <c r="O73" s="182"/>
      <c r="P73" s="182"/>
      <c r="Q73" s="182"/>
      <c r="R73" s="182"/>
      <c r="S73" s="182"/>
      <c r="T73" s="182"/>
      <c r="U73" s="182"/>
      <c r="V73" s="182"/>
      <c r="W73" s="182"/>
      <c r="X73" s="182"/>
      <c r="Y73" s="182"/>
      <c r="Z73" s="182"/>
      <c r="AA73" s="182"/>
      <c r="AB73" s="182"/>
      <c r="AC73" s="182"/>
      <c r="AD73" s="182"/>
    </row>
    <row r="74" spans="2:31" ht="15.5">
      <c r="B74" s="101" t="s">
        <v>574</v>
      </c>
    </row>
    <row r="75" spans="2:31">
      <c r="B75" s="81" t="s">
        <v>573</v>
      </c>
      <c r="C75" s="81" t="s">
        <v>63</v>
      </c>
      <c r="D75" s="81" t="str">
        <f>Regions!C3</f>
        <v>IE</v>
      </c>
      <c r="E75" s="81" t="str">
        <f>Regions!E3</f>
        <v>IE-CW</v>
      </c>
      <c r="F75" s="81" t="str">
        <f>Regions!F3</f>
        <v>IE-D</v>
      </c>
      <c r="G75" s="81" t="str">
        <f>Regions!G3</f>
        <v>IE-KE</v>
      </c>
      <c r="H75" s="81" t="str">
        <f>Regions!H3</f>
        <v>IE-KK</v>
      </c>
      <c r="I75" s="81" t="str">
        <f>Regions!I3</f>
        <v>IE-LS</v>
      </c>
      <c r="J75" s="81" t="str">
        <f>Regions!J3</f>
        <v>IE-LD</v>
      </c>
      <c r="K75" s="81" t="str">
        <f>Regions!K3</f>
        <v>IE-LH</v>
      </c>
      <c r="L75" s="81" t="str">
        <f>Regions!L3</f>
        <v>IE-MH</v>
      </c>
      <c r="M75" s="81" t="str">
        <f>Regions!M3</f>
        <v>IE-OY</v>
      </c>
      <c r="N75" s="81" t="str">
        <f>Regions!N3</f>
        <v>IE-WH</v>
      </c>
      <c r="O75" s="81" t="str">
        <f>Regions!O3</f>
        <v>IE-WX</v>
      </c>
      <c r="P75" s="81" t="str">
        <f>Regions!P3</f>
        <v>IE-WW</v>
      </c>
      <c r="Q75" s="81" t="str">
        <f>Regions!Q3</f>
        <v>IE-CE</v>
      </c>
      <c r="R75" s="81" t="str">
        <f>Regions!R3</f>
        <v>IE-CO</v>
      </c>
      <c r="S75" s="81" t="str">
        <f>Regions!S3</f>
        <v>IE-KY</v>
      </c>
      <c r="T75" s="81" t="str">
        <f>Regions!T3</f>
        <v>IE-LK</v>
      </c>
      <c r="U75" s="81" t="str">
        <f>Regions!U3</f>
        <v>IE-TA</v>
      </c>
      <c r="V75" s="81" t="str">
        <f>Regions!V3</f>
        <v>IE-WD</v>
      </c>
      <c r="W75" s="81" t="str">
        <f>Regions!W3</f>
        <v>IE-G</v>
      </c>
      <c r="X75" s="81" t="str">
        <f>Regions!X3</f>
        <v>IE-LM</v>
      </c>
      <c r="Y75" s="81" t="str">
        <f>Regions!Y3</f>
        <v>IE-MO</v>
      </c>
      <c r="Z75" s="81" t="str">
        <f>Regions!Z3</f>
        <v>IE-RN</v>
      </c>
      <c r="AA75" s="81" t="str">
        <f>Regions!AA3</f>
        <v>IE-SO</v>
      </c>
      <c r="AB75" s="81" t="str">
        <f>Regions!AB3</f>
        <v>IE-CN</v>
      </c>
      <c r="AC75" s="81" t="str">
        <f>Regions!AC3</f>
        <v>IE-DL</v>
      </c>
      <c r="AD75" s="81" t="str">
        <f>Regions!AD3</f>
        <v>IE-MN</v>
      </c>
    </row>
    <row r="76" spans="2:31">
      <c r="B76" t="s">
        <v>317</v>
      </c>
      <c r="C76" t="s">
        <v>501</v>
      </c>
      <c r="D76" s="30">
        <f>SUM(E76:AD76)</f>
        <v>146343</v>
      </c>
      <c r="E76" s="30">
        <v>1607</v>
      </c>
      <c r="F76" s="30">
        <v>44721</v>
      </c>
      <c r="G76" s="30">
        <v>6850</v>
      </c>
      <c r="H76" s="30">
        <v>2837</v>
      </c>
      <c r="I76" s="30">
        <v>1998</v>
      </c>
      <c r="J76" s="30">
        <v>1009</v>
      </c>
      <c r="K76" s="30">
        <v>3827</v>
      </c>
      <c r="L76" s="30">
        <v>4898</v>
      </c>
      <c r="M76" s="30">
        <v>2107</v>
      </c>
      <c r="N76" s="30">
        <v>2345</v>
      </c>
      <c r="O76" s="30">
        <v>4866</v>
      </c>
      <c r="P76" s="30">
        <v>4832</v>
      </c>
      <c r="Q76" s="30">
        <v>3493</v>
      </c>
      <c r="R76" s="30">
        <v>19213</v>
      </c>
      <c r="S76" s="30">
        <v>4426</v>
      </c>
      <c r="T76" s="30">
        <v>6145</v>
      </c>
      <c r="U76" s="30">
        <v>4872</v>
      </c>
      <c r="V76" s="30">
        <v>4732</v>
      </c>
      <c r="W76" s="30">
        <v>6394</v>
      </c>
      <c r="X76" s="30">
        <v>815</v>
      </c>
      <c r="Y76" s="30">
        <v>3469</v>
      </c>
      <c r="Z76" s="30">
        <v>2304</v>
      </c>
      <c r="AA76" s="30">
        <v>1939</v>
      </c>
      <c r="AB76" s="30">
        <v>1752</v>
      </c>
      <c r="AC76" s="30">
        <v>3704</v>
      </c>
      <c r="AD76" s="30">
        <v>1188</v>
      </c>
    </row>
    <row r="77" spans="2:31">
      <c r="B77" t="s">
        <v>318</v>
      </c>
      <c r="C77" t="s">
        <v>501</v>
      </c>
      <c r="D77" s="30">
        <f t="shared" ref="D77:D82" si="37">SUM(E77:AD77)</f>
        <v>138644</v>
      </c>
      <c r="E77" s="30">
        <v>1575</v>
      </c>
      <c r="F77" s="30">
        <v>45979</v>
      </c>
      <c r="G77" s="30">
        <v>7239</v>
      </c>
      <c r="H77" s="30">
        <v>2645</v>
      </c>
      <c r="I77" s="30">
        <v>1765</v>
      </c>
      <c r="J77" s="30">
        <v>750</v>
      </c>
      <c r="K77" s="30">
        <v>3753</v>
      </c>
      <c r="L77" s="30">
        <v>5568</v>
      </c>
      <c r="M77" s="30">
        <v>1704</v>
      </c>
      <c r="N77" s="30">
        <v>2156</v>
      </c>
      <c r="O77" s="30">
        <v>4670</v>
      </c>
      <c r="P77" s="30">
        <v>5405</v>
      </c>
      <c r="Q77" s="30">
        <v>3113</v>
      </c>
      <c r="R77" s="30">
        <v>16804</v>
      </c>
      <c r="S77" s="30">
        <v>3960</v>
      </c>
      <c r="T77" s="30">
        <v>5289</v>
      </c>
      <c r="U77" s="30">
        <v>4174</v>
      </c>
      <c r="V77" s="30">
        <v>4277</v>
      </c>
      <c r="W77" s="30">
        <v>5661</v>
      </c>
      <c r="X77" s="30">
        <v>703</v>
      </c>
      <c r="Y77" s="30">
        <v>2451</v>
      </c>
      <c r="Z77" s="30">
        <v>2122</v>
      </c>
      <c r="AA77" s="30">
        <v>1563</v>
      </c>
      <c r="AB77" s="30">
        <v>1437</v>
      </c>
      <c r="AC77" s="30">
        <v>2783</v>
      </c>
      <c r="AD77" s="30">
        <v>1098</v>
      </c>
    </row>
    <row r="78" spans="2:31">
      <c r="B78" t="s">
        <v>319</v>
      </c>
      <c r="C78" t="s">
        <v>501</v>
      </c>
      <c r="D78" s="30">
        <f t="shared" si="37"/>
        <v>393926</v>
      </c>
      <c r="E78" s="30">
        <v>4799</v>
      </c>
      <c r="F78" s="30">
        <v>114073</v>
      </c>
      <c r="G78" s="30">
        <v>17645</v>
      </c>
      <c r="H78" s="30">
        <v>7527</v>
      </c>
      <c r="I78" s="30">
        <v>5289</v>
      </c>
      <c r="J78" s="30">
        <v>2507</v>
      </c>
      <c r="K78" s="30">
        <v>8301</v>
      </c>
      <c r="L78" s="30">
        <v>13858</v>
      </c>
      <c r="M78" s="30">
        <v>5188</v>
      </c>
      <c r="N78" s="30">
        <v>6162</v>
      </c>
      <c r="O78" s="30">
        <v>12455</v>
      </c>
      <c r="P78" s="30">
        <v>12664</v>
      </c>
      <c r="Q78" s="30">
        <v>10503</v>
      </c>
      <c r="R78" s="30">
        <v>53424</v>
      </c>
      <c r="S78" s="30">
        <v>14158</v>
      </c>
      <c r="T78" s="30">
        <v>17767</v>
      </c>
      <c r="U78" s="30">
        <v>13508</v>
      </c>
      <c r="V78" s="30">
        <v>11369</v>
      </c>
      <c r="W78" s="30">
        <v>20494</v>
      </c>
      <c r="X78" s="30">
        <v>2238</v>
      </c>
      <c r="Y78" s="30">
        <v>10618</v>
      </c>
      <c r="Z78" s="30">
        <v>5050</v>
      </c>
      <c r="AA78" s="30">
        <v>5309</v>
      </c>
      <c r="AB78" s="30">
        <v>4593</v>
      </c>
      <c r="AC78" s="30">
        <v>10671</v>
      </c>
      <c r="AD78" s="30">
        <v>3756</v>
      </c>
    </row>
    <row r="79" spans="2:31">
      <c r="B79" t="s">
        <v>320</v>
      </c>
      <c r="C79" t="s">
        <v>501</v>
      </c>
      <c r="D79" s="30">
        <f t="shared" si="37"/>
        <v>172596</v>
      </c>
      <c r="E79" s="30">
        <v>1951</v>
      </c>
      <c r="F79" s="30">
        <v>55508</v>
      </c>
      <c r="G79" s="30">
        <v>8154</v>
      </c>
      <c r="H79" s="30">
        <v>2985</v>
      </c>
      <c r="I79" s="30">
        <v>2300</v>
      </c>
      <c r="J79" s="30">
        <v>1073</v>
      </c>
      <c r="K79" s="30">
        <v>3207</v>
      </c>
      <c r="L79" s="30">
        <v>6291</v>
      </c>
      <c r="M79" s="30">
        <v>2287</v>
      </c>
      <c r="N79" s="30">
        <v>2559</v>
      </c>
      <c r="O79" s="30">
        <v>4959</v>
      </c>
      <c r="P79" s="30">
        <v>5863</v>
      </c>
      <c r="Q79" s="30">
        <v>4995</v>
      </c>
      <c r="R79" s="30">
        <v>20914</v>
      </c>
      <c r="S79" s="30">
        <v>6504</v>
      </c>
      <c r="T79" s="30">
        <v>7743</v>
      </c>
      <c r="U79" s="30">
        <v>5901</v>
      </c>
      <c r="V79" s="30">
        <v>4686</v>
      </c>
      <c r="W79" s="30">
        <v>8859</v>
      </c>
      <c r="X79" s="30">
        <v>852</v>
      </c>
      <c r="Y79" s="30">
        <v>4100</v>
      </c>
      <c r="Z79" s="30">
        <v>1802</v>
      </c>
      <c r="AA79" s="30">
        <v>2087</v>
      </c>
      <c r="AB79" s="30">
        <v>1974</v>
      </c>
      <c r="AC79" s="30">
        <v>3800</v>
      </c>
      <c r="AD79" s="30">
        <v>1242</v>
      </c>
    </row>
    <row r="80" spans="2:31">
      <c r="B80" t="s">
        <v>321</v>
      </c>
      <c r="C80" t="s">
        <v>501</v>
      </c>
      <c r="D80" s="30">
        <f t="shared" si="37"/>
        <v>46276</v>
      </c>
      <c r="E80" s="30">
        <v>459</v>
      </c>
      <c r="F80" s="30">
        <v>17887</v>
      </c>
      <c r="G80" s="30">
        <v>2307</v>
      </c>
      <c r="H80" s="30">
        <v>694</v>
      </c>
      <c r="I80" s="30">
        <v>559</v>
      </c>
      <c r="J80" s="30">
        <v>260</v>
      </c>
      <c r="K80" s="30">
        <v>829</v>
      </c>
      <c r="L80" s="30">
        <v>1859</v>
      </c>
      <c r="M80" s="30">
        <v>525</v>
      </c>
      <c r="N80" s="30">
        <v>628</v>
      </c>
      <c r="O80" s="30">
        <v>1172</v>
      </c>
      <c r="P80" s="30">
        <v>1780</v>
      </c>
      <c r="Q80" s="30">
        <v>1005</v>
      </c>
      <c r="R80" s="30">
        <v>5389</v>
      </c>
      <c r="S80" s="30">
        <v>1402</v>
      </c>
      <c r="T80" s="30">
        <v>1688</v>
      </c>
      <c r="U80" s="30">
        <v>1265</v>
      </c>
      <c r="V80" s="30">
        <v>1114</v>
      </c>
      <c r="W80" s="30">
        <v>2186</v>
      </c>
      <c r="X80" s="30">
        <v>170</v>
      </c>
      <c r="Y80" s="30">
        <v>943</v>
      </c>
      <c r="Z80" s="30">
        <v>347</v>
      </c>
      <c r="AA80" s="30">
        <v>439</v>
      </c>
      <c r="AB80" s="30">
        <v>401</v>
      </c>
      <c r="AC80" s="30">
        <v>688</v>
      </c>
      <c r="AD80" s="30">
        <v>280</v>
      </c>
    </row>
    <row r="81" spans="2:30">
      <c r="B81" t="s">
        <v>322</v>
      </c>
      <c r="C81" t="s">
        <v>501</v>
      </c>
      <c r="D81" s="30">
        <f t="shared" si="37"/>
        <v>36748</v>
      </c>
      <c r="E81" s="30">
        <v>328</v>
      </c>
      <c r="F81" s="30">
        <v>15022</v>
      </c>
      <c r="G81" s="30">
        <v>1770</v>
      </c>
      <c r="H81" s="30">
        <v>513</v>
      </c>
      <c r="I81" s="30">
        <v>390</v>
      </c>
      <c r="J81" s="30">
        <v>168</v>
      </c>
      <c r="K81" s="30">
        <v>594</v>
      </c>
      <c r="L81" s="30">
        <v>1300</v>
      </c>
      <c r="M81" s="30">
        <v>355</v>
      </c>
      <c r="N81" s="30">
        <v>458</v>
      </c>
      <c r="O81" s="30">
        <v>891</v>
      </c>
      <c r="P81" s="30">
        <v>1698</v>
      </c>
      <c r="Q81" s="30">
        <v>770</v>
      </c>
      <c r="R81" s="30">
        <v>4295</v>
      </c>
      <c r="S81" s="30">
        <v>1027</v>
      </c>
      <c r="T81" s="30">
        <v>1208</v>
      </c>
      <c r="U81" s="30">
        <v>900</v>
      </c>
      <c r="V81" s="30">
        <v>778</v>
      </c>
      <c r="W81" s="30">
        <v>1712</v>
      </c>
      <c r="X81" s="30">
        <v>147</v>
      </c>
      <c r="Y81" s="30">
        <v>656</v>
      </c>
      <c r="Z81" s="30">
        <v>275</v>
      </c>
      <c r="AA81" s="30">
        <v>340</v>
      </c>
      <c r="AB81" s="30">
        <v>324</v>
      </c>
      <c r="AC81" s="30">
        <v>597</v>
      </c>
      <c r="AD81" s="30">
        <v>232</v>
      </c>
    </row>
    <row r="82" spans="2:30">
      <c r="B82" t="s">
        <v>323</v>
      </c>
      <c r="C82" t="s">
        <v>501</v>
      </c>
      <c r="D82" s="30">
        <f t="shared" si="37"/>
        <v>12327</v>
      </c>
      <c r="E82" s="30">
        <v>77</v>
      </c>
      <c r="F82" s="30">
        <v>6218</v>
      </c>
      <c r="G82" s="30">
        <v>556</v>
      </c>
      <c r="H82" s="30">
        <v>145</v>
      </c>
      <c r="I82" s="30">
        <v>90</v>
      </c>
      <c r="J82" s="30">
        <v>37</v>
      </c>
      <c r="K82" s="30">
        <v>211</v>
      </c>
      <c r="L82" s="30">
        <v>442</v>
      </c>
      <c r="M82" s="30">
        <v>86</v>
      </c>
      <c r="N82" s="30">
        <v>109</v>
      </c>
      <c r="O82" s="30">
        <v>223</v>
      </c>
      <c r="P82" s="30">
        <v>605</v>
      </c>
      <c r="Q82" s="30">
        <v>178</v>
      </c>
      <c r="R82" s="30">
        <v>1189</v>
      </c>
      <c r="S82" s="30">
        <v>250</v>
      </c>
      <c r="T82" s="30">
        <v>306</v>
      </c>
      <c r="U82" s="30">
        <v>234</v>
      </c>
      <c r="V82" s="30">
        <v>203</v>
      </c>
      <c r="W82" s="30">
        <v>514</v>
      </c>
      <c r="X82" s="30">
        <v>36</v>
      </c>
      <c r="Y82" s="30">
        <v>167</v>
      </c>
      <c r="Z82" s="30">
        <v>71</v>
      </c>
      <c r="AA82" s="30">
        <v>84</v>
      </c>
      <c r="AB82" s="30">
        <v>87</v>
      </c>
      <c r="AC82" s="30">
        <v>155</v>
      </c>
      <c r="AD82" s="30">
        <v>54</v>
      </c>
    </row>
    <row r="83" spans="2:30">
      <c r="B83" s="79" t="s">
        <v>16</v>
      </c>
      <c r="C83" s="79" t="s">
        <v>501</v>
      </c>
      <c r="D83" s="176">
        <f>SUM(E83:AD83)</f>
        <v>946860</v>
      </c>
      <c r="E83" s="176">
        <f t="shared" ref="E83:AD83" si="38">SUM(E76:E82)</f>
        <v>10796</v>
      </c>
      <c r="F83" s="176">
        <f t="shared" si="38"/>
        <v>299408</v>
      </c>
      <c r="G83" s="176">
        <f t="shared" si="38"/>
        <v>44521</v>
      </c>
      <c r="H83" s="176">
        <f t="shared" si="38"/>
        <v>17346</v>
      </c>
      <c r="I83" s="176">
        <f t="shared" si="38"/>
        <v>12391</v>
      </c>
      <c r="J83" s="176">
        <f t="shared" si="38"/>
        <v>5804</v>
      </c>
      <c r="K83" s="176">
        <f t="shared" si="38"/>
        <v>20722</v>
      </c>
      <c r="L83" s="176">
        <f t="shared" si="38"/>
        <v>34216</v>
      </c>
      <c r="M83" s="176">
        <f t="shared" si="38"/>
        <v>12252</v>
      </c>
      <c r="N83" s="176">
        <f t="shared" si="38"/>
        <v>14417</v>
      </c>
      <c r="O83" s="176">
        <f t="shared" si="38"/>
        <v>29236</v>
      </c>
      <c r="P83" s="176">
        <f t="shared" si="38"/>
        <v>32847</v>
      </c>
      <c r="Q83" s="176">
        <f t="shared" si="38"/>
        <v>24057</v>
      </c>
      <c r="R83" s="176">
        <f t="shared" si="38"/>
        <v>121228</v>
      </c>
      <c r="S83" s="176">
        <f t="shared" si="38"/>
        <v>31727</v>
      </c>
      <c r="T83" s="176">
        <f t="shared" si="38"/>
        <v>40146</v>
      </c>
      <c r="U83" s="176">
        <f t="shared" si="38"/>
        <v>30854</v>
      </c>
      <c r="V83" s="176">
        <f t="shared" si="38"/>
        <v>27159</v>
      </c>
      <c r="W83" s="176">
        <f t="shared" si="38"/>
        <v>45820</v>
      </c>
      <c r="X83" s="176">
        <f t="shared" si="38"/>
        <v>4961</v>
      </c>
      <c r="Y83" s="176">
        <f t="shared" si="38"/>
        <v>22404</v>
      </c>
      <c r="Z83" s="176">
        <f t="shared" si="38"/>
        <v>11971</v>
      </c>
      <c r="AA83" s="176">
        <f t="shared" si="38"/>
        <v>11761</v>
      </c>
      <c r="AB83" s="176">
        <f t="shared" si="38"/>
        <v>10568</v>
      </c>
      <c r="AC83" s="176">
        <f t="shared" si="38"/>
        <v>22398</v>
      </c>
      <c r="AD83" s="176">
        <f t="shared" si="38"/>
        <v>7850</v>
      </c>
    </row>
    <row r="84" spans="2:30">
      <c r="B84" t="s">
        <v>584</v>
      </c>
    </row>
    <row r="88" spans="2:30" ht="15.5">
      <c r="B88" s="101" t="s">
        <v>575</v>
      </c>
    </row>
    <row r="89" spans="2:30">
      <c r="B89" s="81" t="s">
        <v>573</v>
      </c>
      <c r="C89" s="81" t="s">
        <v>63</v>
      </c>
      <c r="D89" s="81" t="str">
        <f>D75</f>
        <v>IE</v>
      </c>
      <c r="E89" s="81" t="str">
        <f t="shared" ref="E89:AD89" si="39">E75</f>
        <v>IE-CW</v>
      </c>
      <c r="F89" s="81" t="str">
        <f t="shared" si="39"/>
        <v>IE-D</v>
      </c>
      <c r="G89" s="81" t="str">
        <f t="shared" si="39"/>
        <v>IE-KE</v>
      </c>
      <c r="H89" s="81" t="str">
        <f t="shared" si="39"/>
        <v>IE-KK</v>
      </c>
      <c r="I89" s="81" t="str">
        <f t="shared" si="39"/>
        <v>IE-LS</v>
      </c>
      <c r="J89" s="81" t="str">
        <f t="shared" si="39"/>
        <v>IE-LD</v>
      </c>
      <c r="K89" s="81" t="str">
        <f t="shared" si="39"/>
        <v>IE-LH</v>
      </c>
      <c r="L89" s="81" t="str">
        <f t="shared" si="39"/>
        <v>IE-MH</v>
      </c>
      <c r="M89" s="81" t="str">
        <f t="shared" si="39"/>
        <v>IE-OY</v>
      </c>
      <c r="N89" s="81" t="str">
        <f t="shared" si="39"/>
        <v>IE-WH</v>
      </c>
      <c r="O89" s="81" t="str">
        <f t="shared" si="39"/>
        <v>IE-WX</v>
      </c>
      <c r="P89" s="81" t="str">
        <f t="shared" si="39"/>
        <v>IE-WW</v>
      </c>
      <c r="Q89" s="81" t="str">
        <f t="shared" si="39"/>
        <v>IE-CE</v>
      </c>
      <c r="R89" s="81" t="str">
        <f t="shared" si="39"/>
        <v>IE-CO</v>
      </c>
      <c r="S89" s="81" t="str">
        <f t="shared" si="39"/>
        <v>IE-KY</v>
      </c>
      <c r="T89" s="81" t="str">
        <f t="shared" si="39"/>
        <v>IE-LK</v>
      </c>
      <c r="U89" s="81" t="str">
        <f t="shared" si="39"/>
        <v>IE-TA</v>
      </c>
      <c r="V89" s="81" t="str">
        <f t="shared" si="39"/>
        <v>IE-WD</v>
      </c>
      <c r="W89" s="81" t="str">
        <f t="shared" si="39"/>
        <v>IE-G</v>
      </c>
      <c r="X89" s="81" t="str">
        <f t="shared" si="39"/>
        <v>IE-LM</v>
      </c>
      <c r="Y89" s="81" t="str">
        <f t="shared" si="39"/>
        <v>IE-MO</v>
      </c>
      <c r="Z89" s="81" t="str">
        <f t="shared" si="39"/>
        <v>IE-RN</v>
      </c>
      <c r="AA89" s="81" t="str">
        <f t="shared" si="39"/>
        <v>IE-SO</v>
      </c>
      <c r="AB89" s="81" t="str">
        <f t="shared" si="39"/>
        <v>IE-CN</v>
      </c>
      <c r="AC89" s="81" t="str">
        <f t="shared" si="39"/>
        <v>IE-DL</v>
      </c>
      <c r="AD89" s="81" t="str">
        <f t="shared" si="39"/>
        <v>IE-MN</v>
      </c>
    </row>
    <row r="90" spans="2:30">
      <c r="B90" t="s">
        <v>317</v>
      </c>
      <c r="C90" s="179" t="s">
        <v>577</v>
      </c>
      <c r="D90" s="29">
        <f t="shared" ref="D90:AD90" si="40">D76/D$83</f>
        <v>0.1545561117799886</v>
      </c>
      <c r="E90" s="29">
        <f t="shared" si="40"/>
        <v>0.14885142645424232</v>
      </c>
      <c r="F90" s="29">
        <f t="shared" si="40"/>
        <v>0.14936474643296105</v>
      </c>
      <c r="G90" s="29">
        <f t="shared" si="40"/>
        <v>0.15385997619101099</v>
      </c>
      <c r="H90" s="29">
        <f t="shared" si="40"/>
        <v>0.16355355701602675</v>
      </c>
      <c r="I90" s="29">
        <f t="shared" si="40"/>
        <v>0.16124606569284158</v>
      </c>
      <c r="J90" s="29">
        <f t="shared" si="40"/>
        <v>0.17384562370778772</v>
      </c>
      <c r="K90" s="29">
        <f t="shared" si="40"/>
        <v>0.18468294566161567</v>
      </c>
      <c r="L90" s="29">
        <f t="shared" si="40"/>
        <v>0.14314940378770166</v>
      </c>
      <c r="M90" s="29">
        <f t="shared" si="40"/>
        <v>0.17197192295135488</v>
      </c>
      <c r="N90" s="29">
        <f t="shared" si="40"/>
        <v>0.16265519872372894</v>
      </c>
      <c r="O90" s="29">
        <f t="shared" si="40"/>
        <v>0.16643863729648378</v>
      </c>
      <c r="P90" s="29">
        <f t="shared" si="40"/>
        <v>0.14710628063445672</v>
      </c>
      <c r="Q90" s="29">
        <f t="shared" si="40"/>
        <v>0.14519682420916988</v>
      </c>
      <c r="R90" s="29">
        <f t="shared" si="40"/>
        <v>0.15848648827003661</v>
      </c>
      <c r="S90" s="29">
        <f t="shared" si="40"/>
        <v>0.13950263182778075</v>
      </c>
      <c r="T90" s="29">
        <f t="shared" si="40"/>
        <v>0.15306630797588802</v>
      </c>
      <c r="U90" s="29">
        <f t="shared" si="40"/>
        <v>0.15790497180268362</v>
      </c>
      <c r="V90" s="29">
        <f t="shared" si="40"/>
        <v>0.17423321919069185</v>
      </c>
      <c r="W90" s="29">
        <f t="shared" si="40"/>
        <v>0.13954604975993015</v>
      </c>
      <c r="X90" s="29">
        <f t="shared" si="40"/>
        <v>0.16428139488006449</v>
      </c>
      <c r="Y90" s="29">
        <f t="shared" si="40"/>
        <v>0.15483842171040885</v>
      </c>
      <c r="Z90" s="29">
        <f t="shared" si="40"/>
        <v>0.192465124049787</v>
      </c>
      <c r="AA90" s="29">
        <f t="shared" si="40"/>
        <v>0.16486693308392145</v>
      </c>
      <c r="AB90" s="29">
        <f t="shared" si="40"/>
        <v>0.16578349735049205</v>
      </c>
      <c r="AC90" s="29">
        <f t="shared" si="40"/>
        <v>0.16537190820608982</v>
      </c>
      <c r="AD90" s="29">
        <f t="shared" si="40"/>
        <v>0.15133757961783439</v>
      </c>
    </row>
    <row r="91" spans="2:30">
      <c r="B91" t="s">
        <v>318</v>
      </c>
      <c r="C91" t="s">
        <v>577</v>
      </c>
      <c r="D91" s="29">
        <f t="shared" ref="D91:AD91" si="41">D77/D$83</f>
        <v>0.14642502587499737</v>
      </c>
      <c r="E91" s="29">
        <f t="shared" si="41"/>
        <v>0.14588736569099667</v>
      </c>
      <c r="F91" s="29">
        <f t="shared" si="41"/>
        <v>0.1535663709720515</v>
      </c>
      <c r="G91" s="29">
        <f t="shared" si="41"/>
        <v>0.16259742593382898</v>
      </c>
      <c r="H91" s="29">
        <f t="shared" si="41"/>
        <v>0.15248472270264038</v>
      </c>
      <c r="I91" s="29">
        <f t="shared" si="41"/>
        <v>0.14244209506900168</v>
      </c>
      <c r="J91" s="29">
        <f t="shared" si="41"/>
        <v>0.12922122674017919</v>
      </c>
      <c r="K91" s="29">
        <f t="shared" si="41"/>
        <v>0.18111186178940256</v>
      </c>
      <c r="L91" s="29">
        <f t="shared" si="41"/>
        <v>0.16273088613514144</v>
      </c>
      <c r="M91" s="29">
        <f t="shared" si="41"/>
        <v>0.13907933398628794</v>
      </c>
      <c r="N91" s="29">
        <f t="shared" si="41"/>
        <v>0.14954567524450302</v>
      </c>
      <c r="O91" s="29">
        <f t="shared" si="41"/>
        <v>0.15973457381310713</v>
      </c>
      <c r="P91" s="29">
        <f t="shared" si="41"/>
        <v>0.16455079611532256</v>
      </c>
      <c r="Q91" s="29">
        <f t="shared" si="41"/>
        <v>0.12940100594421583</v>
      </c>
      <c r="R91" s="29">
        <f t="shared" si="41"/>
        <v>0.1386148414557693</v>
      </c>
      <c r="S91" s="29">
        <f t="shared" si="41"/>
        <v>0.12481482648847984</v>
      </c>
      <c r="T91" s="29">
        <f t="shared" si="41"/>
        <v>0.13174413391122403</v>
      </c>
      <c r="U91" s="29">
        <f t="shared" si="41"/>
        <v>0.13528229727101834</v>
      </c>
      <c r="V91" s="29">
        <f t="shared" si="41"/>
        <v>0.15748002503774072</v>
      </c>
      <c r="W91" s="29">
        <f t="shared" si="41"/>
        <v>0.12354866870362287</v>
      </c>
      <c r="X91" s="29">
        <f t="shared" si="41"/>
        <v>0.14170530135053416</v>
      </c>
      <c r="Y91" s="29">
        <f t="shared" si="41"/>
        <v>0.1094001071237279</v>
      </c>
      <c r="Z91" s="29">
        <f t="shared" si="41"/>
        <v>0.17726171581321526</v>
      </c>
      <c r="AA91" s="29">
        <f t="shared" si="41"/>
        <v>0.13289686251169119</v>
      </c>
      <c r="AB91" s="29">
        <f t="shared" si="41"/>
        <v>0.1359765329295988</v>
      </c>
      <c r="AC91" s="29">
        <f t="shared" si="41"/>
        <v>0.12425216537190821</v>
      </c>
      <c r="AD91" s="29">
        <f t="shared" si="41"/>
        <v>0.13987261146496816</v>
      </c>
    </row>
    <row r="92" spans="2:30">
      <c r="B92" t="s">
        <v>319</v>
      </c>
      <c r="C92" t="s">
        <v>577</v>
      </c>
      <c r="D92" s="29">
        <f t="shared" ref="D92:AD92" si="42">D78/D$83</f>
        <v>0.41603404938428068</v>
      </c>
      <c r="E92" s="29">
        <f t="shared" si="42"/>
        <v>0.44451648758799556</v>
      </c>
      <c r="F92" s="29">
        <f t="shared" si="42"/>
        <v>0.38099516378987869</v>
      </c>
      <c r="G92" s="29">
        <f t="shared" si="42"/>
        <v>0.3963298218818086</v>
      </c>
      <c r="H92" s="29">
        <f t="shared" si="42"/>
        <v>0.43393289519197509</v>
      </c>
      <c r="I92" s="29">
        <f t="shared" si="42"/>
        <v>0.42684206278750708</v>
      </c>
      <c r="J92" s="29">
        <f t="shared" si="42"/>
        <v>0.43194348725017229</v>
      </c>
      <c r="K92" s="29">
        <f t="shared" si="42"/>
        <v>0.40058874626001351</v>
      </c>
      <c r="L92" s="29">
        <f t="shared" si="42"/>
        <v>0.40501519756838905</v>
      </c>
      <c r="M92" s="29">
        <f t="shared" si="42"/>
        <v>0.42344107084557625</v>
      </c>
      <c r="N92" s="29">
        <f t="shared" si="42"/>
        <v>0.42741208295761945</v>
      </c>
      <c r="O92" s="29">
        <f t="shared" si="42"/>
        <v>0.4260158708441647</v>
      </c>
      <c r="P92" s="29">
        <f t="shared" si="42"/>
        <v>0.38554510305355133</v>
      </c>
      <c r="Q92" s="29">
        <f t="shared" si="42"/>
        <v>0.43658810325476993</v>
      </c>
      <c r="R92" s="29">
        <f t="shared" si="42"/>
        <v>0.44069026957468571</v>
      </c>
      <c r="S92" s="29">
        <f t="shared" si="42"/>
        <v>0.44624452359189332</v>
      </c>
      <c r="T92" s="29">
        <f t="shared" si="42"/>
        <v>0.44255965725103374</v>
      </c>
      <c r="U92" s="29">
        <f t="shared" si="42"/>
        <v>0.43780385039216957</v>
      </c>
      <c r="V92" s="29">
        <f t="shared" si="42"/>
        <v>0.41860893258220111</v>
      </c>
      <c r="W92" s="29">
        <f t="shared" si="42"/>
        <v>0.44727193365342643</v>
      </c>
      <c r="X92" s="29">
        <f t="shared" si="42"/>
        <v>0.45111872606329367</v>
      </c>
      <c r="Y92" s="29">
        <f t="shared" si="42"/>
        <v>0.47393322620960543</v>
      </c>
      <c r="Z92" s="29">
        <f t="shared" si="42"/>
        <v>0.42185281095981958</v>
      </c>
      <c r="AA92" s="29">
        <f t="shared" si="42"/>
        <v>0.45140719326587875</v>
      </c>
      <c r="AB92" s="29">
        <f t="shared" si="42"/>
        <v>0.43461392884178651</v>
      </c>
      <c r="AC92" s="29">
        <f t="shared" si="42"/>
        <v>0.47642646664880794</v>
      </c>
      <c r="AD92" s="29">
        <f t="shared" si="42"/>
        <v>0.47847133757961785</v>
      </c>
    </row>
    <row r="93" spans="2:30">
      <c r="B93" t="s">
        <v>320</v>
      </c>
      <c r="C93" t="s">
        <v>577</v>
      </c>
      <c r="D93" s="29">
        <f t="shared" ref="D93:AD93" si="43">D79/D$83</f>
        <v>0.1822824916038274</v>
      </c>
      <c r="E93" s="29">
        <f t="shared" si="43"/>
        <v>0.180715079659133</v>
      </c>
      <c r="F93" s="29">
        <f t="shared" si="43"/>
        <v>0.18539250788222092</v>
      </c>
      <c r="G93" s="29">
        <f t="shared" si="43"/>
        <v>0.18314952494328518</v>
      </c>
      <c r="H93" s="29">
        <f t="shared" si="43"/>
        <v>0.17208578346592873</v>
      </c>
      <c r="I93" s="29">
        <f t="shared" si="43"/>
        <v>0.18561859414090873</v>
      </c>
      <c r="J93" s="29">
        <f t="shared" si="43"/>
        <v>0.18487250172294969</v>
      </c>
      <c r="K93" s="29">
        <f t="shared" si="43"/>
        <v>0.15476305375928964</v>
      </c>
      <c r="L93" s="29">
        <f t="shared" si="43"/>
        <v>0.18386135141454291</v>
      </c>
      <c r="M93" s="29">
        <f t="shared" si="43"/>
        <v>0.18666340189356839</v>
      </c>
      <c r="N93" s="29">
        <f t="shared" si="43"/>
        <v>0.1774987861552334</v>
      </c>
      <c r="O93" s="29">
        <f t="shared" si="43"/>
        <v>0.16961964701053495</v>
      </c>
      <c r="P93" s="29">
        <f t="shared" si="43"/>
        <v>0.17849423082777727</v>
      </c>
      <c r="Q93" s="29">
        <f t="shared" si="43"/>
        <v>0.20763187429854096</v>
      </c>
      <c r="R93" s="29">
        <f t="shared" si="43"/>
        <v>0.17251790015507967</v>
      </c>
      <c r="S93" s="29">
        <f t="shared" si="43"/>
        <v>0.20499889683865477</v>
      </c>
      <c r="T93" s="29">
        <f t="shared" si="43"/>
        <v>0.19287102077417426</v>
      </c>
      <c r="U93" s="29">
        <f t="shared" si="43"/>
        <v>0.19125559084721591</v>
      </c>
      <c r="V93" s="29">
        <f t="shared" si="43"/>
        <v>0.17253948967193194</v>
      </c>
      <c r="W93" s="29">
        <f t="shared" si="43"/>
        <v>0.19334351811436054</v>
      </c>
      <c r="X93" s="29">
        <f t="shared" si="43"/>
        <v>0.17173956863535578</v>
      </c>
      <c r="Y93" s="29">
        <f t="shared" si="43"/>
        <v>0.18300303517229066</v>
      </c>
      <c r="Z93" s="29">
        <f t="shared" si="43"/>
        <v>0.15053044858407819</v>
      </c>
      <c r="AA93" s="29">
        <f t="shared" si="43"/>
        <v>0.17745089703256525</v>
      </c>
      <c r="AB93" s="29">
        <f t="shared" si="43"/>
        <v>0.18679031037093111</v>
      </c>
      <c r="AC93" s="29">
        <f t="shared" si="43"/>
        <v>0.16965800517903384</v>
      </c>
      <c r="AD93" s="29">
        <f t="shared" si="43"/>
        <v>0.15821656050955413</v>
      </c>
    </row>
    <row r="94" spans="2:30">
      <c r="B94" t="s">
        <v>321</v>
      </c>
      <c r="C94" t="s">
        <v>577</v>
      </c>
      <c r="D94" s="29">
        <f t="shared" ref="D94:AD94" si="44">D80/D$83</f>
        <v>4.8873117461926789E-2</v>
      </c>
      <c r="E94" s="29">
        <f t="shared" si="44"/>
        <v>4.2515746572804741E-2</v>
      </c>
      <c r="F94" s="29">
        <f t="shared" si="44"/>
        <v>5.9741222679420725E-2</v>
      </c>
      <c r="G94" s="29">
        <f t="shared" si="44"/>
        <v>5.181824307630107E-2</v>
      </c>
      <c r="H94" s="29">
        <f t="shared" si="44"/>
        <v>4.0009224028594491E-2</v>
      </c>
      <c r="I94" s="29">
        <f t="shared" si="44"/>
        <v>4.5113388749899119E-2</v>
      </c>
      <c r="J94" s="29">
        <f t="shared" si="44"/>
        <v>4.4796691936595454E-2</v>
      </c>
      <c r="K94" s="29">
        <f t="shared" si="44"/>
        <v>4.0005790946819803E-2</v>
      </c>
      <c r="L94" s="29">
        <f t="shared" si="44"/>
        <v>5.4331306990881456E-2</v>
      </c>
      <c r="M94" s="29">
        <f t="shared" si="44"/>
        <v>4.2850146914789423E-2</v>
      </c>
      <c r="N94" s="29">
        <f t="shared" si="44"/>
        <v>4.3559686481237425E-2</v>
      </c>
      <c r="O94" s="29">
        <f t="shared" si="44"/>
        <v>4.0087563278150225E-2</v>
      </c>
      <c r="P94" s="29">
        <f t="shared" si="44"/>
        <v>5.4190641458885136E-2</v>
      </c>
      <c r="Q94" s="29">
        <f t="shared" si="44"/>
        <v>4.1775782516523259E-2</v>
      </c>
      <c r="R94" s="29">
        <f t="shared" si="44"/>
        <v>4.4453426601115252E-2</v>
      </c>
      <c r="S94" s="29">
        <f t="shared" si="44"/>
        <v>4.4189491600214327E-2</v>
      </c>
      <c r="T94" s="29">
        <f t="shared" si="44"/>
        <v>4.2046530164898122E-2</v>
      </c>
      <c r="U94" s="29">
        <f t="shared" si="44"/>
        <v>4.099954625008103E-2</v>
      </c>
      <c r="V94" s="29">
        <f t="shared" si="44"/>
        <v>4.1017710519533117E-2</v>
      </c>
      <c r="W94" s="29">
        <f t="shared" si="44"/>
        <v>4.7708424268878218E-2</v>
      </c>
      <c r="X94" s="29">
        <f t="shared" si="44"/>
        <v>3.4267284821608547E-2</v>
      </c>
      <c r="Y94" s="29">
        <f t="shared" si="44"/>
        <v>4.209069808962685E-2</v>
      </c>
      <c r="Z94" s="29">
        <f t="shared" si="44"/>
        <v>2.8986717901595523E-2</v>
      </c>
      <c r="AA94" s="29">
        <f t="shared" si="44"/>
        <v>3.7326757928747553E-2</v>
      </c>
      <c r="AB94" s="29">
        <f t="shared" si="44"/>
        <v>3.79447388342165E-2</v>
      </c>
      <c r="AC94" s="29">
        <f t="shared" si="44"/>
        <v>3.0717028306098758E-2</v>
      </c>
      <c r="AD94" s="29">
        <f t="shared" si="44"/>
        <v>3.5668789808917196E-2</v>
      </c>
    </row>
    <row r="95" spans="2:30">
      <c r="B95" t="s">
        <v>322</v>
      </c>
      <c r="C95" t="s">
        <v>577</v>
      </c>
      <c r="D95" s="29">
        <f t="shared" ref="D95:AD95" si="45">D81/D$83</f>
        <v>3.8810383794858794E-2</v>
      </c>
      <c r="E95" s="29">
        <f t="shared" si="45"/>
        <v>3.0381622823267878E-2</v>
      </c>
      <c r="F95" s="29">
        <f t="shared" si="45"/>
        <v>5.0172340084433283E-2</v>
      </c>
      <c r="G95" s="29">
        <f t="shared" si="45"/>
        <v>3.9756519395341527E-2</v>
      </c>
      <c r="H95" s="29">
        <f t="shared" si="45"/>
        <v>2.957454168107921E-2</v>
      </c>
      <c r="I95" s="29">
        <f t="shared" si="45"/>
        <v>3.1474457267371476E-2</v>
      </c>
      <c r="J95" s="29">
        <f t="shared" si="45"/>
        <v>2.8945554789800137E-2</v>
      </c>
      <c r="K95" s="29">
        <f t="shared" si="45"/>
        <v>2.8665186758034939E-2</v>
      </c>
      <c r="L95" s="29">
        <f t="shared" si="45"/>
        <v>3.7993920972644375E-2</v>
      </c>
      <c r="M95" s="29">
        <f t="shared" si="45"/>
        <v>2.8974861247143324E-2</v>
      </c>
      <c r="N95" s="29">
        <f t="shared" si="45"/>
        <v>3.1768051605743218E-2</v>
      </c>
      <c r="O95" s="29">
        <f t="shared" si="45"/>
        <v>3.0476125324941851E-2</v>
      </c>
      <c r="P95" s="29">
        <f t="shared" si="45"/>
        <v>5.1694218650105032E-2</v>
      </c>
      <c r="Q95" s="29">
        <f t="shared" si="45"/>
        <v>3.2007315957933241E-2</v>
      </c>
      <c r="R95" s="29">
        <f t="shared" si="45"/>
        <v>3.5429108786748938E-2</v>
      </c>
      <c r="S95" s="29">
        <f t="shared" si="45"/>
        <v>3.2369905758502224E-2</v>
      </c>
      <c r="T95" s="29">
        <f t="shared" si="45"/>
        <v>3.00901708763015E-2</v>
      </c>
      <c r="U95" s="29">
        <f t="shared" si="45"/>
        <v>2.9169637648278991E-2</v>
      </c>
      <c r="V95" s="29">
        <f t="shared" si="45"/>
        <v>2.864612099119997E-2</v>
      </c>
      <c r="W95" s="29">
        <f t="shared" si="45"/>
        <v>3.7363596682671321E-2</v>
      </c>
      <c r="X95" s="29">
        <f t="shared" si="45"/>
        <v>2.9631122757508566E-2</v>
      </c>
      <c r="Y95" s="29">
        <f t="shared" si="45"/>
        <v>2.9280485627566508E-2</v>
      </c>
      <c r="Z95" s="29">
        <f t="shared" si="45"/>
        <v>2.2972182775039679E-2</v>
      </c>
      <c r="AA95" s="29">
        <f t="shared" si="45"/>
        <v>2.890910636850608E-2</v>
      </c>
      <c r="AB95" s="29">
        <f t="shared" si="45"/>
        <v>3.0658591975775928E-2</v>
      </c>
      <c r="AC95" s="29">
        <f t="shared" si="45"/>
        <v>2.665416555049558E-2</v>
      </c>
      <c r="AD95" s="29">
        <f t="shared" si="45"/>
        <v>2.9554140127388533E-2</v>
      </c>
    </row>
    <row r="96" spans="2:30">
      <c r="B96" t="s">
        <v>323</v>
      </c>
      <c r="C96" t="s">
        <v>577</v>
      </c>
      <c r="D96" s="29">
        <f t="shared" ref="D96:AD96" si="46">D82/D$83</f>
        <v>1.3018820100120398E-2</v>
      </c>
      <c r="E96" s="29">
        <f t="shared" si="46"/>
        <v>7.1322712115598373E-3</v>
      </c>
      <c r="F96" s="29">
        <f t="shared" si="46"/>
        <v>2.0767648159033827E-2</v>
      </c>
      <c r="G96" s="29">
        <f t="shared" si="46"/>
        <v>1.2488488578423666E-2</v>
      </c>
      <c r="H96" s="29">
        <f t="shared" si="46"/>
        <v>8.3592759137553329E-3</v>
      </c>
      <c r="I96" s="29">
        <f t="shared" si="46"/>
        <v>7.2633362924703418E-3</v>
      </c>
      <c r="J96" s="29">
        <f t="shared" si="46"/>
        <v>6.3749138525155064E-3</v>
      </c>
      <c r="K96" s="29">
        <f t="shared" si="46"/>
        <v>1.0182414824823859E-2</v>
      </c>
      <c r="L96" s="29">
        <f t="shared" si="46"/>
        <v>1.2917933130699088E-2</v>
      </c>
      <c r="M96" s="29">
        <f t="shared" si="46"/>
        <v>7.0192621612797908E-3</v>
      </c>
      <c r="N96" s="29">
        <f t="shared" si="46"/>
        <v>7.5605188319345217E-3</v>
      </c>
      <c r="O96" s="29">
        <f t="shared" si="46"/>
        <v>7.6275824326173212E-3</v>
      </c>
      <c r="P96" s="29">
        <f t="shared" si="46"/>
        <v>1.841872925990197E-2</v>
      </c>
      <c r="Q96" s="29">
        <f t="shared" si="46"/>
        <v>7.399093818846905E-3</v>
      </c>
      <c r="R96" s="29">
        <f t="shared" si="46"/>
        <v>9.8079651565644906E-3</v>
      </c>
      <c r="S96" s="29">
        <f t="shared" si="46"/>
        <v>7.8797238944747373E-3</v>
      </c>
      <c r="T96" s="29">
        <f t="shared" si="46"/>
        <v>7.6221790464803471E-3</v>
      </c>
      <c r="U96" s="29">
        <f t="shared" si="46"/>
        <v>7.5841057885525373E-3</v>
      </c>
      <c r="V96" s="29">
        <f t="shared" si="46"/>
        <v>7.4745020067012776E-3</v>
      </c>
      <c r="W96" s="29">
        <f t="shared" si="46"/>
        <v>1.1217808817110432E-2</v>
      </c>
      <c r="X96" s="29">
        <f t="shared" si="46"/>
        <v>7.2566014916347508E-3</v>
      </c>
      <c r="Y96" s="29">
        <f t="shared" si="46"/>
        <v>7.4540260667737904E-3</v>
      </c>
      <c r="Z96" s="29">
        <f t="shared" si="46"/>
        <v>5.9309999164647896E-3</v>
      </c>
      <c r="AA96" s="29">
        <f t="shared" si="46"/>
        <v>7.1422498086897374E-3</v>
      </c>
      <c r="AB96" s="29">
        <f t="shared" si="46"/>
        <v>8.2323996971990915E-3</v>
      </c>
      <c r="AC96" s="29">
        <f t="shared" si="46"/>
        <v>6.920260737565854E-3</v>
      </c>
      <c r="AD96" s="29">
        <f t="shared" si="46"/>
        <v>6.8789808917197456E-3</v>
      </c>
    </row>
    <row r="97" spans="2:30">
      <c r="B97" s="79" t="s">
        <v>16</v>
      </c>
      <c r="C97" s="79" t="s">
        <v>577</v>
      </c>
      <c r="D97" s="102">
        <f t="shared" ref="D97:AD97" si="47">SUM(D90:D96)</f>
        <v>1</v>
      </c>
      <c r="E97" s="102">
        <f t="shared" si="47"/>
        <v>1</v>
      </c>
      <c r="F97" s="102">
        <f t="shared" si="47"/>
        <v>1</v>
      </c>
      <c r="G97" s="102">
        <f t="shared" si="47"/>
        <v>1.0000000000000002</v>
      </c>
      <c r="H97" s="102">
        <f t="shared" si="47"/>
        <v>1</v>
      </c>
      <c r="I97" s="102">
        <f t="shared" si="47"/>
        <v>1</v>
      </c>
      <c r="J97" s="102">
        <f t="shared" si="47"/>
        <v>0.99999999999999989</v>
      </c>
      <c r="K97" s="102">
        <f t="shared" si="47"/>
        <v>1</v>
      </c>
      <c r="L97" s="102">
        <f t="shared" si="47"/>
        <v>1</v>
      </c>
      <c r="M97" s="102">
        <f t="shared" si="47"/>
        <v>0.99999999999999989</v>
      </c>
      <c r="N97" s="102">
        <f t="shared" si="47"/>
        <v>1</v>
      </c>
      <c r="O97" s="102">
        <f t="shared" si="47"/>
        <v>0.99999999999999978</v>
      </c>
      <c r="P97" s="102">
        <f t="shared" si="47"/>
        <v>0.99999999999999989</v>
      </c>
      <c r="Q97" s="102">
        <f t="shared" si="47"/>
        <v>1</v>
      </c>
      <c r="R97" s="102">
        <f t="shared" si="47"/>
        <v>1.0000000000000002</v>
      </c>
      <c r="S97" s="102">
        <f t="shared" si="47"/>
        <v>1</v>
      </c>
      <c r="T97" s="102">
        <f t="shared" si="47"/>
        <v>1</v>
      </c>
      <c r="U97" s="102">
        <f t="shared" si="47"/>
        <v>1</v>
      </c>
      <c r="V97" s="102">
        <f t="shared" si="47"/>
        <v>0.99999999999999989</v>
      </c>
      <c r="W97" s="102">
        <f t="shared" si="47"/>
        <v>1</v>
      </c>
      <c r="X97" s="102">
        <f t="shared" si="47"/>
        <v>1</v>
      </c>
      <c r="Y97" s="102">
        <f t="shared" si="47"/>
        <v>0.99999999999999989</v>
      </c>
      <c r="Z97" s="102">
        <f t="shared" si="47"/>
        <v>1</v>
      </c>
      <c r="AA97" s="102">
        <f t="shared" si="47"/>
        <v>0.99999999999999989</v>
      </c>
      <c r="AB97" s="102">
        <f t="shared" si="47"/>
        <v>1</v>
      </c>
      <c r="AC97" s="102">
        <f t="shared" si="47"/>
        <v>1</v>
      </c>
      <c r="AD97" s="102">
        <f t="shared" si="47"/>
        <v>1</v>
      </c>
    </row>
    <row r="101" spans="2:30" ht="15.5">
      <c r="B101" s="101" t="s">
        <v>576</v>
      </c>
    </row>
    <row r="102" spans="2:30">
      <c r="B102" s="81" t="s">
        <v>573</v>
      </c>
      <c r="C102" s="81" t="s">
        <v>63</v>
      </c>
      <c r="D102" s="81" t="str">
        <f>D89</f>
        <v>IE</v>
      </c>
      <c r="E102" s="81" t="str">
        <f t="shared" ref="E102:AD102" si="48">E89</f>
        <v>IE-CW</v>
      </c>
      <c r="F102" s="81" t="str">
        <f t="shared" si="48"/>
        <v>IE-D</v>
      </c>
      <c r="G102" s="81" t="str">
        <f t="shared" si="48"/>
        <v>IE-KE</v>
      </c>
      <c r="H102" s="81" t="str">
        <f t="shared" si="48"/>
        <v>IE-KK</v>
      </c>
      <c r="I102" s="81" t="str">
        <f t="shared" si="48"/>
        <v>IE-LS</v>
      </c>
      <c r="J102" s="81" t="str">
        <f t="shared" si="48"/>
        <v>IE-LD</v>
      </c>
      <c r="K102" s="81" t="str">
        <f t="shared" si="48"/>
        <v>IE-LH</v>
      </c>
      <c r="L102" s="81" t="str">
        <f t="shared" si="48"/>
        <v>IE-MH</v>
      </c>
      <c r="M102" s="81" t="str">
        <f t="shared" si="48"/>
        <v>IE-OY</v>
      </c>
      <c r="N102" s="81" t="str">
        <f t="shared" si="48"/>
        <v>IE-WH</v>
      </c>
      <c r="O102" s="81" t="str">
        <f t="shared" si="48"/>
        <v>IE-WX</v>
      </c>
      <c r="P102" s="81" t="str">
        <f t="shared" si="48"/>
        <v>IE-WW</v>
      </c>
      <c r="Q102" s="81" t="str">
        <f t="shared" si="48"/>
        <v>IE-CE</v>
      </c>
      <c r="R102" s="81" t="str">
        <f t="shared" si="48"/>
        <v>IE-CO</v>
      </c>
      <c r="S102" s="81" t="str">
        <f t="shared" si="48"/>
        <v>IE-KY</v>
      </c>
      <c r="T102" s="81" t="str">
        <f t="shared" si="48"/>
        <v>IE-LK</v>
      </c>
      <c r="U102" s="81" t="str">
        <f t="shared" si="48"/>
        <v>IE-TA</v>
      </c>
      <c r="V102" s="81" t="str">
        <f t="shared" si="48"/>
        <v>IE-WD</v>
      </c>
      <c r="W102" s="81" t="str">
        <f t="shared" si="48"/>
        <v>IE-G</v>
      </c>
      <c r="X102" s="81" t="str">
        <f t="shared" si="48"/>
        <v>IE-LM</v>
      </c>
      <c r="Y102" s="81" t="str">
        <f t="shared" si="48"/>
        <v>IE-MO</v>
      </c>
      <c r="Z102" s="81" t="str">
        <f t="shared" si="48"/>
        <v>IE-RN</v>
      </c>
      <c r="AA102" s="81" t="str">
        <f t="shared" si="48"/>
        <v>IE-SO</v>
      </c>
      <c r="AB102" s="81" t="str">
        <f t="shared" si="48"/>
        <v>IE-CN</v>
      </c>
      <c r="AC102" s="81" t="str">
        <f t="shared" si="48"/>
        <v>IE-DL</v>
      </c>
      <c r="AD102" s="81" t="str">
        <f t="shared" si="48"/>
        <v>IE-MN</v>
      </c>
    </row>
    <row r="103" spans="2:30">
      <c r="B103" t="s">
        <v>317</v>
      </c>
      <c r="C103" t="s">
        <v>578</v>
      </c>
      <c r="D103" s="177">
        <v>1.5410369892896236</v>
      </c>
      <c r="E103" s="177">
        <v>1.5410369892896236</v>
      </c>
      <c r="F103" s="177">
        <v>1.5410369892896236</v>
      </c>
      <c r="G103" s="177">
        <v>1.5410369892896236</v>
      </c>
      <c r="H103" s="177">
        <v>1.5410369892896236</v>
      </c>
      <c r="I103" s="177">
        <v>1.5410369892896236</v>
      </c>
      <c r="J103" s="177">
        <v>1.5410369892896236</v>
      </c>
      <c r="K103" s="177">
        <v>1.5410369892896236</v>
      </c>
      <c r="L103" s="177">
        <v>1.5410369892896236</v>
      </c>
      <c r="M103" s="177">
        <v>1.5410369892896236</v>
      </c>
      <c r="N103" s="177">
        <v>1.5410369892896236</v>
      </c>
      <c r="O103" s="177">
        <v>1.5410369892896236</v>
      </c>
      <c r="P103" s="177">
        <v>1.5410369892896236</v>
      </c>
      <c r="Q103" s="177">
        <v>1.5410369892896236</v>
      </c>
      <c r="R103" s="177">
        <v>1.5410369892896236</v>
      </c>
      <c r="S103" s="177">
        <v>1.5410369892896236</v>
      </c>
      <c r="T103" s="177">
        <v>1.5410369892896236</v>
      </c>
      <c r="U103" s="177">
        <v>1.5410369892896236</v>
      </c>
      <c r="V103" s="177">
        <v>1.5410369892896236</v>
      </c>
      <c r="W103" s="177">
        <v>1.5410369892896236</v>
      </c>
      <c r="X103" s="177">
        <v>1.5410369892896236</v>
      </c>
      <c r="Y103" s="177">
        <v>1.5410369892896236</v>
      </c>
      <c r="Z103" s="177">
        <v>1.5410369892896236</v>
      </c>
      <c r="AA103" s="177">
        <v>1.5410369892896236</v>
      </c>
      <c r="AB103" s="177">
        <v>1.5410369892896236</v>
      </c>
      <c r="AC103" s="177">
        <v>1.5410369892896236</v>
      </c>
      <c r="AD103" s="177">
        <v>1.5410369892896236</v>
      </c>
    </row>
    <row r="104" spans="2:30">
      <c r="B104" t="s">
        <v>318</v>
      </c>
      <c r="C104" t="s">
        <v>578</v>
      </c>
      <c r="D104" s="177">
        <v>1.5689674081337737</v>
      </c>
      <c r="E104" s="177">
        <v>1.5689674081337737</v>
      </c>
      <c r="F104" s="177">
        <v>1.5689674081337737</v>
      </c>
      <c r="G104" s="177">
        <v>1.5689674081337737</v>
      </c>
      <c r="H104" s="177">
        <v>1.5689674081337737</v>
      </c>
      <c r="I104" s="177">
        <v>1.5689674081337737</v>
      </c>
      <c r="J104" s="177">
        <v>1.5689674081337737</v>
      </c>
      <c r="K104" s="177">
        <v>1.5689674081337737</v>
      </c>
      <c r="L104" s="177">
        <v>1.5689674081337737</v>
      </c>
      <c r="M104" s="177">
        <v>1.5689674081337737</v>
      </c>
      <c r="N104" s="177">
        <v>1.5689674081337737</v>
      </c>
      <c r="O104" s="177">
        <v>1.5689674081337737</v>
      </c>
      <c r="P104" s="177">
        <v>1.5689674081337737</v>
      </c>
      <c r="Q104" s="177">
        <v>1.5689674081337737</v>
      </c>
      <c r="R104" s="177">
        <v>1.5689674081337737</v>
      </c>
      <c r="S104" s="177">
        <v>1.5689674081337737</v>
      </c>
      <c r="T104" s="177">
        <v>1.5689674081337737</v>
      </c>
      <c r="U104" s="177">
        <v>1.5689674081337737</v>
      </c>
      <c r="V104" s="177">
        <v>1.5689674081337737</v>
      </c>
      <c r="W104" s="177">
        <v>1.5689674081337737</v>
      </c>
      <c r="X104" s="177">
        <v>1.5689674081337737</v>
      </c>
      <c r="Y104" s="177">
        <v>1.5689674081337737</v>
      </c>
      <c r="Z104" s="177">
        <v>1.5689674081337737</v>
      </c>
      <c r="AA104" s="177">
        <v>1.5689674081337737</v>
      </c>
      <c r="AB104" s="177">
        <v>1.5689674081337737</v>
      </c>
      <c r="AC104" s="177">
        <v>1.5689674081337737</v>
      </c>
      <c r="AD104" s="177">
        <v>1.5689674081337737</v>
      </c>
    </row>
    <row r="105" spans="2:30">
      <c r="B105" t="s">
        <v>319</v>
      </c>
      <c r="C105" t="s">
        <v>578</v>
      </c>
      <c r="D105" s="177">
        <v>1.7415357309829498</v>
      </c>
      <c r="E105" s="177">
        <v>1.7415357309829498</v>
      </c>
      <c r="F105" s="177">
        <v>1.7415357309829498</v>
      </c>
      <c r="G105" s="177">
        <v>1.7415357309829498</v>
      </c>
      <c r="H105" s="177">
        <v>1.7415357309829498</v>
      </c>
      <c r="I105" s="177">
        <v>1.7415357309829498</v>
      </c>
      <c r="J105" s="177">
        <v>1.7415357309829498</v>
      </c>
      <c r="K105" s="177">
        <v>1.7415357309829498</v>
      </c>
      <c r="L105" s="177">
        <v>1.7415357309829498</v>
      </c>
      <c r="M105" s="177">
        <v>1.7415357309829498</v>
      </c>
      <c r="N105" s="177">
        <v>1.7415357309829498</v>
      </c>
      <c r="O105" s="177">
        <v>1.7415357309829498</v>
      </c>
      <c r="P105" s="177">
        <v>1.7415357309829498</v>
      </c>
      <c r="Q105" s="177">
        <v>1.7415357309829498</v>
      </c>
      <c r="R105" s="177">
        <v>1.7415357309829498</v>
      </c>
      <c r="S105" s="177">
        <v>1.7415357309829498</v>
      </c>
      <c r="T105" s="177">
        <v>1.7415357309829498</v>
      </c>
      <c r="U105" s="177">
        <v>1.7415357309829498</v>
      </c>
      <c r="V105" s="177">
        <v>1.7415357309829498</v>
      </c>
      <c r="W105" s="177">
        <v>1.7415357309829498</v>
      </c>
      <c r="X105" s="177">
        <v>1.7415357309829498</v>
      </c>
      <c r="Y105" s="177">
        <v>1.7415357309829498</v>
      </c>
      <c r="Z105" s="177">
        <v>1.7415357309829498</v>
      </c>
      <c r="AA105" s="177">
        <v>1.7415357309829498</v>
      </c>
      <c r="AB105" s="177">
        <v>1.7415357309829498</v>
      </c>
      <c r="AC105" s="177">
        <v>1.7415357309829498</v>
      </c>
      <c r="AD105" s="177">
        <v>1.7415357309829498</v>
      </c>
    </row>
    <row r="106" spans="2:30">
      <c r="B106" t="s">
        <v>320</v>
      </c>
      <c r="C106" t="s">
        <v>578</v>
      </c>
      <c r="D106" s="177">
        <v>1.7596865383612372</v>
      </c>
      <c r="E106" s="177">
        <v>1.7596865383612372</v>
      </c>
      <c r="F106" s="177">
        <v>1.7596865383612372</v>
      </c>
      <c r="G106" s="177">
        <v>1.7596865383612372</v>
      </c>
      <c r="H106" s="177">
        <v>1.7596865383612372</v>
      </c>
      <c r="I106" s="177">
        <v>1.7596865383612372</v>
      </c>
      <c r="J106" s="177">
        <v>1.7596865383612372</v>
      </c>
      <c r="K106" s="177">
        <v>1.7596865383612372</v>
      </c>
      <c r="L106" s="177">
        <v>1.7596865383612372</v>
      </c>
      <c r="M106" s="177">
        <v>1.7596865383612372</v>
      </c>
      <c r="N106" s="177">
        <v>1.7596865383612372</v>
      </c>
      <c r="O106" s="177">
        <v>1.7596865383612372</v>
      </c>
      <c r="P106" s="177">
        <v>1.7596865383612372</v>
      </c>
      <c r="Q106" s="177">
        <v>1.7596865383612372</v>
      </c>
      <c r="R106" s="177">
        <v>1.7596865383612372</v>
      </c>
      <c r="S106" s="177">
        <v>1.7596865383612372</v>
      </c>
      <c r="T106" s="177">
        <v>1.7596865383612372</v>
      </c>
      <c r="U106" s="177">
        <v>1.7596865383612372</v>
      </c>
      <c r="V106" s="177">
        <v>1.7596865383612372</v>
      </c>
      <c r="W106" s="177">
        <v>1.7596865383612372</v>
      </c>
      <c r="X106" s="177">
        <v>1.7596865383612372</v>
      </c>
      <c r="Y106" s="177">
        <v>1.7596865383612372</v>
      </c>
      <c r="Z106" s="177">
        <v>1.7596865383612372</v>
      </c>
      <c r="AA106" s="177">
        <v>1.7596865383612372</v>
      </c>
      <c r="AB106" s="177">
        <v>1.7596865383612372</v>
      </c>
      <c r="AC106" s="177">
        <v>1.7596865383612372</v>
      </c>
      <c r="AD106" s="177">
        <v>1.7596865383612372</v>
      </c>
    </row>
    <row r="107" spans="2:30">
      <c r="B107" t="s">
        <v>321</v>
      </c>
      <c r="C107" t="s">
        <v>578</v>
      </c>
      <c r="D107" s="177">
        <v>1.8433586255014824</v>
      </c>
      <c r="E107" s="177">
        <v>1.8433586255014824</v>
      </c>
      <c r="F107" s="177">
        <v>1.8433586255014824</v>
      </c>
      <c r="G107" s="177">
        <v>1.8433586255014824</v>
      </c>
      <c r="H107" s="177">
        <v>1.8433586255014824</v>
      </c>
      <c r="I107" s="177">
        <v>1.8433586255014824</v>
      </c>
      <c r="J107" s="177">
        <v>1.8433586255014824</v>
      </c>
      <c r="K107" s="177">
        <v>1.8433586255014824</v>
      </c>
      <c r="L107" s="177">
        <v>1.8433586255014824</v>
      </c>
      <c r="M107" s="177">
        <v>1.8433586255014824</v>
      </c>
      <c r="N107" s="177">
        <v>1.8433586255014824</v>
      </c>
      <c r="O107" s="177">
        <v>1.8433586255014824</v>
      </c>
      <c r="P107" s="177">
        <v>1.8433586255014824</v>
      </c>
      <c r="Q107" s="177">
        <v>1.8433586255014824</v>
      </c>
      <c r="R107" s="177">
        <v>1.8433586255014824</v>
      </c>
      <c r="S107" s="177">
        <v>1.8433586255014824</v>
      </c>
      <c r="T107" s="177">
        <v>1.8433586255014824</v>
      </c>
      <c r="U107" s="177">
        <v>1.8433586255014824</v>
      </c>
      <c r="V107" s="177">
        <v>1.8433586255014824</v>
      </c>
      <c r="W107" s="177">
        <v>1.8433586255014824</v>
      </c>
      <c r="X107" s="177">
        <v>1.8433586255014824</v>
      </c>
      <c r="Y107" s="177">
        <v>1.8433586255014824</v>
      </c>
      <c r="Z107" s="177">
        <v>1.8433586255014824</v>
      </c>
      <c r="AA107" s="177">
        <v>1.8433586255014824</v>
      </c>
      <c r="AB107" s="177">
        <v>1.8433586255014824</v>
      </c>
      <c r="AC107" s="177">
        <v>1.8433586255014824</v>
      </c>
      <c r="AD107" s="177">
        <v>1.8433586255014824</v>
      </c>
    </row>
    <row r="108" spans="2:30">
      <c r="B108" t="s">
        <v>322</v>
      </c>
      <c r="C108" t="s">
        <v>578</v>
      </c>
      <c r="D108" s="177">
        <v>1.8529030871906271</v>
      </c>
      <c r="E108" s="177">
        <v>1.8529030871906271</v>
      </c>
      <c r="F108" s="177">
        <v>1.8529030871906271</v>
      </c>
      <c r="G108" s="177">
        <v>1.8529030871906271</v>
      </c>
      <c r="H108" s="177">
        <v>1.8529030871906271</v>
      </c>
      <c r="I108" s="177">
        <v>1.8529030871906271</v>
      </c>
      <c r="J108" s="177">
        <v>1.8529030871906271</v>
      </c>
      <c r="K108" s="177">
        <v>1.8529030871906271</v>
      </c>
      <c r="L108" s="177">
        <v>1.8529030871906271</v>
      </c>
      <c r="M108" s="177">
        <v>1.8529030871906271</v>
      </c>
      <c r="N108" s="177">
        <v>1.8529030871906271</v>
      </c>
      <c r="O108" s="177">
        <v>1.8529030871906271</v>
      </c>
      <c r="P108" s="177">
        <v>1.8529030871906271</v>
      </c>
      <c r="Q108" s="177">
        <v>1.8529030871906271</v>
      </c>
      <c r="R108" s="177">
        <v>1.8529030871906271</v>
      </c>
      <c r="S108" s="177">
        <v>1.8529030871906271</v>
      </c>
      <c r="T108" s="177">
        <v>1.8529030871906271</v>
      </c>
      <c r="U108" s="177">
        <v>1.8529030871906271</v>
      </c>
      <c r="V108" s="177">
        <v>1.8529030871906271</v>
      </c>
      <c r="W108" s="177">
        <v>1.8529030871906271</v>
      </c>
      <c r="X108" s="177">
        <v>1.8529030871906271</v>
      </c>
      <c r="Y108" s="177">
        <v>1.8529030871906271</v>
      </c>
      <c r="Z108" s="177">
        <v>1.8529030871906271</v>
      </c>
      <c r="AA108" s="177">
        <v>1.8529030871906271</v>
      </c>
      <c r="AB108" s="177">
        <v>1.8529030871906271</v>
      </c>
      <c r="AC108" s="177">
        <v>1.8529030871906271</v>
      </c>
      <c r="AD108" s="177">
        <v>1.8529030871906271</v>
      </c>
    </row>
    <row r="109" spans="2:30">
      <c r="B109" s="79" t="s">
        <v>323</v>
      </c>
      <c r="C109" s="79" t="s">
        <v>578</v>
      </c>
      <c r="D109" s="178">
        <v>2.076438345513917</v>
      </c>
      <c r="E109" s="178">
        <v>2.076438345513917</v>
      </c>
      <c r="F109" s="178">
        <v>2.076438345513917</v>
      </c>
      <c r="G109" s="178">
        <v>2.076438345513917</v>
      </c>
      <c r="H109" s="178">
        <v>2.076438345513917</v>
      </c>
      <c r="I109" s="178">
        <v>2.076438345513917</v>
      </c>
      <c r="J109" s="178">
        <v>2.076438345513917</v>
      </c>
      <c r="K109" s="178">
        <v>2.076438345513917</v>
      </c>
      <c r="L109" s="178">
        <v>2.076438345513917</v>
      </c>
      <c r="M109" s="178">
        <v>2.076438345513917</v>
      </c>
      <c r="N109" s="178">
        <v>2.076438345513917</v>
      </c>
      <c r="O109" s="178">
        <v>2.076438345513917</v>
      </c>
      <c r="P109" s="178">
        <v>2.076438345513917</v>
      </c>
      <c r="Q109" s="178">
        <v>2.076438345513917</v>
      </c>
      <c r="R109" s="178">
        <v>2.076438345513917</v>
      </c>
      <c r="S109" s="178">
        <v>2.076438345513917</v>
      </c>
      <c r="T109" s="178">
        <v>2.076438345513917</v>
      </c>
      <c r="U109" s="178">
        <v>2.076438345513917</v>
      </c>
      <c r="V109" s="178">
        <v>2.076438345513917</v>
      </c>
      <c r="W109" s="178">
        <v>2.076438345513917</v>
      </c>
      <c r="X109" s="178">
        <v>2.076438345513917</v>
      </c>
      <c r="Y109" s="178">
        <v>2.076438345513917</v>
      </c>
      <c r="Z109" s="178">
        <v>2.076438345513917</v>
      </c>
      <c r="AA109" s="178">
        <v>2.076438345513917</v>
      </c>
      <c r="AB109" s="178">
        <v>2.076438345513917</v>
      </c>
      <c r="AC109" s="178">
        <v>2.076438345513917</v>
      </c>
      <c r="AD109" s="178">
        <v>2.076438345513917</v>
      </c>
    </row>
    <row r="110" spans="2:30">
      <c r="B110" t="s">
        <v>582</v>
      </c>
    </row>
    <row r="114" spans="2:30" ht="15.5">
      <c r="B114" s="101" t="s">
        <v>576</v>
      </c>
    </row>
    <row r="115" spans="2:30">
      <c r="B115" s="81" t="s">
        <v>573</v>
      </c>
      <c r="C115" s="81" t="s">
        <v>63</v>
      </c>
      <c r="D115" s="81" t="str">
        <f t="shared" ref="D115:AD115" si="49">D102</f>
        <v>IE</v>
      </c>
      <c r="E115" s="81" t="str">
        <f t="shared" si="49"/>
        <v>IE-CW</v>
      </c>
      <c r="F115" s="81" t="str">
        <f t="shared" si="49"/>
        <v>IE-D</v>
      </c>
      <c r="G115" s="81" t="str">
        <f t="shared" si="49"/>
        <v>IE-KE</v>
      </c>
      <c r="H115" s="81" t="str">
        <f t="shared" si="49"/>
        <v>IE-KK</v>
      </c>
      <c r="I115" s="81" t="str">
        <f t="shared" si="49"/>
        <v>IE-LS</v>
      </c>
      <c r="J115" s="81" t="str">
        <f t="shared" si="49"/>
        <v>IE-LD</v>
      </c>
      <c r="K115" s="81" t="str">
        <f t="shared" si="49"/>
        <v>IE-LH</v>
      </c>
      <c r="L115" s="81" t="str">
        <f t="shared" si="49"/>
        <v>IE-MH</v>
      </c>
      <c r="M115" s="81" t="str">
        <f t="shared" si="49"/>
        <v>IE-OY</v>
      </c>
      <c r="N115" s="81" t="str">
        <f t="shared" si="49"/>
        <v>IE-WH</v>
      </c>
      <c r="O115" s="81" t="str">
        <f t="shared" si="49"/>
        <v>IE-WX</v>
      </c>
      <c r="P115" s="81" t="str">
        <f t="shared" si="49"/>
        <v>IE-WW</v>
      </c>
      <c r="Q115" s="81" t="str">
        <f t="shared" si="49"/>
        <v>IE-CE</v>
      </c>
      <c r="R115" s="81" t="str">
        <f t="shared" si="49"/>
        <v>IE-CO</v>
      </c>
      <c r="S115" s="81" t="str">
        <f t="shared" si="49"/>
        <v>IE-KY</v>
      </c>
      <c r="T115" s="81" t="str">
        <f t="shared" si="49"/>
        <v>IE-LK</v>
      </c>
      <c r="U115" s="81" t="str">
        <f t="shared" si="49"/>
        <v>IE-TA</v>
      </c>
      <c r="V115" s="81" t="str">
        <f t="shared" si="49"/>
        <v>IE-WD</v>
      </c>
      <c r="W115" s="81" t="str">
        <f t="shared" si="49"/>
        <v>IE-G</v>
      </c>
      <c r="X115" s="81" t="str">
        <f t="shared" si="49"/>
        <v>IE-LM</v>
      </c>
      <c r="Y115" s="81" t="str">
        <f t="shared" si="49"/>
        <v>IE-MO</v>
      </c>
      <c r="Z115" s="81" t="str">
        <f t="shared" si="49"/>
        <v>IE-RN</v>
      </c>
      <c r="AA115" s="81" t="str">
        <f t="shared" si="49"/>
        <v>IE-SO</v>
      </c>
      <c r="AB115" s="81" t="str">
        <f t="shared" si="49"/>
        <v>IE-CN</v>
      </c>
      <c r="AC115" s="81" t="str">
        <f t="shared" si="49"/>
        <v>IE-DL</v>
      </c>
      <c r="AD115" s="81" t="str">
        <f t="shared" si="49"/>
        <v>IE-MN</v>
      </c>
    </row>
    <row r="116" spans="2:30">
      <c r="B116" t="s">
        <v>594</v>
      </c>
      <c r="C116" t="s">
        <v>578</v>
      </c>
      <c r="D116" s="177">
        <f>SUMPRODUCT(D90:D96,D103:D109)/1.07</f>
        <v>1.5908844180519477</v>
      </c>
      <c r="E116" s="177">
        <f t="shared" ref="E116:AD116" si="50">SUMPRODUCT(E90:E96,E103:E109)/1.07</f>
        <v>1.5886887920792181</v>
      </c>
      <c r="F116" s="177">
        <f t="shared" si="50"/>
        <v>1.5954003220901261</v>
      </c>
      <c r="G116" s="177">
        <f t="shared" si="50"/>
        <v>1.5886340518203641</v>
      </c>
      <c r="H116" s="177">
        <f t="shared" si="50"/>
        <v>1.5847849986245739</v>
      </c>
      <c r="I116" s="177">
        <f t="shared" si="50"/>
        <v>1.5874070512523311</v>
      </c>
      <c r="J116" s="177">
        <f t="shared" si="50"/>
        <v>1.5865942906908945</v>
      </c>
      <c r="K116" s="177">
        <f t="shared" si="50"/>
        <v>1.5763905848128716</v>
      </c>
      <c r="L116" s="177">
        <f t="shared" si="50"/>
        <v>1.5908216771760577</v>
      </c>
      <c r="M116" s="177">
        <f t="shared" si="50"/>
        <v>1.5854053549540665</v>
      </c>
      <c r="N116" s="177">
        <f t="shared" si="50"/>
        <v>1.5858353299300201</v>
      </c>
      <c r="O116" s="177">
        <f t="shared" si="50"/>
        <v>1.5829055833679073</v>
      </c>
      <c r="P116" s="177">
        <f t="shared" si="50"/>
        <v>1.5928299470376179</v>
      </c>
      <c r="Q116" s="177">
        <f t="shared" si="50"/>
        <v>1.5926714010612895</v>
      </c>
      <c r="R116" s="177">
        <f t="shared" si="50"/>
        <v>1.5894644241988198</v>
      </c>
      <c r="S116" s="177">
        <f t="shared" si="50"/>
        <v>1.5948512448178676</v>
      </c>
      <c r="T116" s="177">
        <f t="shared" si="50"/>
        <v>1.5904645600243557</v>
      </c>
      <c r="U116" s="177">
        <f t="shared" si="50"/>
        <v>1.5887524876865953</v>
      </c>
      <c r="V116" s="177">
        <f t="shared" si="50"/>
        <v>1.5817082916351317</v>
      </c>
      <c r="W116" s="177">
        <f t="shared" si="50"/>
        <v>1.5967490152706583</v>
      </c>
      <c r="X116" s="177">
        <f t="shared" si="50"/>
        <v>1.5854955816873435</v>
      </c>
      <c r="Y116" s="177">
        <f t="shared" si="50"/>
        <v>1.5934360204697002</v>
      </c>
      <c r="Z116" s="177">
        <f t="shared" si="50"/>
        <v>1.5725096991820522</v>
      </c>
      <c r="AA116" s="177">
        <f t="shared" si="50"/>
        <v>1.5870835646213233</v>
      </c>
      <c r="AB116" s="177">
        <f t="shared" si="50"/>
        <v>1.5871556661079642</v>
      </c>
      <c r="AC116" s="177">
        <f t="shared" si="50"/>
        <v>1.5873177827630343</v>
      </c>
      <c r="AD116" s="177">
        <f t="shared" si="50"/>
        <v>1.5879943622417958</v>
      </c>
    </row>
    <row r="117" spans="2:30">
      <c r="B117" s="79"/>
      <c r="C117" s="79" t="s">
        <v>566</v>
      </c>
      <c r="D117" s="180">
        <f>1000/D116</f>
        <v>628.58117701882395</v>
      </c>
      <c r="E117" s="180">
        <f>1000/E116</f>
        <v>629.44989917832584</v>
      </c>
      <c r="F117" s="180">
        <f>1000/F116</f>
        <v>626.80192936773699</v>
      </c>
      <c r="G117" s="180">
        <f>1000/G116</f>
        <v>629.47158840900613</v>
      </c>
      <c r="H117" s="180">
        <f t="shared" ref="H117:AD117" si="51">1000/H116</f>
        <v>631.00042016292082</v>
      </c>
      <c r="I117" s="180">
        <f t="shared" si="51"/>
        <v>629.95814413894902</v>
      </c>
      <c r="J117" s="180">
        <f t="shared" si="51"/>
        <v>630.2808511711853</v>
      </c>
      <c r="K117" s="180">
        <f t="shared" si="51"/>
        <v>634.36055101706086</v>
      </c>
      <c r="L117" s="180">
        <f t="shared" si="51"/>
        <v>628.60596781353081</v>
      </c>
      <c r="M117" s="180">
        <f t="shared" si="51"/>
        <v>630.75351478737286</v>
      </c>
      <c r="N117" s="180">
        <f t="shared" si="51"/>
        <v>630.58249562653396</v>
      </c>
      <c r="O117" s="180">
        <f t="shared" si="51"/>
        <v>631.74961950183149</v>
      </c>
      <c r="P117" s="180">
        <f t="shared" si="51"/>
        <v>627.81340962343359</v>
      </c>
      <c r="Q117" s="180">
        <f t="shared" si="51"/>
        <v>627.87590668962969</v>
      </c>
      <c r="R117" s="180">
        <f t="shared" si="51"/>
        <v>629.1427381295789</v>
      </c>
      <c r="S117" s="180">
        <f t="shared" si="51"/>
        <v>627.01772547708686</v>
      </c>
      <c r="T117" s="180">
        <f t="shared" si="51"/>
        <v>628.74711272075524</v>
      </c>
      <c r="U117" s="180">
        <f t="shared" si="51"/>
        <v>629.42466353340785</v>
      </c>
      <c r="V117" s="180">
        <f t="shared" si="51"/>
        <v>632.2278294224684</v>
      </c>
      <c r="W117" s="180">
        <f t="shared" si="51"/>
        <v>626.27250146166159</v>
      </c>
      <c r="X117" s="180">
        <f t="shared" si="51"/>
        <v>630.71762012465695</v>
      </c>
      <c r="Y117" s="180">
        <f t="shared" si="51"/>
        <v>627.57461683665724</v>
      </c>
      <c r="Z117" s="180">
        <f t="shared" si="51"/>
        <v>635.92612530158283</v>
      </c>
      <c r="AA117" s="180">
        <f t="shared" si="51"/>
        <v>630.08654508913594</v>
      </c>
      <c r="AB117" s="180">
        <f t="shared" si="51"/>
        <v>630.05792144648797</v>
      </c>
      <c r="AC117" s="180">
        <f t="shared" si="51"/>
        <v>629.99357208693664</v>
      </c>
      <c r="AD117" s="180">
        <f t="shared" si="51"/>
        <v>629.72515758071381</v>
      </c>
    </row>
    <row r="118" spans="2:30">
      <c r="B118" t="s">
        <v>1096</v>
      </c>
    </row>
    <row r="120" spans="2:30">
      <c r="B120" s="182"/>
      <c r="C120" s="182"/>
      <c r="D120" s="182"/>
      <c r="E120" s="182"/>
      <c r="F120" s="182"/>
      <c r="G120" s="182"/>
      <c r="H120" s="182"/>
      <c r="I120" s="182"/>
      <c r="J120" s="182"/>
      <c r="K120" s="182"/>
      <c r="L120" s="182"/>
      <c r="M120" s="182"/>
      <c r="N120" s="182"/>
      <c r="O120" s="182"/>
      <c r="P120" s="182"/>
      <c r="Q120" s="182"/>
      <c r="R120" s="182"/>
      <c r="S120" s="182"/>
      <c r="T120" s="182"/>
      <c r="U120" s="182"/>
      <c r="V120" s="182"/>
      <c r="W120" s="182"/>
      <c r="X120" s="182"/>
      <c r="Y120" s="182"/>
      <c r="Z120" s="182"/>
      <c r="AA120" s="182"/>
      <c r="AB120" s="182"/>
      <c r="AC120" s="182"/>
      <c r="AD120" s="182"/>
    </row>
    <row r="121" spans="2:30" ht="15.5">
      <c r="B121" s="101" t="s">
        <v>579</v>
      </c>
    </row>
    <row r="122" spans="2:30">
      <c r="B122" s="81" t="s">
        <v>573</v>
      </c>
      <c r="C122" s="81" t="s">
        <v>63</v>
      </c>
      <c r="D122" s="81" t="str">
        <f t="shared" ref="D122:AD122" si="52">D115</f>
        <v>IE</v>
      </c>
      <c r="E122" s="81" t="str">
        <f t="shared" si="52"/>
        <v>IE-CW</v>
      </c>
      <c r="F122" s="81" t="str">
        <f t="shared" si="52"/>
        <v>IE-D</v>
      </c>
      <c r="G122" s="81" t="str">
        <f t="shared" si="52"/>
        <v>IE-KE</v>
      </c>
      <c r="H122" s="81" t="str">
        <f t="shared" si="52"/>
        <v>IE-KK</v>
      </c>
      <c r="I122" s="81" t="str">
        <f t="shared" si="52"/>
        <v>IE-LS</v>
      </c>
      <c r="J122" s="81" t="str">
        <f t="shared" si="52"/>
        <v>IE-LD</v>
      </c>
      <c r="K122" s="81" t="str">
        <f t="shared" si="52"/>
        <v>IE-LH</v>
      </c>
      <c r="L122" s="81" t="str">
        <f t="shared" si="52"/>
        <v>IE-MH</v>
      </c>
      <c r="M122" s="81" t="str">
        <f t="shared" si="52"/>
        <v>IE-OY</v>
      </c>
      <c r="N122" s="81" t="str">
        <f t="shared" si="52"/>
        <v>IE-WH</v>
      </c>
      <c r="O122" s="81" t="str">
        <f t="shared" si="52"/>
        <v>IE-WX</v>
      </c>
      <c r="P122" s="81" t="str">
        <f t="shared" si="52"/>
        <v>IE-WW</v>
      </c>
      <c r="Q122" s="81" t="str">
        <f t="shared" si="52"/>
        <v>IE-CE</v>
      </c>
      <c r="R122" s="81" t="str">
        <f t="shared" si="52"/>
        <v>IE-CO</v>
      </c>
      <c r="S122" s="81" t="str">
        <f t="shared" si="52"/>
        <v>IE-KY</v>
      </c>
      <c r="T122" s="81" t="str">
        <f t="shared" si="52"/>
        <v>IE-LK</v>
      </c>
      <c r="U122" s="81" t="str">
        <f t="shared" si="52"/>
        <v>IE-TA</v>
      </c>
      <c r="V122" s="81" t="str">
        <f t="shared" si="52"/>
        <v>IE-WD</v>
      </c>
      <c r="W122" s="81" t="str">
        <f t="shared" si="52"/>
        <v>IE-G</v>
      </c>
      <c r="X122" s="81" t="str">
        <f t="shared" si="52"/>
        <v>IE-LM</v>
      </c>
      <c r="Y122" s="81" t="str">
        <f t="shared" si="52"/>
        <v>IE-MO</v>
      </c>
      <c r="Z122" s="81" t="str">
        <f t="shared" si="52"/>
        <v>IE-RN</v>
      </c>
      <c r="AA122" s="81" t="str">
        <f t="shared" si="52"/>
        <v>IE-SO</v>
      </c>
      <c r="AB122" s="81" t="str">
        <f t="shared" si="52"/>
        <v>IE-CN</v>
      </c>
      <c r="AC122" s="81" t="str">
        <f t="shared" si="52"/>
        <v>IE-DL</v>
      </c>
      <c r="AD122" s="81" t="str">
        <f t="shared" si="52"/>
        <v>IE-MN</v>
      </c>
    </row>
    <row r="123" spans="2:30">
      <c r="B123" t="s">
        <v>317</v>
      </c>
      <c r="C123" t="s">
        <v>501</v>
      </c>
      <c r="D123" s="30">
        <f>SUM(E123:AD123)</f>
        <v>179</v>
      </c>
      <c r="E123">
        <v>1</v>
      </c>
      <c r="F123">
        <v>80</v>
      </c>
      <c r="G123">
        <v>6</v>
      </c>
      <c r="H123">
        <v>2</v>
      </c>
      <c r="I123">
        <v>1</v>
      </c>
      <c r="J123">
        <v>1</v>
      </c>
      <c r="K123">
        <v>4</v>
      </c>
      <c r="L123">
        <v>4</v>
      </c>
      <c r="M123">
        <v>2</v>
      </c>
      <c r="N123">
        <v>5</v>
      </c>
      <c r="O123">
        <v>5</v>
      </c>
      <c r="P123">
        <v>3</v>
      </c>
      <c r="Q123">
        <v>5</v>
      </c>
      <c r="R123">
        <v>16</v>
      </c>
      <c r="S123">
        <v>4</v>
      </c>
      <c r="T123">
        <v>2</v>
      </c>
      <c r="U123">
        <v>7</v>
      </c>
      <c r="V123">
        <v>3</v>
      </c>
      <c r="W123">
        <v>12</v>
      </c>
      <c r="X123">
        <v>0</v>
      </c>
      <c r="Y123">
        <v>3</v>
      </c>
      <c r="Z123">
        <v>0</v>
      </c>
      <c r="AA123">
        <v>2</v>
      </c>
      <c r="AB123">
        <v>2</v>
      </c>
      <c r="AC123">
        <v>4</v>
      </c>
      <c r="AD123">
        <v>5</v>
      </c>
    </row>
    <row r="124" spans="2:30">
      <c r="B124" t="s">
        <v>318</v>
      </c>
      <c r="C124" t="s">
        <v>501</v>
      </c>
      <c r="D124" s="30">
        <f t="shared" ref="D124:D129" si="53">SUM(E124:AD124)</f>
        <v>3839</v>
      </c>
      <c r="E124">
        <v>67</v>
      </c>
      <c r="F124">
        <v>576</v>
      </c>
      <c r="G124">
        <v>244</v>
      </c>
      <c r="H124">
        <v>148</v>
      </c>
      <c r="I124">
        <v>91</v>
      </c>
      <c r="J124">
        <v>54</v>
      </c>
      <c r="K124">
        <v>166</v>
      </c>
      <c r="L124">
        <v>155</v>
      </c>
      <c r="M124">
        <v>82</v>
      </c>
      <c r="N124">
        <v>112</v>
      </c>
      <c r="O124">
        <v>157</v>
      </c>
      <c r="P124">
        <v>142</v>
      </c>
      <c r="Q124">
        <v>115</v>
      </c>
      <c r="R124">
        <v>539</v>
      </c>
      <c r="S124">
        <v>95</v>
      </c>
      <c r="T124">
        <v>133</v>
      </c>
      <c r="U124">
        <v>142</v>
      </c>
      <c r="V124">
        <v>118</v>
      </c>
      <c r="W124">
        <v>156</v>
      </c>
      <c r="X124">
        <v>34</v>
      </c>
      <c r="Y124">
        <v>107</v>
      </c>
      <c r="Z124">
        <v>64</v>
      </c>
      <c r="AA124">
        <v>55</v>
      </c>
      <c r="AB124">
        <v>61</v>
      </c>
      <c r="AC124">
        <v>140</v>
      </c>
      <c r="AD124">
        <v>86</v>
      </c>
    </row>
    <row r="125" spans="2:30">
      <c r="B125" t="s">
        <v>319</v>
      </c>
      <c r="C125" t="s">
        <v>501</v>
      </c>
      <c r="D125" s="30">
        <f t="shared" si="53"/>
        <v>81390</v>
      </c>
      <c r="E125">
        <v>1237</v>
      </c>
      <c r="F125">
        <v>9493</v>
      </c>
      <c r="G125">
        <v>3439</v>
      </c>
      <c r="H125">
        <v>2169</v>
      </c>
      <c r="I125">
        <v>1551</v>
      </c>
      <c r="J125">
        <v>909</v>
      </c>
      <c r="K125">
        <v>2423</v>
      </c>
      <c r="L125">
        <v>3563</v>
      </c>
      <c r="M125">
        <v>1912</v>
      </c>
      <c r="N125">
        <v>2040</v>
      </c>
      <c r="O125">
        <v>3371</v>
      </c>
      <c r="P125">
        <v>2275</v>
      </c>
      <c r="Q125">
        <v>2575</v>
      </c>
      <c r="R125">
        <v>10919</v>
      </c>
      <c r="S125">
        <v>3257</v>
      </c>
      <c r="T125">
        <v>4069</v>
      </c>
      <c r="U125">
        <v>3965</v>
      </c>
      <c r="V125">
        <v>2052</v>
      </c>
      <c r="W125">
        <v>4975</v>
      </c>
      <c r="X125">
        <v>750</v>
      </c>
      <c r="Y125">
        <v>3380</v>
      </c>
      <c r="Z125">
        <v>1784</v>
      </c>
      <c r="AA125">
        <v>1336</v>
      </c>
      <c r="AB125">
        <v>1897</v>
      </c>
      <c r="AC125">
        <v>4575</v>
      </c>
      <c r="AD125">
        <v>1474</v>
      </c>
    </row>
    <row r="126" spans="2:30">
      <c r="B126" t="s">
        <v>320</v>
      </c>
      <c r="C126" t="s">
        <v>501</v>
      </c>
      <c r="D126" s="30">
        <f>SUM(E126:AD126)</f>
        <v>444692</v>
      </c>
      <c r="E126">
        <v>6881</v>
      </c>
      <c r="F126">
        <v>88739</v>
      </c>
      <c r="G126">
        <v>22962</v>
      </c>
      <c r="H126">
        <v>10824</v>
      </c>
      <c r="I126">
        <v>8987</v>
      </c>
      <c r="J126">
        <v>3898</v>
      </c>
      <c r="K126">
        <v>12590</v>
      </c>
      <c r="L126">
        <v>21168</v>
      </c>
      <c r="M126">
        <v>8883</v>
      </c>
      <c r="N126">
        <v>10196</v>
      </c>
      <c r="O126">
        <v>19196</v>
      </c>
      <c r="P126">
        <v>13033</v>
      </c>
      <c r="Q126">
        <v>13659</v>
      </c>
      <c r="R126">
        <v>52972</v>
      </c>
      <c r="S126">
        <v>15197</v>
      </c>
      <c r="T126">
        <v>19158</v>
      </c>
      <c r="U126">
        <v>18862</v>
      </c>
      <c r="V126">
        <v>12753</v>
      </c>
      <c r="W126">
        <v>24375</v>
      </c>
      <c r="X126">
        <v>3430</v>
      </c>
      <c r="Y126">
        <v>13427</v>
      </c>
      <c r="Z126">
        <v>8411</v>
      </c>
      <c r="AA126">
        <v>6163</v>
      </c>
      <c r="AB126">
        <v>7969</v>
      </c>
      <c r="AC126">
        <v>14643</v>
      </c>
      <c r="AD126">
        <v>6316</v>
      </c>
    </row>
    <row r="127" spans="2:30">
      <c r="B127" t="s">
        <v>321</v>
      </c>
      <c r="C127" t="s">
        <v>501</v>
      </c>
      <c r="D127" s="30">
        <f t="shared" si="53"/>
        <v>89775</v>
      </c>
      <c r="E127">
        <v>1290</v>
      </c>
      <c r="F127">
        <v>17628</v>
      </c>
      <c r="G127">
        <v>4928</v>
      </c>
      <c r="H127">
        <v>2198</v>
      </c>
      <c r="I127">
        <v>1869</v>
      </c>
      <c r="J127">
        <v>888</v>
      </c>
      <c r="K127">
        <v>2315</v>
      </c>
      <c r="L127">
        <v>4045</v>
      </c>
      <c r="M127">
        <v>1636</v>
      </c>
      <c r="N127">
        <v>2067</v>
      </c>
      <c r="O127">
        <v>3248</v>
      </c>
      <c r="P127">
        <v>2633</v>
      </c>
      <c r="Q127">
        <v>2374</v>
      </c>
      <c r="R127">
        <v>11232</v>
      </c>
      <c r="S127">
        <v>3485</v>
      </c>
      <c r="T127">
        <v>3733</v>
      </c>
      <c r="U127">
        <v>3391</v>
      </c>
      <c r="V127">
        <v>2005</v>
      </c>
      <c r="W127">
        <v>5409</v>
      </c>
      <c r="X127">
        <v>743</v>
      </c>
      <c r="Y127">
        <v>3143</v>
      </c>
      <c r="Z127">
        <v>1380</v>
      </c>
      <c r="AA127">
        <v>1419</v>
      </c>
      <c r="AB127">
        <v>1536</v>
      </c>
      <c r="AC127">
        <v>3578</v>
      </c>
      <c r="AD127">
        <v>1602</v>
      </c>
    </row>
    <row r="128" spans="2:30">
      <c r="B128" t="s">
        <v>322</v>
      </c>
      <c r="C128" t="s">
        <v>501</v>
      </c>
      <c r="D128" s="30">
        <f t="shared" si="53"/>
        <v>413535</v>
      </c>
      <c r="E128">
        <v>6579</v>
      </c>
      <c r="F128">
        <v>82131</v>
      </c>
      <c r="G128">
        <v>19797</v>
      </c>
      <c r="H128">
        <v>9208</v>
      </c>
      <c r="I128">
        <v>7889</v>
      </c>
      <c r="J128">
        <v>4791</v>
      </c>
      <c r="K128">
        <v>10149</v>
      </c>
      <c r="L128">
        <v>18487</v>
      </c>
      <c r="M128">
        <v>7788</v>
      </c>
      <c r="N128">
        <v>9942</v>
      </c>
      <c r="O128">
        <v>15412</v>
      </c>
      <c r="P128">
        <v>12254</v>
      </c>
      <c r="Q128">
        <v>11483</v>
      </c>
      <c r="R128">
        <v>46696</v>
      </c>
      <c r="S128">
        <v>14446</v>
      </c>
      <c r="T128">
        <v>17149</v>
      </c>
      <c r="U128">
        <v>17769</v>
      </c>
      <c r="V128">
        <v>10224</v>
      </c>
      <c r="W128">
        <v>26486</v>
      </c>
      <c r="X128">
        <v>4007</v>
      </c>
      <c r="Y128">
        <v>15375</v>
      </c>
      <c r="Z128">
        <v>7542</v>
      </c>
      <c r="AA128">
        <v>7023</v>
      </c>
      <c r="AB128">
        <v>8032</v>
      </c>
      <c r="AC128">
        <v>15928</v>
      </c>
      <c r="AD128">
        <v>6948</v>
      </c>
    </row>
    <row r="129" spans="2:30">
      <c r="B129" t="s">
        <v>323</v>
      </c>
      <c r="C129" t="s">
        <v>501</v>
      </c>
      <c r="D129" s="30">
        <f t="shared" si="53"/>
        <v>95994</v>
      </c>
      <c r="E129">
        <v>1330</v>
      </c>
      <c r="F129">
        <v>27059</v>
      </c>
      <c r="G129">
        <v>5458</v>
      </c>
      <c r="H129">
        <v>2125</v>
      </c>
      <c r="I129">
        <v>1670</v>
      </c>
      <c r="J129">
        <v>729</v>
      </c>
      <c r="K129">
        <v>2300</v>
      </c>
      <c r="L129">
        <v>5002</v>
      </c>
      <c r="M129">
        <v>1482</v>
      </c>
      <c r="N129">
        <v>1751</v>
      </c>
      <c r="O129">
        <v>3582</v>
      </c>
      <c r="P129">
        <v>3855</v>
      </c>
      <c r="Q129">
        <v>2373</v>
      </c>
      <c r="R129">
        <v>9921</v>
      </c>
      <c r="S129">
        <v>2763</v>
      </c>
      <c r="T129">
        <v>3609</v>
      </c>
      <c r="U129">
        <v>3578</v>
      </c>
      <c r="V129">
        <v>2519</v>
      </c>
      <c r="W129">
        <v>4924</v>
      </c>
      <c r="X129">
        <v>490</v>
      </c>
      <c r="Y129">
        <v>2559</v>
      </c>
      <c r="Z129">
        <v>1067</v>
      </c>
      <c r="AA129">
        <v>995</v>
      </c>
      <c r="AB129">
        <v>1393</v>
      </c>
      <c r="AC129">
        <v>2257</v>
      </c>
      <c r="AD129">
        <v>1203</v>
      </c>
    </row>
    <row r="130" spans="2:30">
      <c r="B130" s="79" t="s">
        <v>16</v>
      </c>
      <c r="C130" s="79" t="s">
        <v>501</v>
      </c>
      <c r="D130" s="176">
        <f>SUM(E130:AD130)</f>
        <v>1129404</v>
      </c>
      <c r="E130" s="176">
        <f t="shared" ref="E130:AD130" si="54">SUM(E123:E129)</f>
        <v>17385</v>
      </c>
      <c r="F130" s="176">
        <f t="shared" si="54"/>
        <v>225706</v>
      </c>
      <c r="G130" s="176">
        <f t="shared" si="54"/>
        <v>56834</v>
      </c>
      <c r="H130" s="176">
        <f t="shared" si="54"/>
        <v>26674</v>
      </c>
      <c r="I130" s="176">
        <f t="shared" si="54"/>
        <v>22058</v>
      </c>
      <c r="J130" s="176">
        <f t="shared" si="54"/>
        <v>11270</v>
      </c>
      <c r="K130" s="176">
        <f t="shared" si="54"/>
        <v>29947</v>
      </c>
      <c r="L130" s="176">
        <f t="shared" si="54"/>
        <v>52424</v>
      </c>
      <c r="M130" s="176">
        <f t="shared" si="54"/>
        <v>21785</v>
      </c>
      <c r="N130" s="176">
        <f t="shared" si="54"/>
        <v>26113</v>
      </c>
      <c r="O130" s="176">
        <f t="shared" si="54"/>
        <v>44971</v>
      </c>
      <c r="P130" s="176">
        <f t="shared" si="54"/>
        <v>34195</v>
      </c>
      <c r="Q130" s="176">
        <f t="shared" si="54"/>
        <v>32584</v>
      </c>
      <c r="R130" s="176">
        <f t="shared" si="54"/>
        <v>132295</v>
      </c>
      <c r="S130" s="176">
        <f t="shared" si="54"/>
        <v>39247</v>
      </c>
      <c r="T130" s="176">
        <f t="shared" si="54"/>
        <v>47853</v>
      </c>
      <c r="U130" s="176">
        <f t="shared" si="54"/>
        <v>47714</v>
      </c>
      <c r="V130" s="176">
        <f t="shared" si="54"/>
        <v>29674</v>
      </c>
      <c r="W130" s="176">
        <f t="shared" si="54"/>
        <v>66337</v>
      </c>
      <c r="X130" s="176">
        <f t="shared" si="54"/>
        <v>9454</v>
      </c>
      <c r="Y130" s="176">
        <f t="shared" si="54"/>
        <v>37994</v>
      </c>
      <c r="Z130" s="176">
        <f t="shared" si="54"/>
        <v>20248</v>
      </c>
      <c r="AA130" s="176">
        <f t="shared" si="54"/>
        <v>16993</v>
      </c>
      <c r="AB130" s="176">
        <f t="shared" si="54"/>
        <v>20890</v>
      </c>
      <c r="AC130" s="176">
        <f t="shared" si="54"/>
        <v>41125</v>
      </c>
      <c r="AD130" s="176">
        <f t="shared" si="54"/>
        <v>17634</v>
      </c>
    </row>
    <row r="131" spans="2:30">
      <c r="B131" t="s">
        <v>584</v>
      </c>
    </row>
    <row r="135" spans="2:30" ht="15.5">
      <c r="B135" s="101" t="s">
        <v>580</v>
      </c>
    </row>
    <row r="136" spans="2:30">
      <c r="B136" s="81" t="s">
        <v>573</v>
      </c>
      <c r="C136" s="81" t="s">
        <v>63</v>
      </c>
      <c r="D136" s="81" t="str">
        <f>D122</f>
        <v>IE</v>
      </c>
      <c r="E136" s="81" t="str">
        <f t="shared" ref="E136:AD136" si="55">E122</f>
        <v>IE-CW</v>
      </c>
      <c r="F136" s="81" t="str">
        <f t="shared" si="55"/>
        <v>IE-D</v>
      </c>
      <c r="G136" s="81" t="str">
        <f t="shared" si="55"/>
        <v>IE-KE</v>
      </c>
      <c r="H136" s="81" t="str">
        <f t="shared" si="55"/>
        <v>IE-KK</v>
      </c>
      <c r="I136" s="81" t="str">
        <f t="shared" si="55"/>
        <v>IE-LS</v>
      </c>
      <c r="J136" s="81" t="str">
        <f t="shared" si="55"/>
        <v>IE-LD</v>
      </c>
      <c r="K136" s="81" t="str">
        <f t="shared" si="55"/>
        <v>IE-LH</v>
      </c>
      <c r="L136" s="81" t="str">
        <f t="shared" si="55"/>
        <v>IE-MH</v>
      </c>
      <c r="M136" s="81" t="str">
        <f t="shared" si="55"/>
        <v>IE-OY</v>
      </c>
      <c r="N136" s="81" t="str">
        <f t="shared" si="55"/>
        <v>IE-WH</v>
      </c>
      <c r="O136" s="81" t="str">
        <f t="shared" si="55"/>
        <v>IE-WX</v>
      </c>
      <c r="P136" s="81" t="str">
        <f t="shared" si="55"/>
        <v>IE-WW</v>
      </c>
      <c r="Q136" s="81" t="str">
        <f t="shared" si="55"/>
        <v>IE-CE</v>
      </c>
      <c r="R136" s="81" t="str">
        <f t="shared" si="55"/>
        <v>IE-CO</v>
      </c>
      <c r="S136" s="81" t="str">
        <f t="shared" si="55"/>
        <v>IE-KY</v>
      </c>
      <c r="T136" s="81" t="str">
        <f t="shared" si="55"/>
        <v>IE-LK</v>
      </c>
      <c r="U136" s="81" t="str">
        <f t="shared" si="55"/>
        <v>IE-TA</v>
      </c>
      <c r="V136" s="81" t="str">
        <f t="shared" si="55"/>
        <v>IE-WD</v>
      </c>
      <c r="W136" s="81" t="str">
        <f t="shared" si="55"/>
        <v>IE-G</v>
      </c>
      <c r="X136" s="81" t="str">
        <f t="shared" si="55"/>
        <v>IE-LM</v>
      </c>
      <c r="Y136" s="81" t="str">
        <f t="shared" si="55"/>
        <v>IE-MO</v>
      </c>
      <c r="Z136" s="81" t="str">
        <f t="shared" si="55"/>
        <v>IE-RN</v>
      </c>
      <c r="AA136" s="81" t="str">
        <f t="shared" si="55"/>
        <v>IE-SO</v>
      </c>
      <c r="AB136" s="81" t="str">
        <f t="shared" si="55"/>
        <v>IE-CN</v>
      </c>
      <c r="AC136" s="81" t="str">
        <f t="shared" si="55"/>
        <v>IE-DL</v>
      </c>
      <c r="AD136" s="81" t="str">
        <f t="shared" si="55"/>
        <v>IE-MN</v>
      </c>
    </row>
    <row r="137" spans="2:30">
      <c r="B137" t="s">
        <v>317</v>
      </c>
      <c r="C137" s="179" t="s">
        <v>577</v>
      </c>
      <c r="D137" s="29">
        <f>D123/D$130</f>
        <v>1.584906729567099E-4</v>
      </c>
      <c r="E137" s="29">
        <f t="shared" ref="E137:AD143" si="56">E123/E$130</f>
        <v>5.7520851308599364E-5</v>
      </c>
      <c r="F137" s="29">
        <f t="shared" si="56"/>
        <v>3.5444339095992131E-4</v>
      </c>
      <c r="G137" s="29">
        <f t="shared" si="56"/>
        <v>1.0557060914241475E-4</v>
      </c>
      <c r="H137" s="29">
        <f t="shared" si="56"/>
        <v>7.4979380670315665E-5</v>
      </c>
      <c r="I137" s="29">
        <f t="shared" si="56"/>
        <v>4.5335025840964729E-5</v>
      </c>
      <c r="J137" s="29">
        <f t="shared" si="56"/>
        <v>8.8731144631765753E-5</v>
      </c>
      <c r="K137" s="29">
        <f t="shared" si="56"/>
        <v>1.3356930577353325E-4</v>
      </c>
      <c r="L137" s="29">
        <f t="shared" si="56"/>
        <v>7.6300930871356625E-5</v>
      </c>
      <c r="M137" s="29">
        <f t="shared" si="56"/>
        <v>9.1806288730778064E-5</v>
      </c>
      <c r="N137" s="29">
        <f t="shared" si="56"/>
        <v>1.914755102822349E-4</v>
      </c>
      <c r="O137" s="29">
        <f t="shared" si="56"/>
        <v>1.1118276222454471E-4</v>
      </c>
      <c r="P137" s="29">
        <f t="shared" si="56"/>
        <v>8.7732124579616906E-5</v>
      </c>
      <c r="Q137" s="29">
        <f t="shared" si="56"/>
        <v>1.5344954578934447E-4</v>
      </c>
      <c r="R137" s="29">
        <f t="shared" si="56"/>
        <v>1.2094183453645263E-4</v>
      </c>
      <c r="S137" s="29">
        <f t="shared" si="56"/>
        <v>1.0191861798354014E-4</v>
      </c>
      <c r="T137" s="29">
        <f t="shared" si="56"/>
        <v>4.179466282155769E-5</v>
      </c>
      <c r="U137" s="29">
        <f t="shared" si="56"/>
        <v>1.4670746531416355E-4</v>
      </c>
      <c r="V137" s="29">
        <f t="shared" si="56"/>
        <v>1.0109860483925321E-4</v>
      </c>
      <c r="W137" s="29">
        <f t="shared" si="56"/>
        <v>1.8089452341830351E-4</v>
      </c>
      <c r="X137" s="29">
        <f t="shared" si="56"/>
        <v>0</v>
      </c>
      <c r="Y137" s="29">
        <f t="shared" si="56"/>
        <v>7.8959835763541613E-5</v>
      </c>
      <c r="Z137" s="29">
        <f t="shared" si="56"/>
        <v>0</v>
      </c>
      <c r="AA137" s="29">
        <f t="shared" si="56"/>
        <v>1.1769552168539987E-4</v>
      </c>
      <c r="AB137" s="29">
        <f t="shared" si="56"/>
        <v>9.5739588319770219E-5</v>
      </c>
      <c r="AC137" s="29">
        <f t="shared" si="56"/>
        <v>9.7264437689969604E-5</v>
      </c>
      <c r="AD137" s="29">
        <f t="shared" si="56"/>
        <v>2.8354315526823184E-4</v>
      </c>
    </row>
    <row r="138" spans="2:30">
      <c r="B138" t="s">
        <v>318</v>
      </c>
      <c r="C138" t="s">
        <v>577</v>
      </c>
      <c r="D138" s="29">
        <f t="shared" ref="D138:S143" si="57">D124/D$130</f>
        <v>3.3991379524067563E-3</v>
      </c>
      <c r="E138" s="29">
        <f t="shared" si="57"/>
        <v>3.8538970376761576E-3</v>
      </c>
      <c r="F138" s="29">
        <f t="shared" si="57"/>
        <v>2.5519924149114337E-3</v>
      </c>
      <c r="G138" s="29">
        <f t="shared" si="57"/>
        <v>4.2932047717915336E-3</v>
      </c>
      <c r="H138" s="29">
        <f t="shared" si="57"/>
        <v>5.5484741696033594E-3</v>
      </c>
      <c r="I138" s="29">
        <f t="shared" si="57"/>
        <v>4.1254873515277901E-3</v>
      </c>
      <c r="J138" s="29">
        <f t="shared" si="57"/>
        <v>4.7914818101153509E-3</v>
      </c>
      <c r="K138" s="29">
        <f t="shared" si="57"/>
        <v>5.5431261896016293E-3</v>
      </c>
      <c r="L138" s="29">
        <f t="shared" si="57"/>
        <v>2.9566610712650696E-3</v>
      </c>
      <c r="M138" s="29">
        <f t="shared" si="57"/>
        <v>3.7640578379619003E-3</v>
      </c>
      <c r="N138" s="29">
        <f t="shared" si="57"/>
        <v>4.2890514303220622E-3</v>
      </c>
      <c r="O138" s="29">
        <f t="shared" si="57"/>
        <v>3.4911387338507037E-3</v>
      </c>
      <c r="P138" s="29">
        <f t="shared" si="57"/>
        <v>4.1526538967685336E-3</v>
      </c>
      <c r="Q138" s="29">
        <f t="shared" si="57"/>
        <v>3.5293395531549227E-3</v>
      </c>
      <c r="R138" s="29">
        <f t="shared" si="57"/>
        <v>4.0742280509467477E-3</v>
      </c>
      <c r="S138" s="29">
        <f t="shared" si="57"/>
        <v>2.4205671771090785E-3</v>
      </c>
      <c r="T138" s="29">
        <f t="shared" si="56"/>
        <v>2.7793450776335861E-3</v>
      </c>
      <c r="U138" s="29">
        <f t="shared" si="56"/>
        <v>2.9760657249444608E-3</v>
      </c>
      <c r="V138" s="29">
        <f t="shared" si="56"/>
        <v>3.976545123677293E-3</v>
      </c>
      <c r="W138" s="29">
        <f t="shared" si="56"/>
        <v>2.3516288044379456E-3</v>
      </c>
      <c r="X138" s="29">
        <f t="shared" si="56"/>
        <v>3.5963613285381847E-3</v>
      </c>
      <c r="Y138" s="29">
        <f t="shared" si="56"/>
        <v>2.816234142232984E-3</v>
      </c>
      <c r="Z138" s="29">
        <f t="shared" si="56"/>
        <v>3.1608060055314103E-3</v>
      </c>
      <c r="AA138" s="29">
        <f t="shared" si="56"/>
        <v>3.2366268463484963E-3</v>
      </c>
      <c r="AB138" s="29">
        <f t="shared" si="56"/>
        <v>2.920057443752992E-3</v>
      </c>
      <c r="AC138" s="29">
        <f t="shared" si="56"/>
        <v>3.4042553191489361E-3</v>
      </c>
      <c r="AD138" s="29">
        <f t="shared" si="56"/>
        <v>4.8769422706135875E-3</v>
      </c>
    </row>
    <row r="139" spans="2:30">
      <c r="B139" t="s">
        <v>319</v>
      </c>
      <c r="C139" t="s">
        <v>577</v>
      </c>
      <c r="D139" s="29">
        <f t="shared" si="57"/>
        <v>7.2064557943835858E-2</v>
      </c>
      <c r="E139" s="29">
        <f t="shared" si="56"/>
        <v>7.1153293068737411E-2</v>
      </c>
      <c r="F139" s="29">
        <f t="shared" si="56"/>
        <v>4.205913887978166E-2</v>
      </c>
      <c r="G139" s="29">
        <f t="shared" si="56"/>
        <v>6.0509554140127389E-2</v>
      </c>
      <c r="H139" s="29">
        <f t="shared" si="56"/>
        <v>8.1315138336957332E-2</v>
      </c>
      <c r="I139" s="29">
        <f t="shared" si="56"/>
        <v>7.0314625079336293E-2</v>
      </c>
      <c r="J139" s="29">
        <f t="shared" si="56"/>
        <v>8.0656610470275072E-2</v>
      </c>
      <c r="K139" s="29">
        <f t="shared" si="56"/>
        <v>8.0909606972317763E-2</v>
      </c>
      <c r="L139" s="29">
        <f t="shared" si="56"/>
        <v>6.7965054173660916E-2</v>
      </c>
      <c r="M139" s="29">
        <f t="shared" si="56"/>
        <v>8.7766812026623828E-2</v>
      </c>
      <c r="N139" s="29">
        <f t="shared" si="56"/>
        <v>7.8122008195151846E-2</v>
      </c>
      <c r="O139" s="29">
        <f t="shared" si="56"/>
        <v>7.4959418291788038E-2</v>
      </c>
      <c r="P139" s="29">
        <f t="shared" si="56"/>
        <v>6.6530194472876156E-2</v>
      </c>
      <c r="Q139" s="29">
        <f t="shared" si="56"/>
        <v>7.9026516081512399E-2</v>
      </c>
      <c r="R139" s="29">
        <f t="shared" si="56"/>
        <v>8.2535243206470391E-2</v>
      </c>
      <c r="S139" s="29">
        <f t="shared" si="56"/>
        <v>8.2987234693097559E-2</v>
      </c>
      <c r="T139" s="29">
        <f t="shared" si="56"/>
        <v>8.5031241510459113E-2</v>
      </c>
      <c r="U139" s="29">
        <f t="shared" si="56"/>
        <v>8.3099299995808354E-2</v>
      </c>
      <c r="V139" s="29">
        <f t="shared" si="56"/>
        <v>6.9151445710049206E-2</v>
      </c>
      <c r="W139" s="29">
        <f t="shared" si="56"/>
        <v>7.4995854500504999E-2</v>
      </c>
      <c r="X139" s="29">
        <f t="shared" si="56"/>
        <v>7.9331499894224666E-2</v>
      </c>
      <c r="Y139" s="29">
        <f t="shared" si="56"/>
        <v>8.8961414960256877E-2</v>
      </c>
      <c r="Z139" s="29">
        <f t="shared" si="56"/>
        <v>8.8107467404188067E-2</v>
      </c>
      <c r="AA139" s="29">
        <f t="shared" si="56"/>
        <v>7.8620608485847107E-2</v>
      </c>
      <c r="AB139" s="29">
        <f t="shared" si="56"/>
        <v>9.0808999521302058E-2</v>
      </c>
      <c r="AC139" s="29">
        <f t="shared" si="56"/>
        <v>0.11124620060790273</v>
      </c>
      <c r="AD139" s="29">
        <f t="shared" si="56"/>
        <v>8.3588522173074747E-2</v>
      </c>
    </row>
    <row r="140" spans="2:30">
      <c r="B140" t="s">
        <v>320</v>
      </c>
      <c r="C140" t="s">
        <v>577</v>
      </c>
      <c r="D140" s="29">
        <f t="shared" si="57"/>
        <v>0.39374041529868853</v>
      </c>
      <c r="E140" s="29">
        <f t="shared" si="56"/>
        <v>0.39580097785447227</v>
      </c>
      <c r="F140" s="29">
        <f t="shared" si="56"/>
        <v>0.39316190087990571</v>
      </c>
      <c r="G140" s="29">
        <f t="shared" si="56"/>
        <v>0.40401872118802123</v>
      </c>
      <c r="H140" s="29">
        <f t="shared" si="56"/>
        <v>0.40578840818774836</v>
      </c>
      <c r="I140" s="29">
        <f t="shared" si="56"/>
        <v>0.40742587723275003</v>
      </c>
      <c r="J140" s="29">
        <f t="shared" si="56"/>
        <v>0.34587400177462291</v>
      </c>
      <c r="K140" s="29">
        <f t="shared" si="56"/>
        <v>0.4204093899221959</v>
      </c>
      <c r="L140" s="29">
        <f t="shared" si="56"/>
        <v>0.40378452617121929</v>
      </c>
      <c r="M140" s="29">
        <f t="shared" si="56"/>
        <v>0.40775763139775073</v>
      </c>
      <c r="N140" s="29">
        <f t="shared" si="56"/>
        <v>0.39045686056753343</v>
      </c>
      <c r="O140" s="29">
        <f t="shared" si="56"/>
        <v>0.42685286073247203</v>
      </c>
      <c r="P140" s="29">
        <f t="shared" si="56"/>
        <v>0.38113759321538238</v>
      </c>
      <c r="Q140" s="29">
        <f t="shared" si="56"/>
        <v>0.41919346918733119</v>
      </c>
      <c r="R140" s="29">
        <f t="shared" si="56"/>
        <v>0.40040817869156053</v>
      </c>
      <c r="S140" s="29">
        <f t="shared" si="56"/>
        <v>0.38721430937396489</v>
      </c>
      <c r="T140" s="29">
        <f t="shared" si="56"/>
        <v>0.40035107516770108</v>
      </c>
      <c r="U140" s="29">
        <f t="shared" si="56"/>
        <v>0.395313744393679</v>
      </c>
      <c r="V140" s="29">
        <f t="shared" si="56"/>
        <v>0.42977016917166544</v>
      </c>
      <c r="W140" s="29">
        <f t="shared" si="56"/>
        <v>0.36744200069342903</v>
      </c>
      <c r="X140" s="29">
        <f t="shared" si="56"/>
        <v>0.36280939284958746</v>
      </c>
      <c r="Y140" s="29">
        <f t="shared" si="56"/>
        <v>0.35339790493235773</v>
      </c>
      <c r="Z140" s="29">
        <f t="shared" si="56"/>
        <v>0.41539905175819836</v>
      </c>
      <c r="AA140" s="29">
        <f t="shared" si="56"/>
        <v>0.36267875007355971</v>
      </c>
      <c r="AB140" s="29">
        <f t="shared" si="56"/>
        <v>0.38147438966012448</v>
      </c>
      <c r="AC140" s="29">
        <f t="shared" si="56"/>
        <v>0.35606079027355625</v>
      </c>
      <c r="AD140" s="29">
        <f t="shared" si="56"/>
        <v>0.35817171373483042</v>
      </c>
    </row>
    <row r="141" spans="2:30">
      <c r="B141" t="s">
        <v>321</v>
      </c>
      <c r="C141" t="s">
        <v>577</v>
      </c>
      <c r="D141" s="29">
        <f t="shared" si="57"/>
        <v>7.9488827735690687E-2</v>
      </c>
      <c r="E141" s="29">
        <f t="shared" si="56"/>
        <v>7.4201898188093182E-2</v>
      </c>
      <c r="F141" s="29">
        <f t="shared" si="56"/>
        <v>7.8101601198018664E-2</v>
      </c>
      <c r="G141" s="29">
        <f t="shared" si="56"/>
        <v>8.6708660308969981E-2</v>
      </c>
      <c r="H141" s="29">
        <f t="shared" si="56"/>
        <v>8.2402339356676915E-2</v>
      </c>
      <c r="I141" s="29">
        <f t="shared" si="56"/>
        <v>8.4731163296763085E-2</v>
      </c>
      <c r="J141" s="29">
        <f t="shared" si="56"/>
        <v>7.8793256433007983E-2</v>
      </c>
      <c r="K141" s="29">
        <f t="shared" si="56"/>
        <v>7.730323571643237E-2</v>
      </c>
      <c r="L141" s="29">
        <f t="shared" si="56"/>
        <v>7.7159316343659398E-2</v>
      </c>
      <c r="M141" s="29">
        <f t="shared" si="56"/>
        <v>7.5097544181776457E-2</v>
      </c>
      <c r="N141" s="29">
        <f t="shared" si="56"/>
        <v>7.9155975950675903E-2</v>
      </c>
      <c r="O141" s="29">
        <f t="shared" si="56"/>
        <v>7.222432234106424E-2</v>
      </c>
      <c r="P141" s="29">
        <f t="shared" si="56"/>
        <v>7.6999561339377104E-2</v>
      </c>
      <c r="Q141" s="29">
        <f t="shared" si="56"/>
        <v>7.2857844340780756E-2</v>
      </c>
      <c r="R141" s="29">
        <f t="shared" si="56"/>
        <v>8.4901167844589745E-2</v>
      </c>
      <c r="S141" s="29">
        <f t="shared" si="56"/>
        <v>8.8796595918159346E-2</v>
      </c>
      <c r="T141" s="29">
        <f t="shared" si="56"/>
        <v>7.8009738156437428E-2</v>
      </c>
      <c r="U141" s="29">
        <f t="shared" si="56"/>
        <v>7.1069287840046944E-2</v>
      </c>
      <c r="V141" s="29">
        <f t="shared" si="56"/>
        <v>6.7567567567567571E-2</v>
      </c>
      <c r="W141" s="29">
        <f t="shared" si="56"/>
        <v>8.1538206430800314E-2</v>
      </c>
      <c r="X141" s="29">
        <f t="shared" si="56"/>
        <v>7.8591072561878569E-2</v>
      </c>
      <c r="Y141" s="29">
        <f t="shared" si="56"/>
        <v>8.2723587934937101E-2</v>
      </c>
      <c r="Z141" s="29">
        <f t="shared" si="56"/>
        <v>6.8154879494271042E-2</v>
      </c>
      <c r="AA141" s="29">
        <f t="shared" si="56"/>
        <v>8.3504972635791208E-2</v>
      </c>
      <c r="AB141" s="29">
        <f t="shared" si="56"/>
        <v>7.3528003829583535E-2</v>
      </c>
      <c r="AC141" s="29">
        <f t="shared" si="56"/>
        <v>8.7003039513677813E-2</v>
      </c>
      <c r="AD141" s="29">
        <f t="shared" si="56"/>
        <v>9.0847226947941478E-2</v>
      </c>
    </row>
    <row r="142" spans="2:30">
      <c r="B142" t="s">
        <v>322</v>
      </c>
      <c r="C142" t="s">
        <v>577</v>
      </c>
      <c r="D142" s="29">
        <f t="shared" si="57"/>
        <v>0.36615329855392753</v>
      </c>
      <c r="E142" s="29">
        <f t="shared" si="56"/>
        <v>0.37842968075927524</v>
      </c>
      <c r="F142" s="29">
        <f t="shared" si="56"/>
        <v>0.36388487678661624</v>
      </c>
      <c r="G142" s="29">
        <f t="shared" si="56"/>
        <v>0.3483302248653975</v>
      </c>
      <c r="H142" s="29">
        <f t="shared" si="56"/>
        <v>0.34520506860613331</v>
      </c>
      <c r="I142" s="29">
        <f t="shared" si="56"/>
        <v>0.35764801885937075</v>
      </c>
      <c r="J142" s="29">
        <f t="shared" si="56"/>
        <v>0.4251109139307897</v>
      </c>
      <c r="K142" s="29">
        <f t="shared" si="56"/>
        <v>0.33889872107389724</v>
      </c>
      <c r="L142" s="29">
        <f t="shared" si="56"/>
        <v>0.35264382725469251</v>
      </c>
      <c r="M142" s="29">
        <f t="shared" si="56"/>
        <v>0.35749368831764977</v>
      </c>
      <c r="N142" s="29">
        <f t="shared" si="56"/>
        <v>0.3807299046451959</v>
      </c>
      <c r="O142" s="29">
        <f t="shared" si="56"/>
        <v>0.34270974628093659</v>
      </c>
      <c r="P142" s="29">
        <f t="shared" si="56"/>
        <v>0.35835648486620852</v>
      </c>
      <c r="Q142" s="29">
        <f t="shared" si="56"/>
        <v>0.3524122268598085</v>
      </c>
      <c r="R142" s="29">
        <f t="shared" si="56"/>
        <v>0.35296874409463697</v>
      </c>
      <c r="S142" s="29">
        <f t="shared" si="56"/>
        <v>0.36807908884755525</v>
      </c>
      <c r="T142" s="29">
        <f t="shared" si="56"/>
        <v>0.35836833636344639</v>
      </c>
      <c r="U142" s="29">
        <f t="shared" si="56"/>
        <v>0.37240642159533888</v>
      </c>
      <c r="V142" s="29">
        <f t="shared" si="56"/>
        <v>0.34454404529217497</v>
      </c>
      <c r="W142" s="29">
        <f t="shared" si="56"/>
        <v>0.39926436227143225</v>
      </c>
      <c r="X142" s="29">
        <f t="shared" si="56"/>
        <v>0.42384176010154434</v>
      </c>
      <c r="Y142" s="29">
        <f t="shared" si="56"/>
        <v>0.40466915828815075</v>
      </c>
      <c r="Z142" s="29">
        <f t="shared" si="56"/>
        <v>0.37248123271434214</v>
      </c>
      <c r="AA142" s="29">
        <f t="shared" si="56"/>
        <v>0.41328782439828166</v>
      </c>
      <c r="AB142" s="29">
        <f t="shared" si="56"/>
        <v>0.3844901866921972</v>
      </c>
      <c r="AC142" s="29">
        <f t="shared" si="56"/>
        <v>0.38730699088145898</v>
      </c>
      <c r="AD142" s="29">
        <f t="shared" si="56"/>
        <v>0.39401156856073494</v>
      </c>
    </row>
    <row r="143" spans="2:30">
      <c r="B143" t="s">
        <v>323</v>
      </c>
      <c r="C143" t="s">
        <v>577</v>
      </c>
      <c r="D143" s="29">
        <f t="shared" si="57"/>
        <v>8.4995271842493919E-2</v>
      </c>
      <c r="E143" s="29">
        <f t="shared" si="56"/>
        <v>7.650273224043716E-2</v>
      </c>
      <c r="F143" s="29">
        <f t="shared" si="56"/>
        <v>0.11988604644980638</v>
      </c>
      <c r="G143" s="29">
        <f t="shared" si="56"/>
        <v>9.6034064116549953E-2</v>
      </c>
      <c r="H143" s="29">
        <f t="shared" si="56"/>
        <v>7.9665591962210389E-2</v>
      </c>
      <c r="I143" s="29">
        <f t="shared" si="56"/>
        <v>7.5709493154411098E-2</v>
      </c>
      <c r="J143" s="29">
        <f t="shared" si="56"/>
        <v>6.4685004436557225E-2</v>
      </c>
      <c r="K143" s="29">
        <f t="shared" si="56"/>
        <v>7.6802350819781609E-2</v>
      </c>
      <c r="L143" s="29">
        <f t="shared" si="56"/>
        <v>9.5414314054631466E-2</v>
      </c>
      <c r="M143" s="29">
        <f t="shared" si="56"/>
        <v>6.8028459949506542E-2</v>
      </c>
      <c r="N143" s="29">
        <f t="shared" si="56"/>
        <v>6.7054723700838662E-2</v>
      </c>
      <c r="O143" s="29">
        <f t="shared" si="56"/>
        <v>7.9651330857663821E-2</v>
      </c>
      <c r="P143" s="29">
        <f t="shared" si="56"/>
        <v>0.11273578008480772</v>
      </c>
      <c r="Q143" s="29">
        <f t="shared" si="56"/>
        <v>7.2827154431622881E-2</v>
      </c>
      <c r="R143" s="29">
        <f t="shared" si="56"/>
        <v>7.4991496277259151E-2</v>
      </c>
      <c r="S143" s="29">
        <f t="shared" si="56"/>
        <v>7.0400285372130347E-2</v>
      </c>
      <c r="T143" s="29">
        <f t="shared" si="56"/>
        <v>7.5418469061500848E-2</v>
      </c>
      <c r="U143" s="29">
        <f t="shared" si="56"/>
        <v>7.4988472984868174E-2</v>
      </c>
      <c r="V143" s="29">
        <f t="shared" si="56"/>
        <v>8.4889128530026281E-2</v>
      </c>
      <c r="W143" s="29">
        <f t="shared" si="56"/>
        <v>7.4227052775977201E-2</v>
      </c>
      <c r="X143" s="29">
        <f t="shared" si="56"/>
        <v>5.1829913264226785E-2</v>
      </c>
      <c r="Y143" s="29">
        <f t="shared" si="56"/>
        <v>6.7352739906301001E-2</v>
      </c>
      <c r="Z143" s="29">
        <f t="shared" si="56"/>
        <v>5.2696562623468987E-2</v>
      </c>
      <c r="AA143" s="29">
        <f t="shared" si="56"/>
        <v>5.8553522038486433E-2</v>
      </c>
      <c r="AB143" s="29">
        <f t="shared" si="56"/>
        <v>6.6682623264719965E-2</v>
      </c>
      <c r="AC143" s="29">
        <f t="shared" si="56"/>
        <v>5.488145896656535E-2</v>
      </c>
      <c r="AD143" s="29">
        <f t="shared" si="56"/>
        <v>6.8220483157536579E-2</v>
      </c>
    </row>
    <row r="144" spans="2:30">
      <c r="B144" s="79" t="s">
        <v>16</v>
      </c>
      <c r="C144" s="79" t="s">
        <v>577</v>
      </c>
      <c r="D144" s="102">
        <f t="shared" ref="D144:AD144" si="58">SUM(D137:D143)</f>
        <v>1</v>
      </c>
      <c r="E144" s="102">
        <f t="shared" si="58"/>
        <v>0.99999999999999989</v>
      </c>
      <c r="F144" s="102">
        <f t="shared" si="58"/>
        <v>1</v>
      </c>
      <c r="G144" s="102">
        <f t="shared" si="58"/>
        <v>0.99999999999999989</v>
      </c>
      <c r="H144" s="102">
        <f t="shared" si="58"/>
        <v>1</v>
      </c>
      <c r="I144" s="102">
        <f t="shared" si="58"/>
        <v>1</v>
      </c>
      <c r="J144" s="102">
        <f t="shared" si="58"/>
        <v>1</v>
      </c>
      <c r="K144" s="102">
        <f t="shared" si="58"/>
        <v>1.0000000000000002</v>
      </c>
      <c r="L144" s="102">
        <f t="shared" si="58"/>
        <v>1</v>
      </c>
      <c r="M144" s="102">
        <f t="shared" si="58"/>
        <v>1</v>
      </c>
      <c r="N144" s="102">
        <f t="shared" si="58"/>
        <v>1.0000000000000002</v>
      </c>
      <c r="O144" s="102">
        <f t="shared" si="58"/>
        <v>1</v>
      </c>
      <c r="P144" s="102">
        <f t="shared" si="58"/>
        <v>1</v>
      </c>
      <c r="Q144" s="102">
        <f t="shared" si="58"/>
        <v>1</v>
      </c>
      <c r="R144" s="102">
        <f t="shared" si="58"/>
        <v>1</v>
      </c>
      <c r="S144" s="102">
        <f t="shared" si="58"/>
        <v>1</v>
      </c>
      <c r="T144" s="102">
        <f t="shared" si="58"/>
        <v>1</v>
      </c>
      <c r="U144" s="102">
        <f t="shared" si="58"/>
        <v>1</v>
      </c>
      <c r="V144" s="102">
        <f t="shared" si="58"/>
        <v>1</v>
      </c>
      <c r="W144" s="102">
        <f t="shared" si="58"/>
        <v>1</v>
      </c>
      <c r="X144" s="102">
        <f t="shared" si="58"/>
        <v>1</v>
      </c>
      <c r="Y144" s="102">
        <f t="shared" si="58"/>
        <v>0.99999999999999989</v>
      </c>
      <c r="Z144" s="102">
        <f t="shared" si="58"/>
        <v>1</v>
      </c>
      <c r="AA144" s="102">
        <f t="shared" si="58"/>
        <v>0.99999999999999989</v>
      </c>
      <c r="AB144" s="102">
        <f t="shared" si="58"/>
        <v>1</v>
      </c>
      <c r="AC144" s="102">
        <f t="shared" si="58"/>
        <v>1</v>
      </c>
      <c r="AD144" s="102">
        <f t="shared" si="58"/>
        <v>1</v>
      </c>
    </row>
    <row r="148" spans="2:30" ht="15.5">
      <c r="B148" s="101" t="s">
        <v>581</v>
      </c>
    </row>
    <row r="149" spans="2:30">
      <c r="B149" s="81" t="s">
        <v>573</v>
      </c>
      <c r="C149" s="81" t="s">
        <v>63</v>
      </c>
      <c r="D149" s="81" t="str">
        <f>D136</f>
        <v>IE</v>
      </c>
      <c r="E149" s="81" t="str">
        <f t="shared" ref="E149:AD149" si="59">E136</f>
        <v>IE-CW</v>
      </c>
      <c r="F149" s="81" t="str">
        <f t="shared" si="59"/>
        <v>IE-D</v>
      </c>
      <c r="G149" s="81" t="str">
        <f t="shared" si="59"/>
        <v>IE-KE</v>
      </c>
      <c r="H149" s="81" t="str">
        <f t="shared" si="59"/>
        <v>IE-KK</v>
      </c>
      <c r="I149" s="81" t="str">
        <f t="shared" si="59"/>
        <v>IE-LS</v>
      </c>
      <c r="J149" s="81" t="str">
        <f t="shared" si="59"/>
        <v>IE-LD</v>
      </c>
      <c r="K149" s="81" t="str">
        <f t="shared" si="59"/>
        <v>IE-LH</v>
      </c>
      <c r="L149" s="81" t="str">
        <f t="shared" si="59"/>
        <v>IE-MH</v>
      </c>
      <c r="M149" s="81" t="str">
        <f t="shared" si="59"/>
        <v>IE-OY</v>
      </c>
      <c r="N149" s="81" t="str">
        <f t="shared" si="59"/>
        <v>IE-WH</v>
      </c>
      <c r="O149" s="81" t="str">
        <f t="shared" si="59"/>
        <v>IE-WX</v>
      </c>
      <c r="P149" s="81" t="str">
        <f t="shared" si="59"/>
        <v>IE-WW</v>
      </c>
      <c r="Q149" s="81" t="str">
        <f t="shared" si="59"/>
        <v>IE-CE</v>
      </c>
      <c r="R149" s="81" t="str">
        <f t="shared" si="59"/>
        <v>IE-CO</v>
      </c>
      <c r="S149" s="81" t="str">
        <f t="shared" si="59"/>
        <v>IE-KY</v>
      </c>
      <c r="T149" s="81" t="str">
        <f t="shared" si="59"/>
        <v>IE-LK</v>
      </c>
      <c r="U149" s="81" t="str">
        <f t="shared" si="59"/>
        <v>IE-TA</v>
      </c>
      <c r="V149" s="81" t="str">
        <f t="shared" si="59"/>
        <v>IE-WD</v>
      </c>
      <c r="W149" s="81" t="str">
        <f t="shared" si="59"/>
        <v>IE-G</v>
      </c>
      <c r="X149" s="81" t="str">
        <f t="shared" si="59"/>
        <v>IE-LM</v>
      </c>
      <c r="Y149" s="81" t="str">
        <f t="shared" si="59"/>
        <v>IE-MO</v>
      </c>
      <c r="Z149" s="81" t="str">
        <f t="shared" si="59"/>
        <v>IE-RN</v>
      </c>
      <c r="AA149" s="81" t="str">
        <f t="shared" si="59"/>
        <v>IE-SO</v>
      </c>
      <c r="AB149" s="81" t="str">
        <f t="shared" si="59"/>
        <v>IE-CN</v>
      </c>
      <c r="AC149" s="81" t="str">
        <f t="shared" si="59"/>
        <v>IE-DL</v>
      </c>
      <c r="AD149" s="81" t="str">
        <f t="shared" si="59"/>
        <v>IE-MN</v>
      </c>
    </row>
    <row r="150" spans="2:30">
      <c r="B150" t="s">
        <v>317</v>
      </c>
      <c r="C150" t="s">
        <v>578</v>
      </c>
      <c r="D150" s="177">
        <v>1.376629219195896</v>
      </c>
      <c r="E150" s="177">
        <v>1.376629219195896</v>
      </c>
      <c r="F150" s="177">
        <v>1.376629219195896</v>
      </c>
      <c r="G150" s="177">
        <v>1.376629219195896</v>
      </c>
      <c r="H150" s="177">
        <v>1.376629219195896</v>
      </c>
      <c r="I150" s="177">
        <v>1.376629219195896</v>
      </c>
      <c r="J150" s="177">
        <v>1.376629219195896</v>
      </c>
      <c r="K150" s="177">
        <v>1.376629219195896</v>
      </c>
      <c r="L150" s="177">
        <v>1.376629219195896</v>
      </c>
      <c r="M150" s="177">
        <v>1.376629219195896</v>
      </c>
      <c r="N150" s="177">
        <v>1.376629219195896</v>
      </c>
      <c r="O150" s="177">
        <v>1.376629219195896</v>
      </c>
      <c r="P150" s="177">
        <v>1.376629219195896</v>
      </c>
      <c r="Q150" s="177">
        <v>1.376629219195896</v>
      </c>
      <c r="R150" s="177">
        <v>1.376629219195896</v>
      </c>
      <c r="S150" s="177">
        <v>1.376629219195896</v>
      </c>
      <c r="T150" s="177">
        <v>1.376629219195896</v>
      </c>
      <c r="U150" s="177">
        <v>1.376629219195896</v>
      </c>
      <c r="V150" s="177">
        <v>1.376629219195896</v>
      </c>
      <c r="W150" s="177">
        <v>1.376629219195896</v>
      </c>
      <c r="X150" s="177">
        <v>1.376629219195896</v>
      </c>
      <c r="Y150" s="177">
        <v>1.376629219195896</v>
      </c>
      <c r="Z150" s="177">
        <v>1.376629219195896</v>
      </c>
      <c r="AA150" s="177">
        <v>1.376629219195896</v>
      </c>
      <c r="AB150" s="177">
        <v>1.376629219195896</v>
      </c>
      <c r="AC150" s="177">
        <v>1.376629219195896</v>
      </c>
      <c r="AD150" s="177">
        <v>1.376629219195896</v>
      </c>
    </row>
    <row r="151" spans="2:30">
      <c r="B151" t="s">
        <v>318</v>
      </c>
      <c r="C151" t="s">
        <v>578</v>
      </c>
      <c r="D151" s="177">
        <v>1.3798479828493471</v>
      </c>
      <c r="E151" s="177">
        <v>1.3798479828493471</v>
      </c>
      <c r="F151" s="177">
        <v>1.3798479828493471</v>
      </c>
      <c r="G151" s="177">
        <v>1.3798479828493471</v>
      </c>
      <c r="H151" s="177">
        <v>1.3798479828493471</v>
      </c>
      <c r="I151" s="177">
        <v>1.3798479828493471</v>
      </c>
      <c r="J151" s="177">
        <v>1.3798479828493471</v>
      </c>
      <c r="K151" s="177">
        <v>1.3798479828493471</v>
      </c>
      <c r="L151" s="177">
        <v>1.3798479828493471</v>
      </c>
      <c r="M151" s="177">
        <v>1.3798479828493471</v>
      </c>
      <c r="N151" s="177">
        <v>1.3798479828493471</v>
      </c>
      <c r="O151" s="177">
        <v>1.3798479828493471</v>
      </c>
      <c r="P151" s="177">
        <v>1.3798479828493471</v>
      </c>
      <c r="Q151" s="177">
        <v>1.3798479828493471</v>
      </c>
      <c r="R151" s="177">
        <v>1.3798479828493471</v>
      </c>
      <c r="S151" s="177">
        <v>1.3798479828493471</v>
      </c>
      <c r="T151" s="177">
        <v>1.3798479828493471</v>
      </c>
      <c r="U151" s="177">
        <v>1.3798479828493471</v>
      </c>
      <c r="V151" s="177">
        <v>1.3798479828493471</v>
      </c>
      <c r="W151" s="177">
        <v>1.3798479828493471</v>
      </c>
      <c r="X151" s="177">
        <v>1.3798479828493471</v>
      </c>
      <c r="Y151" s="177">
        <v>1.3798479828493471</v>
      </c>
      <c r="Z151" s="177">
        <v>1.3798479828493471</v>
      </c>
      <c r="AA151" s="177">
        <v>1.3798479828493471</v>
      </c>
      <c r="AB151" s="177">
        <v>1.3798479828493471</v>
      </c>
      <c r="AC151" s="177">
        <v>1.3798479828493471</v>
      </c>
      <c r="AD151" s="177">
        <v>1.3798479828493471</v>
      </c>
    </row>
    <row r="152" spans="2:30">
      <c r="B152" t="s">
        <v>319</v>
      </c>
      <c r="C152" t="s">
        <v>578</v>
      </c>
      <c r="D152" s="177">
        <v>1.4199749047648353</v>
      </c>
      <c r="E152" s="177">
        <v>1.4199749047648353</v>
      </c>
      <c r="F152" s="177">
        <v>1.4199749047648353</v>
      </c>
      <c r="G152" s="177">
        <v>1.4199749047648353</v>
      </c>
      <c r="H152" s="177">
        <v>1.4199749047648353</v>
      </c>
      <c r="I152" s="177">
        <v>1.4199749047648353</v>
      </c>
      <c r="J152" s="177">
        <v>1.4199749047648353</v>
      </c>
      <c r="K152" s="177">
        <v>1.4199749047648353</v>
      </c>
      <c r="L152" s="177">
        <v>1.4199749047648353</v>
      </c>
      <c r="M152" s="177">
        <v>1.4199749047648353</v>
      </c>
      <c r="N152" s="177">
        <v>1.4199749047648353</v>
      </c>
      <c r="O152" s="177">
        <v>1.4199749047648353</v>
      </c>
      <c r="P152" s="177">
        <v>1.4199749047648353</v>
      </c>
      <c r="Q152" s="177">
        <v>1.4199749047648353</v>
      </c>
      <c r="R152" s="177">
        <v>1.4199749047648353</v>
      </c>
      <c r="S152" s="177">
        <v>1.4199749047648353</v>
      </c>
      <c r="T152" s="177">
        <v>1.4199749047648353</v>
      </c>
      <c r="U152" s="177">
        <v>1.4199749047648353</v>
      </c>
      <c r="V152" s="177">
        <v>1.4199749047648353</v>
      </c>
      <c r="W152" s="177">
        <v>1.4199749047648353</v>
      </c>
      <c r="X152" s="177">
        <v>1.4199749047648353</v>
      </c>
      <c r="Y152" s="177">
        <v>1.4199749047648353</v>
      </c>
      <c r="Z152" s="177">
        <v>1.4199749047648353</v>
      </c>
      <c r="AA152" s="177">
        <v>1.4199749047648353</v>
      </c>
      <c r="AB152" s="177">
        <v>1.4199749047648353</v>
      </c>
      <c r="AC152" s="177">
        <v>1.4199749047648353</v>
      </c>
      <c r="AD152" s="177">
        <v>1.4199749047648353</v>
      </c>
    </row>
    <row r="153" spans="2:30">
      <c r="B153" t="s">
        <v>320</v>
      </c>
      <c r="C153" t="s">
        <v>578</v>
      </c>
      <c r="D153" s="177">
        <v>1.4290054727038648</v>
      </c>
      <c r="E153" s="177">
        <v>1.4290054727038648</v>
      </c>
      <c r="F153" s="177">
        <v>1.4290054727038648</v>
      </c>
      <c r="G153" s="177">
        <v>1.4290054727038648</v>
      </c>
      <c r="H153" s="177">
        <v>1.4290054727038648</v>
      </c>
      <c r="I153" s="177">
        <v>1.4290054727038648</v>
      </c>
      <c r="J153" s="177">
        <v>1.4290054727038648</v>
      </c>
      <c r="K153" s="177">
        <v>1.4290054727038648</v>
      </c>
      <c r="L153" s="177">
        <v>1.4290054727038648</v>
      </c>
      <c r="M153" s="177">
        <v>1.4290054727038648</v>
      </c>
      <c r="N153" s="177">
        <v>1.4290054727038648</v>
      </c>
      <c r="O153" s="177">
        <v>1.4290054727038648</v>
      </c>
      <c r="P153" s="177">
        <v>1.4290054727038648</v>
      </c>
      <c r="Q153" s="177">
        <v>1.4290054727038648</v>
      </c>
      <c r="R153" s="177">
        <v>1.4290054727038648</v>
      </c>
      <c r="S153" s="177">
        <v>1.4290054727038648</v>
      </c>
      <c r="T153" s="177">
        <v>1.4290054727038648</v>
      </c>
      <c r="U153" s="177">
        <v>1.4290054727038648</v>
      </c>
      <c r="V153" s="177">
        <v>1.4290054727038648</v>
      </c>
      <c r="W153" s="177">
        <v>1.4290054727038648</v>
      </c>
      <c r="X153" s="177">
        <v>1.4290054727038648</v>
      </c>
      <c r="Y153" s="177">
        <v>1.4290054727038648</v>
      </c>
      <c r="Z153" s="177">
        <v>1.4290054727038648</v>
      </c>
      <c r="AA153" s="177">
        <v>1.4290054727038648</v>
      </c>
      <c r="AB153" s="177">
        <v>1.4290054727038648</v>
      </c>
      <c r="AC153" s="177">
        <v>1.4290054727038648</v>
      </c>
      <c r="AD153" s="177">
        <v>1.4290054727038648</v>
      </c>
    </row>
    <row r="154" spans="2:30">
      <c r="B154" t="s">
        <v>321</v>
      </c>
      <c r="C154" t="s">
        <v>578</v>
      </c>
      <c r="D154" s="177">
        <v>1.6214274500716734</v>
      </c>
      <c r="E154" s="177">
        <v>1.6214274500716734</v>
      </c>
      <c r="F154" s="177">
        <v>1.6214274500716734</v>
      </c>
      <c r="G154" s="177">
        <v>1.6214274500716734</v>
      </c>
      <c r="H154" s="177">
        <v>1.6214274500716734</v>
      </c>
      <c r="I154" s="177">
        <v>1.6214274500716734</v>
      </c>
      <c r="J154" s="177">
        <v>1.6214274500716734</v>
      </c>
      <c r="K154" s="177">
        <v>1.6214274500716734</v>
      </c>
      <c r="L154" s="177">
        <v>1.6214274500716734</v>
      </c>
      <c r="M154" s="177">
        <v>1.6214274500716734</v>
      </c>
      <c r="N154" s="177">
        <v>1.6214274500716734</v>
      </c>
      <c r="O154" s="177">
        <v>1.6214274500716734</v>
      </c>
      <c r="P154" s="177">
        <v>1.6214274500716734</v>
      </c>
      <c r="Q154" s="177">
        <v>1.6214274500716734</v>
      </c>
      <c r="R154" s="177">
        <v>1.6214274500716734</v>
      </c>
      <c r="S154" s="177">
        <v>1.6214274500716734</v>
      </c>
      <c r="T154" s="177">
        <v>1.6214274500716734</v>
      </c>
      <c r="U154" s="177">
        <v>1.6214274500716734</v>
      </c>
      <c r="V154" s="177">
        <v>1.6214274500716734</v>
      </c>
      <c r="W154" s="177">
        <v>1.6214274500716734</v>
      </c>
      <c r="X154" s="177">
        <v>1.6214274500716734</v>
      </c>
      <c r="Y154" s="177">
        <v>1.6214274500716734</v>
      </c>
      <c r="Z154" s="177">
        <v>1.6214274500716734</v>
      </c>
      <c r="AA154" s="177">
        <v>1.6214274500716734</v>
      </c>
      <c r="AB154" s="177">
        <v>1.6214274500716734</v>
      </c>
      <c r="AC154" s="177">
        <v>1.6214274500716734</v>
      </c>
      <c r="AD154" s="177">
        <v>1.6214274500716734</v>
      </c>
    </row>
    <row r="155" spans="2:30">
      <c r="B155" t="s">
        <v>322</v>
      </c>
      <c r="C155" t="s">
        <v>578</v>
      </c>
      <c r="D155" s="177">
        <v>1.7083807871715502</v>
      </c>
      <c r="E155" s="177">
        <v>1.7083807871715502</v>
      </c>
      <c r="F155" s="177">
        <v>1.7083807871715502</v>
      </c>
      <c r="G155" s="177">
        <v>1.7083807871715502</v>
      </c>
      <c r="H155" s="177">
        <v>1.7083807871715502</v>
      </c>
      <c r="I155" s="177">
        <v>1.7083807871715502</v>
      </c>
      <c r="J155" s="177">
        <v>1.7083807871715502</v>
      </c>
      <c r="K155" s="177">
        <v>1.7083807871715502</v>
      </c>
      <c r="L155" s="177">
        <v>1.7083807871715502</v>
      </c>
      <c r="M155" s="177">
        <v>1.7083807871715502</v>
      </c>
      <c r="N155" s="177">
        <v>1.7083807871715502</v>
      </c>
      <c r="O155" s="177">
        <v>1.7083807871715502</v>
      </c>
      <c r="P155" s="177">
        <v>1.7083807871715502</v>
      </c>
      <c r="Q155" s="177">
        <v>1.7083807871715502</v>
      </c>
      <c r="R155" s="177">
        <v>1.7083807871715502</v>
      </c>
      <c r="S155" s="177">
        <v>1.7083807871715502</v>
      </c>
      <c r="T155" s="177">
        <v>1.7083807871715502</v>
      </c>
      <c r="U155" s="177">
        <v>1.7083807871715502</v>
      </c>
      <c r="V155" s="177">
        <v>1.7083807871715502</v>
      </c>
      <c r="W155" s="177">
        <v>1.7083807871715502</v>
      </c>
      <c r="X155" s="177">
        <v>1.7083807871715502</v>
      </c>
      <c r="Y155" s="177">
        <v>1.7083807871715502</v>
      </c>
      <c r="Z155" s="177">
        <v>1.7083807871715502</v>
      </c>
      <c r="AA155" s="177">
        <v>1.7083807871715502</v>
      </c>
      <c r="AB155" s="177">
        <v>1.7083807871715502</v>
      </c>
      <c r="AC155" s="177">
        <v>1.7083807871715502</v>
      </c>
      <c r="AD155" s="177">
        <v>1.7083807871715502</v>
      </c>
    </row>
    <row r="156" spans="2:30">
      <c r="B156" s="79" t="s">
        <v>323</v>
      </c>
      <c r="C156" s="79" t="s">
        <v>578</v>
      </c>
      <c r="D156" s="178">
        <v>1.8833978763305677</v>
      </c>
      <c r="E156" s="178">
        <v>1.8833978763305677</v>
      </c>
      <c r="F156" s="178">
        <v>1.8833978763305677</v>
      </c>
      <c r="G156" s="178">
        <v>1.8833978763305677</v>
      </c>
      <c r="H156" s="178">
        <v>1.8833978763305677</v>
      </c>
      <c r="I156" s="178">
        <v>1.8833978763305677</v>
      </c>
      <c r="J156" s="178">
        <v>1.8833978763305677</v>
      </c>
      <c r="K156" s="178">
        <v>1.8833978763305677</v>
      </c>
      <c r="L156" s="178">
        <v>1.8833978763305677</v>
      </c>
      <c r="M156" s="178">
        <v>1.8833978763305677</v>
      </c>
      <c r="N156" s="178">
        <v>1.8833978763305677</v>
      </c>
      <c r="O156" s="178">
        <v>1.8833978763305677</v>
      </c>
      <c r="P156" s="178">
        <v>1.8833978763305677</v>
      </c>
      <c r="Q156" s="178">
        <v>1.8833978763305677</v>
      </c>
      <c r="R156" s="178">
        <v>1.8833978763305677</v>
      </c>
      <c r="S156" s="178">
        <v>1.8833978763305677</v>
      </c>
      <c r="T156" s="178">
        <v>1.8833978763305677</v>
      </c>
      <c r="U156" s="178">
        <v>1.8833978763305677</v>
      </c>
      <c r="V156" s="178">
        <v>1.8833978763305677</v>
      </c>
      <c r="W156" s="178">
        <v>1.8833978763305677</v>
      </c>
      <c r="X156" s="178">
        <v>1.8833978763305677</v>
      </c>
      <c r="Y156" s="178">
        <v>1.8833978763305677</v>
      </c>
      <c r="Z156" s="178">
        <v>1.8833978763305677</v>
      </c>
      <c r="AA156" s="178">
        <v>1.8833978763305677</v>
      </c>
      <c r="AB156" s="178">
        <v>1.8833978763305677</v>
      </c>
      <c r="AC156" s="178">
        <v>1.8833978763305677</v>
      </c>
      <c r="AD156" s="178">
        <v>1.8833978763305677</v>
      </c>
    </row>
    <row r="157" spans="2:30">
      <c r="B157" t="s">
        <v>582</v>
      </c>
    </row>
    <row r="160" spans="2:30" ht="15.5">
      <c r="B160" s="101" t="s">
        <v>581</v>
      </c>
    </row>
    <row r="161" spans="2:30">
      <c r="B161" s="81" t="s">
        <v>573</v>
      </c>
      <c r="C161" s="81" t="s">
        <v>63</v>
      </c>
      <c r="D161" s="81" t="str">
        <f t="shared" ref="D161:AD161" si="60">D149</f>
        <v>IE</v>
      </c>
      <c r="E161" s="81" t="str">
        <f t="shared" si="60"/>
        <v>IE-CW</v>
      </c>
      <c r="F161" s="81" t="str">
        <f t="shared" si="60"/>
        <v>IE-D</v>
      </c>
      <c r="G161" s="81" t="str">
        <f t="shared" si="60"/>
        <v>IE-KE</v>
      </c>
      <c r="H161" s="81" t="str">
        <f t="shared" si="60"/>
        <v>IE-KK</v>
      </c>
      <c r="I161" s="81" t="str">
        <f t="shared" si="60"/>
        <v>IE-LS</v>
      </c>
      <c r="J161" s="81" t="str">
        <f t="shared" si="60"/>
        <v>IE-LD</v>
      </c>
      <c r="K161" s="81" t="str">
        <f t="shared" si="60"/>
        <v>IE-LH</v>
      </c>
      <c r="L161" s="81" t="str">
        <f t="shared" si="60"/>
        <v>IE-MH</v>
      </c>
      <c r="M161" s="81" t="str">
        <f t="shared" si="60"/>
        <v>IE-OY</v>
      </c>
      <c r="N161" s="81" t="str">
        <f t="shared" si="60"/>
        <v>IE-WH</v>
      </c>
      <c r="O161" s="81" t="str">
        <f t="shared" si="60"/>
        <v>IE-WX</v>
      </c>
      <c r="P161" s="81" t="str">
        <f t="shared" si="60"/>
        <v>IE-WW</v>
      </c>
      <c r="Q161" s="81" t="str">
        <f t="shared" si="60"/>
        <v>IE-CE</v>
      </c>
      <c r="R161" s="81" t="str">
        <f t="shared" si="60"/>
        <v>IE-CO</v>
      </c>
      <c r="S161" s="81" t="str">
        <f t="shared" si="60"/>
        <v>IE-KY</v>
      </c>
      <c r="T161" s="81" t="str">
        <f t="shared" si="60"/>
        <v>IE-LK</v>
      </c>
      <c r="U161" s="81" t="str">
        <f t="shared" si="60"/>
        <v>IE-TA</v>
      </c>
      <c r="V161" s="81" t="str">
        <f t="shared" si="60"/>
        <v>IE-WD</v>
      </c>
      <c r="W161" s="81" t="str">
        <f t="shared" si="60"/>
        <v>IE-G</v>
      </c>
      <c r="X161" s="81" t="str">
        <f t="shared" si="60"/>
        <v>IE-LM</v>
      </c>
      <c r="Y161" s="81" t="str">
        <f t="shared" si="60"/>
        <v>IE-MO</v>
      </c>
      <c r="Z161" s="81" t="str">
        <f t="shared" si="60"/>
        <v>IE-RN</v>
      </c>
      <c r="AA161" s="81" t="str">
        <f t="shared" si="60"/>
        <v>IE-SO</v>
      </c>
      <c r="AB161" s="81" t="str">
        <f t="shared" si="60"/>
        <v>IE-CN</v>
      </c>
      <c r="AC161" s="81" t="str">
        <f t="shared" si="60"/>
        <v>IE-DL</v>
      </c>
      <c r="AD161" s="81" t="str">
        <f t="shared" si="60"/>
        <v>IE-MN</v>
      </c>
    </row>
    <row r="162" spans="2:30">
      <c r="B162" t="s">
        <v>594</v>
      </c>
      <c r="C162" t="s">
        <v>578</v>
      </c>
      <c r="D162" s="177">
        <f>1.085*SUMPRODUCT(D137:D143,D150:D156)</f>
        <v>1.7190632485051236</v>
      </c>
      <c r="E162" s="177">
        <f>1.085*SUMPRODUCT(E137:E143,E150:E156)</f>
        <v>1.7174841547644963</v>
      </c>
      <c r="F162" s="177">
        <f t="shared" ref="F162:AD162" si="61">1.085*SUMPRODUCT(F137:F143,F150:F156)</f>
        <v>1.735615764677976</v>
      </c>
      <c r="G162" s="177">
        <f t="shared" si="61"/>
        <v>1.7206788579022441</v>
      </c>
      <c r="H162" s="177">
        <f t="shared" si="61"/>
        <v>1.7104935054751726</v>
      </c>
      <c r="I162" s="177">
        <f t="shared" si="61"/>
        <v>1.7129863936672844</v>
      </c>
      <c r="J162" s="177">
        <f t="shared" si="61"/>
        <v>1.7266216258550191</v>
      </c>
      <c r="K162" s="177">
        <f t="shared" si="61"/>
        <v>1.7061066377022795</v>
      </c>
      <c r="L162" s="177">
        <f t="shared" si="61"/>
        <v>1.7196870674586515</v>
      </c>
      <c r="M162" s="177">
        <f t="shared" si="61"/>
        <v>1.7069870928530961</v>
      </c>
      <c r="N162" s="177">
        <f t="shared" si="61"/>
        <v>1.714458585939961</v>
      </c>
      <c r="O162" s="177">
        <f t="shared" si="61"/>
        <v>1.7077750892449908</v>
      </c>
      <c r="P162" s="177">
        <f t="shared" si="61"/>
        <v>1.7298747233457028</v>
      </c>
      <c r="Q162" s="177">
        <f t="shared" si="61"/>
        <v>1.7074396759848034</v>
      </c>
      <c r="R162" s="177">
        <f t="shared" si="61"/>
        <v>1.7111282086496116</v>
      </c>
      <c r="S162" s="177">
        <f t="shared" si="61"/>
        <v>1.7143430814149092</v>
      </c>
      <c r="T162" s="177">
        <f t="shared" si="61"/>
        <v>1.711585776799377</v>
      </c>
      <c r="U162" s="177">
        <f t="shared" si="61"/>
        <v>1.7141825004074658</v>
      </c>
      <c r="V162" s="177">
        <f t="shared" si="61"/>
        <v>1.7099727865577552</v>
      </c>
      <c r="W162" s="177">
        <f t="shared" si="61"/>
        <v>1.7242447860199794</v>
      </c>
      <c r="X162" s="177">
        <f t="shared" si="61"/>
        <v>1.7199387119893734</v>
      </c>
      <c r="Y162" s="177">
        <f t="shared" si="61"/>
        <v>1.7225856123462218</v>
      </c>
      <c r="Z162" s="177">
        <f t="shared" si="61"/>
        <v>1.7025558633266762</v>
      </c>
      <c r="AA162" s="177">
        <f t="shared" si="61"/>
        <v>1.7210998019127739</v>
      </c>
      <c r="AB162" s="177">
        <f t="shared" si="61"/>
        <v>1.7141941114432691</v>
      </c>
      <c r="AC162" s="177">
        <f t="shared" si="61"/>
        <v>1.7118169174623792</v>
      </c>
      <c r="AD162" s="177">
        <f t="shared" si="61"/>
        <v>1.7214100157891123</v>
      </c>
    </row>
    <row r="163" spans="2:30">
      <c r="B163" s="79"/>
      <c r="C163" s="79" t="s">
        <v>566</v>
      </c>
      <c r="D163" s="180">
        <f>1000/D162</f>
        <v>581.71216263833674</v>
      </c>
      <c r="E163" s="180">
        <f>1000/E162</f>
        <v>582.24700194519187</v>
      </c>
      <c r="F163" s="180">
        <f>1000/F162</f>
        <v>576.16439096215447</v>
      </c>
      <c r="G163" s="180">
        <f>1000/G162</f>
        <v>581.16597144637694</v>
      </c>
      <c r="H163" s="180">
        <f t="shared" ref="H163" si="62">1000/H162</f>
        <v>584.62659858050813</v>
      </c>
      <c r="I163" s="180">
        <f t="shared" ref="I163" si="63">1000/I162</f>
        <v>583.77579862682273</v>
      </c>
      <c r="J163" s="180">
        <f t="shared" ref="J163" si="64">1000/J162</f>
        <v>579.16568692622639</v>
      </c>
      <c r="K163" s="180">
        <f t="shared" ref="K163" si="65">1000/K162</f>
        <v>586.12983379911259</v>
      </c>
      <c r="L163" s="180">
        <f t="shared" ref="L163" si="66">1000/L162</f>
        <v>581.50114571588722</v>
      </c>
      <c r="M163" s="180">
        <f t="shared" ref="M163" si="67">1000/M162</f>
        <v>585.82751104964586</v>
      </c>
      <c r="N163" s="180">
        <f t="shared" ref="N163" si="68">1000/N162</f>
        <v>583.27451488234385</v>
      </c>
      <c r="O163" s="180">
        <f t="shared" ref="O163" si="69">1000/O162</f>
        <v>585.55720029977783</v>
      </c>
      <c r="P163" s="180">
        <f t="shared" ref="P163" si="70">1000/P162</f>
        <v>578.07654306083373</v>
      </c>
      <c r="Q163" s="180">
        <f t="shared" ref="Q163" si="71">1000/Q162</f>
        <v>585.67222846290485</v>
      </c>
      <c r="R163" s="180">
        <f t="shared" ref="R163" si="72">1000/R162</f>
        <v>584.40974495369937</v>
      </c>
      <c r="S163" s="180">
        <f t="shared" ref="S163" si="73">1000/S162</f>
        <v>583.31381322731727</v>
      </c>
      <c r="T163" s="180">
        <f t="shared" ref="T163" si="74">1000/T162</f>
        <v>584.2535113080778</v>
      </c>
      <c r="U163" s="180">
        <f t="shared" ref="U163" si="75">1000/U162</f>
        <v>583.36845683717888</v>
      </c>
      <c r="V163" s="180">
        <f t="shared" ref="V163" si="76">1000/V162</f>
        <v>584.80462839004633</v>
      </c>
      <c r="W163" s="180">
        <f t="shared" ref="W163" si="77">1000/W162</f>
        <v>579.96405621052736</v>
      </c>
      <c r="X163" s="180">
        <f t="shared" ref="X163" si="78">1000/X162</f>
        <v>581.41606618258299</v>
      </c>
      <c r="Y163" s="180">
        <f t="shared" ref="Y163" si="79">1000/Y162</f>
        <v>580.52267059049973</v>
      </c>
      <c r="Z163" s="180">
        <f t="shared" ref="Z163" si="80">1000/Z162</f>
        <v>587.35223997059882</v>
      </c>
      <c r="AA163" s="180">
        <f t="shared" ref="AA163" si="81">1000/AA162</f>
        <v>581.0238307439422</v>
      </c>
      <c r="AB163" s="180">
        <f t="shared" ref="AB163" si="82">1000/AB162</f>
        <v>583.36450541067836</v>
      </c>
      <c r="AC163" s="180">
        <f t="shared" ref="AC163" si="83">1000/AC162</f>
        <v>584.17462159587353</v>
      </c>
      <c r="AD163" s="180">
        <f t="shared" ref="AD163" si="84">1000/AD162</f>
        <v>580.91912491957328</v>
      </c>
    </row>
    <row r="164" spans="2:30">
      <c r="B164" t="s">
        <v>1097</v>
      </c>
    </row>
    <row r="167" spans="2:30">
      <c r="B167" s="182"/>
      <c r="C167" s="182"/>
      <c r="D167" s="182"/>
      <c r="E167" s="182"/>
      <c r="F167" s="182"/>
      <c r="G167" s="182"/>
      <c r="H167" s="182"/>
      <c r="I167" s="182"/>
      <c r="J167" s="182"/>
      <c r="K167" s="182"/>
      <c r="L167" s="182"/>
      <c r="M167" s="182"/>
      <c r="N167" s="182"/>
      <c r="O167" s="182"/>
      <c r="P167" s="182"/>
      <c r="Q167" s="182"/>
      <c r="R167" s="182"/>
      <c r="S167" s="182"/>
      <c r="T167" s="182"/>
      <c r="U167" s="182"/>
      <c r="V167" s="182"/>
      <c r="W167" s="182"/>
      <c r="X167" s="182"/>
      <c r="Y167" s="182"/>
      <c r="Z167" s="182"/>
      <c r="AA167" s="182"/>
      <c r="AB167" s="182"/>
      <c r="AC167" s="182"/>
      <c r="AD167" s="182"/>
    </row>
    <row r="168" spans="2:30" ht="15.5">
      <c r="B168" s="101" t="s">
        <v>590</v>
      </c>
    </row>
    <row r="169" spans="2:30">
      <c r="B169" s="81" t="s">
        <v>573</v>
      </c>
      <c r="C169" s="81" t="s">
        <v>63</v>
      </c>
      <c r="D169" s="81" t="str">
        <f>D161</f>
        <v>IE</v>
      </c>
      <c r="E169" s="81" t="str">
        <f t="shared" ref="E169:AD169" si="85">E161</f>
        <v>IE-CW</v>
      </c>
      <c r="F169" s="81" t="str">
        <f t="shared" si="85"/>
        <v>IE-D</v>
      </c>
      <c r="G169" s="81" t="str">
        <f t="shared" si="85"/>
        <v>IE-KE</v>
      </c>
      <c r="H169" s="81" t="str">
        <f t="shared" si="85"/>
        <v>IE-KK</v>
      </c>
      <c r="I169" s="81" t="str">
        <f t="shared" si="85"/>
        <v>IE-LS</v>
      </c>
      <c r="J169" s="81" t="str">
        <f t="shared" si="85"/>
        <v>IE-LD</v>
      </c>
      <c r="K169" s="81" t="str">
        <f t="shared" si="85"/>
        <v>IE-LH</v>
      </c>
      <c r="L169" s="81" t="str">
        <f t="shared" si="85"/>
        <v>IE-MH</v>
      </c>
      <c r="M169" s="81" t="str">
        <f t="shared" si="85"/>
        <v>IE-OY</v>
      </c>
      <c r="N169" s="81" t="str">
        <f t="shared" si="85"/>
        <v>IE-WH</v>
      </c>
      <c r="O169" s="81" t="str">
        <f t="shared" si="85"/>
        <v>IE-WX</v>
      </c>
      <c r="P169" s="81" t="str">
        <f t="shared" si="85"/>
        <v>IE-WW</v>
      </c>
      <c r="Q169" s="81" t="str">
        <f t="shared" si="85"/>
        <v>IE-CE</v>
      </c>
      <c r="R169" s="81" t="str">
        <f t="shared" si="85"/>
        <v>IE-CO</v>
      </c>
      <c r="S169" s="81" t="str">
        <f t="shared" si="85"/>
        <v>IE-KY</v>
      </c>
      <c r="T169" s="81" t="str">
        <f t="shared" si="85"/>
        <v>IE-LK</v>
      </c>
      <c r="U169" s="81" t="str">
        <f t="shared" si="85"/>
        <v>IE-TA</v>
      </c>
      <c r="V169" s="81" t="str">
        <f t="shared" si="85"/>
        <v>IE-WD</v>
      </c>
      <c r="W169" s="81" t="str">
        <f t="shared" si="85"/>
        <v>IE-G</v>
      </c>
      <c r="X169" s="81" t="str">
        <f t="shared" si="85"/>
        <v>IE-LM</v>
      </c>
      <c r="Y169" s="81" t="str">
        <f t="shared" si="85"/>
        <v>IE-MO</v>
      </c>
      <c r="Z169" s="81" t="str">
        <f t="shared" si="85"/>
        <v>IE-RN</v>
      </c>
      <c r="AA169" s="81" t="str">
        <f t="shared" si="85"/>
        <v>IE-SO</v>
      </c>
      <c r="AB169" s="81" t="str">
        <f t="shared" si="85"/>
        <v>IE-CN</v>
      </c>
      <c r="AC169" s="81" t="str">
        <f t="shared" si="85"/>
        <v>IE-DL</v>
      </c>
      <c r="AD169" s="81" t="str">
        <f t="shared" si="85"/>
        <v>IE-MN</v>
      </c>
    </row>
    <row r="170" spans="2:30">
      <c r="B170" t="s">
        <v>317</v>
      </c>
      <c r="C170" t="s">
        <v>501</v>
      </c>
      <c r="D170" s="30">
        <f>SUM(E170:AD170)</f>
        <v>20</v>
      </c>
      <c r="E170" s="30"/>
      <c r="F170" s="30">
        <v>13</v>
      </c>
      <c r="G170" s="30"/>
      <c r="H170" s="30"/>
      <c r="I170" s="30"/>
      <c r="J170" s="30"/>
      <c r="K170" s="30"/>
      <c r="L170" s="30"/>
      <c r="M170" s="30"/>
      <c r="N170" s="30"/>
      <c r="O170" s="30"/>
      <c r="P170" s="30">
        <v>2</v>
      </c>
      <c r="Q170" s="30"/>
      <c r="R170" s="30"/>
      <c r="S170" s="30">
        <v>1</v>
      </c>
      <c r="T170" s="30"/>
      <c r="U170" s="30"/>
      <c r="V170" s="30"/>
      <c r="W170" s="30">
        <v>3</v>
      </c>
      <c r="X170" s="30"/>
      <c r="Y170" s="30"/>
      <c r="Z170" s="30"/>
      <c r="AA170" s="30"/>
      <c r="AB170" s="30"/>
      <c r="AC170" s="30">
        <v>1</v>
      </c>
      <c r="AD170" s="30"/>
    </row>
    <row r="171" spans="2:30">
      <c r="B171" t="s">
        <v>318</v>
      </c>
      <c r="C171" t="s">
        <v>501</v>
      </c>
      <c r="D171" s="30">
        <f t="shared" ref="D171:D176" si="86">SUM(E171:AD171)</f>
        <v>0</v>
      </c>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row>
    <row r="172" spans="2:30">
      <c r="B172" t="s">
        <v>319</v>
      </c>
      <c r="C172" t="s">
        <v>501</v>
      </c>
      <c r="D172" s="30">
        <f t="shared" si="86"/>
        <v>7</v>
      </c>
      <c r="E172" s="30"/>
      <c r="F172" s="30">
        <v>3</v>
      </c>
      <c r="G172" s="30"/>
      <c r="H172" s="30"/>
      <c r="I172" s="30"/>
      <c r="J172" s="30"/>
      <c r="K172" s="30"/>
      <c r="L172" s="30"/>
      <c r="M172" s="30"/>
      <c r="N172" s="30"/>
      <c r="O172" s="30"/>
      <c r="P172" s="30">
        <v>2</v>
      </c>
      <c r="Q172" s="30"/>
      <c r="R172" s="30">
        <v>1</v>
      </c>
      <c r="S172" s="30"/>
      <c r="T172" s="30">
        <v>1</v>
      </c>
      <c r="U172" s="30"/>
      <c r="V172" s="30"/>
      <c r="W172" s="30"/>
      <c r="X172" s="30"/>
      <c r="Y172" s="30"/>
      <c r="Z172" s="30"/>
      <c r="AA172" s="30"/>
      <c r="AB172" s="30"/>
      <c r="AC172" s="30"/>
      <c r="AD172" s="30"/>
    </row>
    <row r="173" spans="2:30">
      <c r="B173" t="s">
        <v>320</v>
      </c>
      <c r="C173" t="s">
        <v>501</v>
      </c>
      <c r="D173" s="30">
        <f t="shared" si="86"/>
        <v>9</v>
      </c>
      <c r="E173" s="30"/>
      <c r="F173" s="30">
        <v>1</v>
      </c>
      <c r="G173" s="30">
        <v>1</v>
      </c>
      <c r="H173" s="30"/>
      <c r="I173" s="30"/>
      <c r="J173" s="30"/>
      <c r="K173" s="30">
        <v>1</v>
      </c>
      <c r="L173" s="30"/>
      <c r="M173" s="30">
        <v>1</v>
      </c>
      <c r="N173" s="30"/>
      <c r="O173" s="30"/>
      <c r="P173" s="30"/>
      <c r="Q173" s="30">
        <v>1</v>
      </c>
      <c r="R173" s="30">
        <v>2</v>
      </c>
      <c r="S173" s="30">
        <v>1</v>
      </c>
      <c r="T173" s="30">
        <v>1</v>
      </c>
      <c r="U173" s="30"/>
      <c r="V173" s="30"/>
      <c r="W173" s="30"/>
      <c r="X173" s="30"/>
      <c r="Y173" s="30"/>
      <c r="Z173" s="30"/>
      <c r="AA173" s="30"/>
      <c r="AB173" s="30"/>
      <c r="AC173" s="30"/>
      <c r="AD173" s="30"/>
    </row>
    <row r="174" spans="2:30">
      <c r="B174" t="s">
        <v>321</v>
      </c>
      <c r="C174" t="s">
        <v>501</v>
      </c>
      <c r="D174" s="30">
        <f t="shared" si="86"/>
        <v>3</v>
      </c>
      <c r="E174" s="30"/>
      <c r="F174" s="30"/>
      <c r="G174" s="30"/>
      <c r="H174" s="30"/>
      <c r="I174" s="30"/>
      <c r="J174" s="30"/>
      <c r="K174" s="30"/>
      <c r="L174" s="30">
        <v>1</v>
      </c>
      <c r="M174" s="30">
        <v>1</v>
      </c>
      <c r="N174" s="30"/>
      <c r="O174" s="30">
        <v>1</v>
      </c>
      <c r="P174" s="30"/>
      <c r="Q174" s="30"/>
      <c r="R174" s="30"/>
      <c r="S174" s="30"/>
      <c r="T174" s="30"/>
      <c r="U174" s="30"/>
      <c r="V174" s="30"/>
      <c r="W174" s="30"/>
      <c r="X174" s="30"/>
      <c r="Y174" s="30"/>
      <c r="Z174" s="30"/>
      <c r="AA174" s="30"/>
      <c r="AB174" s="30"/>
      <c r="AC174" s="30"/>
      <c r="AD174" s="30"/>
    </row>
    <row r="175" spans="2:30">
      <c r="B175" t="s">
        <v>322</v>
      </c>
      <c r="C175" t="s">
        <v>501</v>
      </c>
      <c r="D175" s="30">
        <f t="shared" si="86"/>
        <v>24</v>
      </c>
      <c r="E175" s="30"/>
      <c r="F175" s="30">
        <v>10</v>
      </c>
      <c r="G175" s="30"/>
      <c r="H175" s="30">
        <v>1</v>
      </c>
      <c r="I175" s="30"/>
      <c r="J175" s="30">
        <v>2</v>
      </c>
      <c r="K175" s="30"/>
      <c r="L175" s="30">
        <v>1</v>
      </c>
      <c r="M175" s="30">
        <v>1</v>
      </c>
      <c r="N175" s="30">
        <v>1</v>
      </c>
      <c r="O175" s="30"/>
      <c r="P175" s="30">
        <v>1</v>
      </c>
      <c r="Q175" s="30"/>
      <c r="R175" s="30">
        <v>2</v>
      </c>
      <c r="S175" s="30">
        <v>1</v>
      </c>
      <c r="T175" s="30"/>
      <c r="U175" s="30"/>
      <c r="V175" s="30"/>
      <c r="W175" s="30">
        <v>3</v>
      </c>
      <c r="X175" s="30"/>
      <c r="Y175" s="30"/>
      <c r="Z175" s="30"/>
      <c r="AA175" s="30"/>
      <c r="AB175" s="30"/>
      <c r="AC175" s="30">
        <v>1</v>
      </c>
      <c r="AD175" s="30"/>
    </row>
    <row r="176" spans="2:30">
      <c r="B176" t="s">
        <v>323</v>
      </c>
      <c r="C176" t="s">
        <v>501</v>
      </c>
      <c r="D176" s="30">
        <f t="shared" si="86"/>
        <v>4</v>
      </c>
      <c r="E176" s="30"/>
      <c r="F176" s="30">
        <v>1</v>
      </c>
      <c r="G176" s="30"/>
      <c r="H176" s="30"/>
      <c r="I176" s="30"/>
      <c r="J176" s="30"/>
      <c r="K176" s="30"/>
      <c r="L176" s="30"/>
      <c r="M176" s="30"/>
      <c r="N176" s="30"/>
      <c r="O176" s="30">
        <v>2</v>
      </c>
      <c r="P176" s="30"/>
      <c r="Q176" s="30"/>
      <c r="R176" s="30"/>
      <c r="S176" s="30"/>
      <c r="T176" s="30"/>
      <c r="U176" s="30"/>
      <c r="V176" s="30"/>
      <c r="W176" s="30">
        <v>1</v>
      </c>
      <c r="X176" s="30"/>
      <c r="Y176" s="30"/>
      <c r="Z176" s="30"/>
      <c r="AA176" s="30"/>
      <c r="AB176" s="30"/>
      <c r="AC176" s="30"/>
      <c r="AD176" s="30"/>
    </row>
    <row r="177" spans="2:30">
      <c r="B177" s="79" t="s">
        <v>16</v>
      </c>
      <c r="C177" s="79" t="s">
        <v>501</v>
      </c>
      <c r="D177" s="176">
        <f>SUM(D170:D176)</f>
        <v>67</v>
      </c>
      <c r="E177" s="176">
        <f t="shared" ref="E177:AD177" si="87">SUM(E170:E176)</f>
        <v>0</v>
      </c>
      <c r="F177" s="176">
        <f t="shared" si="87"/>
        <v>28</v>
      </c>
      <c r="G177" s="176">
        <f t="shared" si="87"/>
        <v>1</v>
      </c>
      <c r="H177" s="176">
        <f t="shared" si="87"/>
        <v>1</v>
      </c>
      <c r="I177" s="176">
        <v>0</v>
      </c>
      <c r="J177" s="176">
        <f t="shared" si="87"/>
        <v>2</v>
      </c>
      <c r="K177" s="176">
        <f t="shared" si="87"/>
        <v>1</v>
      </c>
      <c r="L177" s="176">
        <f t="shared" si="87"/>
        <v>2</v>
      </c>
      <c r="M177" s="176">
        <f t="shared" si="87"/>
        <v>3</v>
      </c>
      <c r="N177" s="176">
        <f t="shared" si="87"/>
        <v>1</v>
      </c>
      <c r="O177" s="176">
        <f t="shared" si="87"/>
        <v>3</v>
      </c>
      <c r="P177" s="176">
        <f t="shared" si="87"/>
        <v>5</v>
      </c>
      <c r="Q177" s="176">
        <f t="shared" si="87"/>
        <v>1</v>
      </c>
      <c r="R177" s="176">
        <f t="shared" si="87"/>
        <v>5</v>
      </c>
      <c r="S177" s="176">
        <f t="shared" si="87"/>
        <v>3</v>
      </c>
      <c r="T177" s="176">
        <f t="shared" si="87"/>
        <v>2</v>
      </c>
      <c r="U177" s="176">
        <f t="shared" si="87"/>
        <v>0</v>
      </c>
      <c r="V177" s="176">
        <f t="shared" si="87"/>
        <v>0</v>
      </c>
      <c r="W177" s="176">
        <f t="shared" si="87"/>
        <v>7</v>
      </c>
      <c r="X177" s="176">
        <f t="shared" si="87"/>
        <v>0</v>
      </c>
      <c r="Y177" s="176">
        <f t="shared" si="87"/>
        <v>0</v>
      </c>
      <c r="Z177" s="176">
        <f t="shared" si="87"/>
        <v>0</v>
      </c>
      <c r="AA177" s="176">
        <f t="shared" si="87"/>
        <v>0</v>
      </c>
      <c r="AB177" s="176">
        <f t="shared" si="87"/>
        <v>0</v>
      </c>
      <c r="AC177" s="176">
        <f t="shared" si="87"/>
        <v>2</v>
      </c>
      <c r="AD177" s="176">
        <f t="shared" si="87"/>
        <v>0</v>
      </c>
    </row>
    <row r="178" spans="2:30">
      <c r="B178" t="s">
        <v>584</v>
      </c>
    </row>
    <row r="182" spans="2:30" ht="15.5">
      <c r="B182" s="101" t="s">
        <v>589</v>
      </c>
    </row>
    <row r="183" spans="2:30">
      <c r="B183" s="81" t="s">
        <v>573</v>
      </c>
      <c r="C183" s="81" t="s">
        <v>63</v>
      </c>
      <c r="D183" s="81" t="str">
        <f>D169</f>
        <v>IE</v>
      </c>
      <c r="E183" s="81" t="str">
        <f t="shared" ref="E183:AD183" si="88">E169</f>
        <v>IE-CW</v>
      </c>
      <c r="F183" s="81" t="str">
        <f t="shared" si="88"/>
        <v>IE-D</v>
      </c>
      <c r="G183" s="81" t="str">
        <f t="shared" si="88"/>
        <v>IE-KE</v>
      </c>
      <c r="H183" s="81" t="str">
        <f t="shared" si="88"/>
        <v>IE-KK</v>
      </c>
      <c r="I183" s="81" t="str">
        <f t="shared" si="88"/>
        <v>IE-LS</v>
      </c>
      <c r="J183" s="81" t="str">
        <f t="shared" si="88"/>
        <v>IE-LD</v>
      </c>
      <c r="K183" s="81" t="str">
        <f t="shared" si="88"/>
        <v>IE-LH</v>
      </c>
      <c r="L183" s="81" t="str">
        <f t="shared" si="88"/>
        <v>IE-MH</v>
      </c>
      <c r="M183" s="81" t="str">
        <f t="shared" si="88"/>
        <v>IE-OY</v>
      </c>
      <c r="N183" s="81" t="str">
        <f t="shared" si="88"/>
        <v>IE-WH</v>
      </c>
      <c r="O183" s="81" t="str">
        <f t="shared" si="88"/>
        <v>IE-WX</v>
      </c>
      <c r="P183" s="81" t="str">
        <f t="shared" si="88"/>
        <v>IE-WW</v>
      </c>
      <c r="Q183" s="81" t="str">
        <f t="shared" si="88"/>
        <v>IE-CE</v>
      </c>
      <c r="R183" s="81" t="str">
        <f t="shared" si="88"/>
        <v>IE-CO</v>
      </c>
      <c r="S183" s="81" t="str">
        <f t="shared" si="88"/>
        <v>IE-KY</v>
      </c>
      <c r="T183" s="81" t="str">
        <f t="shared" si="88"/>
        <v>IE-LK</v>
      </c>
      <c r="U183" s="81" t="str">
        <f t="shared" si="88"/>
        <v>IE-TA</v>
      </c>
      <c r="V183" s="81" t="str">
        <f t="shared" si="88"/>
        <v>IE-WD</v>
      </c>
      <c r="W183" s="81" t="str">
        <f t="shared" si="88"/>
        <v>IE-G</v>
      </c>
      <c r="X183" s="81" t="str">
        <f t="shared" si="88"/>
        <v>IE-LM</v>
      </c>
      <c r="Y183" s="81" t="str">
        <f t="shared" si="88"/>
        <v>IE-MO</v>
      </c>
      <c r="Z183" s="81" t="str">
        <f t="shared" si="88"/>
        <v>IE-RN</v>
      </c>
      <c r="AA183" s="81" t="str">
        <f t="shared" si="88"/>
        <v>IE-SO</v>
      </c>
      <c r="AB183" s="81" t="str">
        <f t="shared" si="88"/>
        <v>IE-CN</v>
      </c>
      <c r="AC183" s="81" t="str">
        <f t="shared" si="88"/>
        <v>IE-DL</v>
      </c>
      <c r="AD183" s="81" t="str">
        <f t="shared" si="88"/>
        <v>IE-MN</v>
      </c>
    </row>
    <row r="184" spans="2:30">
      <c r="B184" t="s">
        <v>317</v>
      </c>
      <c r="C184" s="179" t="s">
        <v>577</v>
      </c>
      <c r="D184" s="29">
        <f t="shared" ref="D184:AD184" si="89">D170/D$177</f>
        <v>0.29850746268656714</v>
      </c>
      <c r="E184" s="29" t="e">
        <f t="shared" si="89"/>
        <v>#DIV/0!</v>
      </c>
      <c r="F184" s="29">
        <f t="shared" si="89"/>
        <v>0.4642857142857143</v>
      </c>
      <c r="G184" s="29">
        <f t="shared" si="89"/>
        <v>0</v>
      </c>
      <c r="H184" s="29">
        <f t="shared" si="89"/>
        <v>0</v>
      </c>
      <c r="I184" s="29" t="e">
        <f t="shared" si="89"/>
        <v>#DIV/0!</v>
      </c>
      <c r="J184" s="29">
        <f t="shared" si="89"/>
        <v>0</v>
      </c>
      <c r="K184" s="29">
        <f t="shared" si="89"/>
        <v>0</v>
      </c>
      <c r="L184" s="29">
        <f t="shared" si="89"/>
        <v>0</v>
      </c>
      <c r="M184" s="29">
        <f t="shared" si="89"/>
        <v>0</v>
      </c>
      <c r="N184" s="29">
        <f t="shared" si="89"/>
        <v>0</v>
      </c>
      <c r="O184" s="29">
        <f t="shared" si="89"/>
        <v>0</v>
      </c>
      <c r="P184" s="29">
        <f t="shared" si="89"/>
        <v>0.4</v>
      </c>
      <c r="Q184" s="29">
        <f t="shared" si="89"/>
        <v>0</v>
      </c>
      <c r="R184" s="29">
        <f t="shared" si="89"/>
        <v>0</v>
      </c>
      <c r="S184" s="29">
        <f t="shared" si="89"/>
        <v>0.33333333333333331</v>
      </c>
      <c r="T184" s="29">
        <f t="shared" si="89"/>
        <v>0</v>
      </c>
      <c r="U184" s="29" t="e">
        <f t="shared" si="89"/>
        <v>#DIV/0!</v>
      </c>
      <c r="V184" s="29" t="e">
        <f t="shared" si="89"/>
        <v>#DIV/0!</v>
      </c>
      <c r="W184" s="29">
        <f t="shared" si="89"/>
        <v>0.42857142857142855</v>
      </c>
      <c r="X184" s="29" t="e">
        <f t="shared" si="89"/>
        <v>#DIV/0!</v>
      </c>
      <c r="Y184" s="29" t="e">
        <f t="shared" si="89"/>
        <v>#DIV/0!</v>
      </c>
      <c r="Z184" s="29" t="e">
        <f t="shared" si="89"/>
        <v>#DIV/0!</v>
      </c>
      <c r="AA184" s="29" t="e">
        <f t="shared" si="89"/>
        <v>#DIV/0!</v>
      </c>
      <c r="AB184" s="29" t="e">
        <f t="shared" si="89"/>
        <v>#DIV/0!</v>
      </c>
      <c r="AC184" s="29">
        <f t="shared" si="89"/>
        <v>0.5</v>
      </c>
      <c r="AD184" s="29" t="e">
        <f t="shared" si="89"/>
        <v>#DIV/0!</v>
      </c>
    </row>
    <row r="185" spans="2:30">
      <c r="B185" t="s">
        <v>318</v>
      </c>
      <c r="C185" t="s">
        <v>577</v>
      </c>
      <c r="D185" s="29">
        <f t="shared" ref="D185:S190" si="90">D171/D$177</f>
        <v>0</v>
      </c>
      <c r="E185" s="29" t="e">
        <f t="shared" si="90"/>
        <v>#DIV/0!</v>
      </c>
      <c r="F185" s="29">
        <f t="shared" si="90"/>
        <v>0</v>
      </c>
      <c r="G185" s="29">
        <f t="shared" si="90"/>
        <v>0</v>
      </c>
      <c r="H185" s="29">
        <f t="shared" si="90"/>
        <v>0</v>
      </c>
      <c r="I185" s="29" t="e">
        <f t="shared" si="90"/>
        <v>#DIV/0!</v>
      </c>
      <c r="J185" s="29">
        <f t="shared" si="90"/>
        <v>0</v>
      </c>
      <c r="K185" s="29">
        <f t="shared" si="90"/>
        <v>0</v>
      </c>
      <c r="L185" s="29">
        <f t="shared" si="90"/>
        <v>0</v>
      </c>
      <c r="M185" s="29">
        <f t="shared" si="90"/>
        <v>0</v>
      </c>
      <c r="N185" s="29">
        <f t="shared" si="90"/>
        <v>0</v>
      </c>
      <c r="O185" s="29">
        <f t="shared" si="90"/>
        <v>0</v>
      </c>
      <c r="P185" s="29">
        <f t="shared" si="90"/>
        <v>0</v>
      </c>
      <c r="Q185" s="29">
        <f t="shared" si="90"/>
        <v>0</v>
      </c>
      <c r="R185" s="29">
        <f t="shared" si="90"/>
        <v>0</v>
      </c>
      <c r="S185" s="29">
        <f t="shared" si="90"/>
        <v>0</v>
      </c>
      <c r="T185" s="29">
        <f t="shared" ref="T185:AD185" si="91">T171/T$177</f>
        <v>0</v>
      </c>
      <c r="U185" s="29" t="e">
        <f t="shared" si="91"/>
        <v>#DIV/0!</v>
      </c>
      <c r="V185" s="29" t="e">
        <f t="shared" si="91"/>
        <v>#DIV/0!</v>
      </c>
      <c r="W185" s="29">
        <f t="shared" si="91"/>
        <v>0</v>
      </c>
      <c r="X185" s="29" t="e">
        <f t="shared" si="91"/>
        <v>#DIV/0!</v>
      </c>
      <c r="Y185" s="29" t="e">
        <f t="shared" si="91"/>
        <v>#DIV/0!</v>
      </c>
      <c r="Z185" s="29" t="e">
        <f t="shared" si="91"/>
        <v>#DIV/0!</v>
      </c>
      <c r="AA185" s="29" t="e">
        <f t="shared" si="91"/>
        <v>#DIV/0!</v>
      </c>
      <c r="AB185" s="29" t="e">
        <f t="shared" si="91"/>
        <v>#DIV/0!</v>
      </c>
      <c r="AC185" s="29">
        <f t="shared" si="91"/>
        <v>0</v>
      </c>
      <c r="AD185" s="29" t="e">
        <f t="shared" si="91"/>
        <v>#DIV/0!</v>
      </c>
    </row>
    <row r="186" spans="2:30">
      <c r="B186" t="s">
        <v>319</v>
      </c>
      <c r="C186" t="s">
        <v>577</v>
      </c>
      <c r="D186" s="29">
        <f t="shared" si="90"/>
        <v>0.1044776119402985</v>
      </c>
      <c r="E186" s="29" t="e">
        <f t="shared" ref="E186:S186" si="92">E172/E$177</f>
        <v>#DIV/0!</v>
      </c>
      <c r="F186" s="29">
        <f t="shared" si="92"/>
        <v>0.10714285714285714</v>
      </c>
      <c r="G186" s="29">
        <f t="shared" si="92"/>
        <v>0</v>
      </c>
      <c r="H186" s="29">
        <f t="shared" si="92"/>
        <v>0</v>
      </c>
      <c r="I186" s="29" t="e">
        <f t="shared" si="92"/>
        <v>#DIV/0!</v>
      </c>
      <c r="J186" s="29">
        <f t="shared" si="92"/>
        <v>0</v>
      </c>
      <c r="K186" s="29">
        <f t="shared" si="92"/>
        <v>0</v>
      </c>
      <c r="L186" s="29">
        <f t="shared" si="92"/>
        <v>0</v>
      </c>
      <c r="M186" s="29">
        <f t="shared" si="92"/>
        <v>0</v>
      </c>
      <c r="N186" s="29">
        <f t="shared" si="92"/>
        <v>0</v>
      </c>
      <c r="O186" s="29">
        <f t="shared" si="92"/>
        <v>0</v>
      </c>
      <c r="P186" s="29">
        <f t="shared" si="92"/>
        <v>0.4</v>
      </c>
      <c r="Q186" s="29">
        <f t="shared" si="92"/>
        <v>0</v>
      </c>
      <c r="R186" s="29">
        <f t="shared" si="92"/>
        <v>0.2</v>
      </c>
      <c r="S186" s="29">
        <f t="shared" si="92"/>
        <v>0</v>
      </c>
      <c r="T186" s="29">
        <f t="shared" ref="T186:AD186" si="93">T172/T$177</f>
        <v>0.5</v>
      </c>
      <c r="U186" s="29" t="e">
        <f t="shared" si="93"/>
        <v>#DIV/0!</v>
      </c>
      <c r="V186" s="29" t="e">
        <f t="shared" si="93"/>
        <v>#DIV/0!</v>
      </c>
      <c r="W186" s="29">
        <f t="shared" si="93"/>
        <v>0</v>
      </c>
      <c r="X186" s="29" t="e">
        <f t="shared" si="93"/>
        <v>#DIV/0!</v>
      </c>
      <c r="Y186" s="29" t="e">
        <f t="shared" si="93"/>
        <v>#DIV/0!</v>
      </c>
      <c r="Z186" s="29" t="e">
        <f t="shared" si="93"/>
        <v>#DIV/0!</v>
      </c>
      <c r="AA186" s="29" t="e">
        <f t="shared" si="93"/>
        <v>#DIV/0!</v>
      </c>
      <c r="AB186" s="29" t="e">
        <f t="shared" si="93"/>
        <v>#DIV/0!</v>
      </c>
      <c r="AC186" s="29">
        <f t="shared" si="93"/>
        <v>0</v>
      </c>
      <c r="AD186" s="29" t="e">
        <f t="shared" si="93"/>
        <v>#DIV/0!</v>
      </c>
    </row>
    <row r="187" spans="2:30">
      <c r="B187" t="s">
        <v>320</v>
      </c>
      <c r="C187" t="s">
        <v>577</v>
      </c>
      <c r="D187" s="29">
        <f t="shared" si="90"/>
        <v>0.13432835820895522</v>
      </c>
      <c r="E187" s="29" t="e">
        <f t="shared" si="90"/>
        <v>#DIV/0!</v>
      </c>
      <c r="F187" s="29">
        <f t="shared" si="90"/>
        <v>3.5714285714285712E-2</v>
      </c>
      <c r="G187" s="29">
        <f t="shared" si="90"/>
        <v>1</v>
      </c>
      <c r="H187" s="29">
        <f t="shared" si="90"/>
        <v>0</v>
      </c>
      <c r="I187" s="29" t="e">
        <f t="shared" si="90"/>
        <v>#DIV/0!</v>
      </c>
      <c r="J187" s="29">
        <f t="shared" si="90"/>
        <v>0</v>
      </c>
      <c r="K187" s="29">
        <f t="shared" si="90"/>
        <v>1</v>
      </c>
      <c r="L187" s="29">
        <f t="shared" si="90"/>
        <v>0</v>
      </c>
      <c r="M187" s="29">
        <f t="shared" si="90"/>
        <v>0.33333333333333331</v>
      </c>
      <c r="N187" s="29">
        <f t="shared" si="90"/>
        <v>0</v>
      </c>
      <c r="O187" s="29">
        <f t="shared" si="90"/>
        <v>0</v>
      </c>
      <c r="P187" s="29">
        <f t="shared" si="90"/>
        <v>0</v>
      </c>
      <c r="Q187" s="29">
        <f t="shared" si="90"/>
        <v>1</v>
      </c>
      <c r="R187" s="29">
        <f t="shared" si="90"/>
        <v>0.4</v>
      </c>
      <c r="S187" s="29">
        <f t="shared" si="90"/>
        <v>0.33333333333333331</v>
      </c>
      <c r="T187" s="29">
        <f t="shared" ref="T187:AD187" si="94">T173/T$177</f>
        <v>0.5</v>
      </c>
      <c r="U187" s="29" t="e">
        <f t="shared" si="94"/>
        <v>#DIV/0!</v>
      </c>
      <c r="V187" s="29" t="e">
        <f t="shared" si="94"/>
        <v>#DIV/0!</v>
      </c>
      <c r="W187" s="29">
        <f t="shared" si="94"/>
        <v>0</v>
      </c>
      <c r="X187" s="29" t="e">
        <f t="shared" si="94"/>
        <v>#DIV/0!</v>
      </c>
      <c r="Y187" s="29" t="e">
        <f t="shared" si="94"/>
        <v>#DIV/0!</v>
      </c>
      <c r="Z187" s="29" t="e">
        <f t="shared" si="94"/>
        <v>#DIV/0!</v>
      </c>
      <c r="AA187" s="29" t="e">
        <f t="shared" si="94"/>
        <v>#DIV/0!</v>
      </c>
      <c r="AB187" s="29" t="e">
        <f t="shared" si="94"/>
        <v>#DIV/0!</v>
      </c>
      <c r="AC187" s="29">
        <f t="shared" si="94"/>
        <v>0</v>
      </c>
      <c r="AD187" s="29" t="e">
        <f t="shared" si="94"/>
        <v>#DIV/0!</v>
      </c>
    </row>
    <row r="188" spans="2:30">
      <c r="B188" t="s">
        <v>321</v>
      </c>
      <c r="C188" t="s">
        <v>577</v>
      </c>
      <c r="D188" s="29">
        <f t="shared" si="90"/>
        <v>4.4776119402985072E-2</v>
      </c>
      <c r="E188" s="29" t="e">
        <f t="shared" si="90"/>
        <v>#DIV/0!</v>
      </c>
      <c r="F188" s="29">
        <f t="shared" si="90"/>
        <v>0</v>
      </c>
      <c r="G188" s="29">
        <f t="shared" si="90"/>
        <v>0</v>
      </c>
      <c r="H188" s="29">
        <f t="shared" si="90"/>
        <v>0</v>
      </c>
      <c r="I188" s="29" t="e">
        <f t="shared" si="90"/>
        <v>#DIV/0!</v>
      </c>
      <c r="J188" s="29">
        <f t="shared" si="90"/>
        <v>0</v>
      </c>
      <c r="K188" s="29">
        <f t="shared" si="90"/>
        <v>0</v>
      </c>
      <c r="L188" s="29">
        <f t="shared" si="90"/>
        <v>0.5</v>
      </c>
      <c r="M188" s="29">
        <f t="shared" si="90"/>
        <v>0.33333333333333331</v>
      </c>
      <c r="N188" s="29">
        <f t="shared" si="90"/>
        <v>0</v>
      </c>
      <c r="O188" s="29">
        <f t="shared" si="90"/>
        <v>0.33333333333333331</v>
      </c>
      <c r="P188" s="29">
        <f t="shared" si="90"/>
        <v>0</v>
      </c>
      <c r="Q188" s="29">
        <f t="shared" si="90"/>
        <v>0</v>
      </c>
      <c r="R188" s="29">
        <f t="shared" si="90"/>
        <v>0</v>
      </c>
      <c r="S188" s="29">
        <f t="shared" si="90"/>
        <v>0</v>
      </c>
      <c r="T188" s="29">
        <f t="shared" ref="T188:AD188" si="95">T174/T$177</f>
        <v>0</v>
      </c>
      <c r="U188" s="29" t="e">
        <f t="shared" si="95"/>
        <v>#DIV/0!</v>
      </c>
      <c r="V188" s="29" t="e">
        <f t="shared" si="95"/>
        <v>#DIV/0!</v>
      </c>
      <c r="W188" s="29">
        <f t="shared" si="95"/>
        <v>0</v>
      </c>
      <c r="X188" s="29" t="e">
        <f t="shared" si="95"/>
        <v>#DIV/0!</v>
      </c>
      <c r="Y188" s="29" t="e">
        <f t="shared" si="95"/>
        <v>#DIV/0!</v>
      </c>
      <c r="Z188" s="29" t="e">
        <f t="shared" si="95"/>
        <v>#DIV/0!</v>
      </c>
      <c r="AA188" s="29" t="e">
        <f t="shared" si="95"/>
        <v>#DIV/0!</v>
      </c>
      <c r="AB188" s="29" t="e">
        <f t="shared" si="95"/>
        <v>#DIV/0!</v>
      </c>
      <c r="AC188" s="29">
        <f t="shared" si="95"/>
        <v>0</v>
      </c>
      <c r="AD188" s="29" t="e">
        <f t="shared" si="95"/>
        <v>#DIV/0!</v>
      </c>
    </row>
    <row r="189" spans="2:30">
      <c r="B189" t="s">
        <v>322</v>
      </c>
      <c r="C189" t="s">
        <v>577</v>
      </c>
      <c r="D189" s="29">
        <f t="shared" si="90"/>
        <v>0.35820895522388058</v>
      </c>
      <c r="E189" s="29" t="e">
        <f t="shared" si="90"/>
        <v>#DIV/0!</v>
      </c>
      <c r="F189" s="29">
        <f t="shared" si="90"/>
        <v>0.35714285714285715</v>
      </c>
      <c r="G189" s="29">
        <f t="shared" si="90"/>
        <v>0</v>
      </c>
      <c r="H189" s="29">
        <f t="shared" si="90"/>
        <v>1</v>
      </c>
      <c r="I189" s="29" t="e">
        <f t="shared" si="90"/>
        <v>#DIV/0!</v>
      </c>
      <c r="J189" s="29">
        <f t="shared" si="90"/>
        <v>1</v>
      </c>
      <c r="K189" s="29">
        <f t="shared" si="90"/>
        <v>0</v>
      </c>
      <c r="L189" s="29">
        <f t="shared" si="90"/>
        <v>0.5</v>
      </c>
      <c r="M189" s="29">
        <f t="shared" si="90"/>
        <v>0.33333333333333331</v>
      </c>
      <c r="N189" s="29">
        <f t="shared" si="90"/>
        <v>1</v>
      </c>
      <c r="O189" s="29">
        <f t="shared" si="90"/>
        <v>0</v>
      </c>
      <c r="P189" s="29">
        <f t="shared" si="90"/>
        <v>0.2</v>
      </c>
      <c r="Q189" s="29">
        <f t="shared" si="90"/>
        <v>0</v>
      </c>
      <c r="R189" s="29">
        <f t="shared" si="90"/>
        <v>0.4</v>
      </c>
      <c r="S189" s="29">
        <f t="shared" si="90"/>
        <v>0.33333333333333331</v>
      </c>
      <c r="T189" s="29">
        <f t="shared" ref="T189:AD189" si="96">T175/T$177</f>
        <v>0</v>
      </c>
      <c r="U189" s="29" t="e">
        <f t="shared" si="96"/>
        <v>#DIV/0!</v>
      </c>
      <c r="V189" s="29" t="e">
        <f t="shared" si="96"/>
        <v>#DIV/0!</v>
      </c>
      <c r="W189" s="29">
        <f t="shared" si="96"/>
        <v>0.42857142857142855</v>
      </c>
      <c r="X189" s="29" t="e">
        <f t="shared" si="96"/>
        <v>#DIV/0!</v>
      </c>
      <c r="Y189" s="29" t="e">
        <f t="shared" si="96"/>
        <v>#DIV/0!</v>
      </c>
      <c r="Z189" s="29" t="e">
        <f t="shared" si="96"/>
        <v>#DIV/0!</v>
      </c>
      <c r="AA189" s="29" t="e">
        <f t="shared" si="96"/>
        <v>#DIV/0!</v>
      </c>
      <c r="AB189" s="29" t="e">
        <f t="shared" si="96"/>
        <v>#DIV/0!</v>
      </c>
      <c r="AC189" s="29">
        <f t="shared" si="96"/>
        <v>0.5</v>
      </c>
      <c r="AD189" s="29" t="e">
        <f t="shared" si="96"/>
        <v>#DIV/0!</v>
      </c>
    </row>
    <row r="190" spans="2:30">
      <c r="B190" t="s">
        <v>323</v>
      </c>
      <c r="C190" t="s">
        <v>577</v>
      </c>
      <c r="D190" s="29">
        <f t="shared" si="90"/>
        <v>5.9701492537313432E-2</v>
      </c>
      <c r="E190" s="29" t="e">
        <f t="shared" si="90"/>
        <v>#DIV/0!</v>
      </c>
      <c r="F190" s="29">
        <f t="shared" si="90"/>
        <v>3.5714285714285712E-2</v>
      </c>
      <c r="G190" s="29">
        <f t="shared" si="90"/>
        <v>0</v>
      </c>
      <c r="H190" s="29">
        <f t="shared" si="90"/>
        <v>0</v>
      </c>
      <c r="I190" s="29" t="e">
        <f t="shared" si="90"/>
        <v>#DIV/0!</v>
      </c>
      <c r="J190" s="29">
        <f t="shared" si="90"/>
        <v>0</v>
      </c>
      <c r="K190" s="29">
        <f t="shared" si="90"/>
        <v>0</v>
      </c>
      <c r="L190" s="29">
        <f t="shared" si="90"/>
        <v>0</v>
      </c>
      <c r="M190" s="29">
        <f t="shared" si="90"/>
        <v>0</v>
      </c>
      <c r="N190" s="29">
        <f t="shared" si="90"/>
        <v>0</v>
      </c>
      <c r="O190" s="29">
        <f t="shared" si="90"/>
        <v>0.66666666666666663</v>
      </c>
      <c r="P190" s="29">
        <f t="shared" si="90"/>
        <v>0</v>
      </c>
      <c r="Q190" s="29">
        <f t="shared" si="90"/>
        <v>0</v>
      </c>
      <c r="R190" s="29">
        <f t="shared" si="90"/>
        <v>0</v>
      </c>
      <c r="S190" s="29">
        <f t="shared" si="90"/>
        <v>0</v>
      </c>
      <c r="T190" s="29">
        <f t="shared" ref="T190:AD190" si="97">T176/T$177</f>
        <v>0</v>
      </c>
      <c r="U190" s="29" t="e">
        <f t="shared" si="97"/>
        <v>#DIV/0!</v>
      </c>
      <c r="V190" s="29" t="e">
        <f t="shared" si="97"/>
        <v>#DIV/0!</v>
      </c>
      <c r="W190" s="29">
        <f t="shared" si="97"/>
        <v>0.14285714285714285</v>
      </c>
      <c r="X190" s="29" t="e">
        <f t="shared" si="97"/>
        <v>#DIV/0!</v>
      </c>
      <c r="Y190" s="29" t="e">
        <f t="shared" si="97"/>
        <v>#DIV/0!</v>
      </c>
      <c r="Z190" s="29" t="e">
        <f t="shared" si="97"/>
        <v>#DIV/0!</v>
      </c>
      <c r="AA190" s="29" t="e">
        <f t="shared" si="97"/>
        <v>#DIV/0!</v>
      </c>
      <c r="AB190" s="29" t="e">
        <f t="shared" si="97"/>
        <v>#DIV/0!</v>
      </c>
      <c r="AC190" s="29">
        <f t="shared" si="97"/>
        <v>0</v>
      </c>
      <c r="AD190" s="29" t="e">
        <f t="shared" si="97"/>
        <v>#DIV/0!</v>
      </c>
    </row>
    <row r="191" spans="2:30">
      <c r="B191" s="79" t="s">
        <v>16</v>
      </c>
      <c r="C191" s="79" t="s">
        <v>577</v>
      </c>
      <c r="D191" s="102">
        <f t="shared" ref="D191:AD191" si="98">SUM(D184:D190)</f>
        <v>1</v>
      </c>
      <c r="E191" s="102" t="e">
        <f t="shared" si="98"/>
        <v>#DIV/0!</v>
      </c>
      <c r="F191" s="102">
        <f t="shared" si="98"/>
        <v>0.99999999999999989</v>
      </c>
      <c r="G191" s="102">
        <f t="shared" si="98"/>
        <v>1</v>
      </c>
      <c r="H191" s="102">
        <f t="shared" si="98"/>
        <v>1</v>
      </c>
      <c r="I191" s="102" t="e">
        <f t="shared" si="98"/>
        <v>#DIV/0!</v>
      </c>
      <c r="J191" s="102">
        <f t="shared" si="98"/>
        <v>1</v>
      </c>
      <c r="K191" s="102">
        <f t="shared" si="98"/>
        <v>1</v>
      </c>
      <c r="L191" s="102">
        <f t="shared" si="98"/>
        <v>1</v>
      </c>
      <c r="M191" s="102">
        <f t="shared" si="98"/>
        <v>1</v>
      </c>
      <c r="N191" s="102">
        <f t="shared" si="98"/>
        <v>1</v>
      </c>
      <c r="O191" s="102">
        <f t="shared" si="98"/>
        <v>1</v>
      </c>
      <c r="P191" s="102">
        <f t="shared" si="98"/>
        <v>1</v>
      </c>
      <c r="Q191" s="102">
        <f t="shared" si="98"/>
        <v>1</v>
      </c>
      <c r="R191" s="102">
        <f t="shared" si="98"/>
        <v>1</v>
      </c>
      <c r="S191" s="102">
        <f t="shared" si="98"/>
        <v>1</v>
      </c>
      <c r="T191" s="102">
        <f t="shared" si="98"/>
        <v>1</v>
      </c>
      <c r="U191" s="102" t="e">
        <f t="shared" si="98"/>
        <v>#DIV/0!</v>
      </c>
      <c r="V191" s="102" t="e">
        <f t="shared" si="98"/>
        <v>#DIV/0!</v>
      </c>
      <c r="W191" s="102">
        <f t="shared" si="98"/>
        <v>1</v>
      </c>
      <c r="X191" s="102" t="e">
        <f t="shared" si="98"/>
        <v>#DIV/0!</v>
      </c>
      <c r="Y191" s="102" t="e">
        <f t="shared" si="98"/>
        <v>#DIV/0!</v>
      </c>
      <c r="Z191" s="102" t="e">
        <f t="shared" si="98"/>
        <v>#DIV/0!</v>
      </c>
      <c r="AA191" s="102" t="e">
        <f t="shared" si="98"/>
        <v>#DIV/0!</v>
      </c>
      <c r="AB191" s="102" t="e">
        <f t="shared" si="98"/>
        <v>#DIV/0!</v>
      </c>
      <c r="AC191" s="102">
        <f t="shared" si="98"/>
        <v>1</v>
      </c>
      <c r="AD191" s="102" t="e">
        <f t="shared" si="98"/>
        <v>#DIV/0!</v>
      </c>
    </row>
    <row r="195" spans="2:30" ht="15.5">
      <c r="B195" s="101" t="s">
        <v>588</v>
      </c>
    </row>
    <row r="196" spans="2:30">
      <c r="B196" s="81" t="s">
        <v>573</v>
      </c>
      <c r="C196" s="81" t="s">
        <v>63</v>
      </c>
      <c r="D196" s="81" t="str">
        <f>D183</f>
        <v>IE</v>
      </c>
      <c r="E196" s="81" t="str">
        <f t="shared" ref="E196:AD196" si="99">E183</f>
        <v>IE-CW</v>
      </c>
      <c r="F196" s="81" t="str">
        <f t="shared" si="99"/>
        <v>IE-D</v>
      </c>
      <c r="G196" s="81" t="str">
        <f t="shared" si="99"/>
        <v>IE-KE</v>
      </c>
      <c r="H196" s="81" t="str">
        <f t="shared" si="99"/>
        <v>IE-KK</v>
      </c>
      <c r="I196" s="81" t="str">
        <f t="shared" si="99"/>
        <v>IE-LS</v>
      </c>
      <c r="J196" s="81" t="str">
        <f t="shared" si="99"/>
        <v>IE-LD</v>
      </c>
      <c r="K196" s="81" t="str">
        <f t="shared" si="99"/>
        <v>IE-LH</v>
      </c>
      <c r="L196" s="81" t="str">
        <f t="shared" si="99"/>
        <v>IE-MH</v>
      </c>
      <c r="M196" s="81" t="str">
        <f t="shared" si="99"/>
        <v>IE-OY</v>
      </c>
      <c r="N196" s="81" t="str">
        <f t="shared" si="99"/>
        <v>IE-WH</v>
      </c>
      <c r="O196" s="81" t="str">
        <f t="shared" si="99"/>
        <v>IE-WX</v>
      </c>
      <c r="P196" s="81" t="str">
        <f t="shared" si="99"/>
        <v>IE-WW</v>
      </c>
      <c r="Q196" s="81" t="str">
        <f t="shared" si="99"/>
        <v>IE-CE</v>
      </c>
      <c r="R196" s="81" t="str">
        <f t="shared" si="99"/>
        <v>IE-CO</v>
      </c>
      <c r="S196" s="81" t="str">
        <f t="shared" si="99"/>
        <v>IE-KY</v>
      </c>
      <c r="T196" s="81" t="str">
        <f t="shared" si="99"/>
        <v>IE-LK</v>
      </c>
      <c r="U196" s="81" t="str">
        <f t="shared" si="99"/>
        <v>IE-TA</v>
      </c>
      <c r="V196" s="81" t="str">
        <f t="shared" si="99"/>
        <v>IE-WD</v>
      </c>
      <c r="W196" s="81" t="str">
        <f t="shared" si="99"/>
        <v>IE-G</v>
      </c>
      <c r="X196" s="81" t="str">
        <f t="shared" si="99"/>
        <v>IE-LM</v>
      </c>
      <c r="Y196" s="81" t="str">
        <f t="shared" si="99"/>
        <v>IE-MO</v>
      </c>
      <c r="Z196" s="81" t="str">
        <f t="shared" si="99"/>
        <v>IE-RN</v>
      </c>
      <c r="AA196" s="81" t="str">
        <f t="shared" si="99"/>
        <v>IE-SO</v>
      </c>
      <c r="AB196" s="81" t="str">
        <f t="shared" si="99"/>
        <v>IE-CN</v>
      </c>
      <c r="AC196" s="81" t="str">
        <f t="shared" si="99"/>
        <v>IE-DL</v>
      </c>
      <c r="AD196" s="81" t="str">
        <f t="shared" si="99"/>
        <v>IE-MN</v>
      </c>
    </row>
    <row r="197" spans="2:30">
      <c r="B197" t="s">
        <v>317</v>
      </c>
      <c r="C197" t="s">
        <v>578</v>
      </c>
      <c r="D197" s="177">
        <v>1.7001196099333908</v>
      </c>
      <c r="E197" s="177">
        <v>1.7001196099333908</v>
      </c>
      <c r="F197" s="177">
        <v>1.7001196099333908</v>
      </c>
      <c r="G197" s="177">
        <v>1.7001196099333908</v>
      </c>
      <c r="H197" s="177">
        <v>1.7001196099333908</v>
      </c>
      <c r="I197" s="177">
        <v>1.7001196099333908</v>
      </c>
      <c r="J197" s="177">
        <v>1.7001196099333908</v>
      </c>
      <c r="K197" s="177">
        <v>1.7001196099333908</v>
      </c>
      <c r="L197" s="177">
        <v>1.7001196099333908</v>
      </c>
      <c r="M197" s="177">
        <v>1.7001196099333908</v>
      </c>
      <c r="N197" s="177">
        <v>1.7001196099333908</v>
      </c>
      <c r="O197" s="177">
        <v>1.7001196099333908</v>
      </c>
      <c r="P197" s="177">
        <v>1.7001196099333908</v>
      </c>
      <c r="Q197" s="177">
        <v>1.7001196099333908</v>
      </c>
      <c r="R197" s="177">
        <v>1.7001196099333908</v>
      </c>
      <c r="S197" s="177">
        <v>1.7001196099333908</v>
      </c>
      <c r="T197" s="177">
        <v>1.7001196099333908</v>
      </c>
      <c r="U197" s="177">
        <v>1.7001196099333908</v>
      </c>
      <c r="V197" s="177">
        <v>1.7001196099333908</v>
      </c>
      <c r="W197" s="177">
        <v>1.7001196099333908</v>
      </c>
      <c r="X197" s="177">
        <v>1.7001196099333908</v>
      </c>
      <c r="Y197" s="177">
        <v>1.7001196099333908</v>
      </c>
      <c r="Z197" s="177">
        <v>1.7001196099333908</v>
      </c>
      <c r="AA197" s="177">
        <v>1.7001196099333908</v>
      </c>
      <c r="AB197" s="177">
        <v>1.7001196099333908</v>
      </c>
      <c r="AC197" s="177">
        <v>1.7001196099333908</v>
      </c>
      <c r="AD197" s="177">
        <v>1.7001196099333908</v>
      </c>
    </row>
    <row r="198" spans="2:30">
      <c r="B198" t="s">
        <v>318</v>
      </c>
      <c r="C198" t="s">
        <v>578</v>
      </c>
      <c r="D198" s="177">
        <v>1.7309333107858809</v>
      </c>
      <c r="E198" s="177">
        <v>1.7309333107858809</v>
      </c>
      <c r="F198" s="177">
        <v>1.7309333107858809</v>
      </c>
      <c r="G198" s="177">
        <v>1.7309333107858809</v>
      </c>
      <c r="H198" s="177">
        <v>1.7309333107858809</v>
      </c>
      <c r="I198" s="177">
        <v>1.7309333107858809</v>
      </c>
      <c r="J198" s="177">
        <v>1.7309333107858809</v>
      </c>
      <c r="K198" s="177">
        <v>1.7309333107858809</v>
      </c>
      <c r="L198" s="177">
        <v>1.7309333107858809</v>
      </c>
      <c r="M198" s="177">
        <v>1.7309333107858809</v>
      </c>
      <c r="N198" s="177">
        <v>1.7309333107858809</v>
      </c>
      <c r="O198" s="177">
        <v>1.7309333107858809</v>
      </c>
      <c r="P198" s="177">
        <v>1.7309333107858809</v>
      </c>
      <c r="Q198" s="177">
        <v>1.7309333107858809</v>
      </c>
      <c r="R198" s="177">
        <v>1.7309333107858809</v>
      </c>
      <c r="S198" s="177">
        <v>1.7309333107858809</v>
      </c>
      <c r="T198" s="177">
        <v>1.7309333107858809</v>
      </c>
      <c r="U198" s="177">
        <v>1.7309333107858809</v>
      </c>
      <c r="V198" s="177">
        <v>1.7309333107858809</v>
      </c>
      <c r="W198" s="177">
        <v>1.7309333107858809</v>
      </c>
      <c r="X198" s="177">
        <v>1.7309333107858809</v>
      </c>
      <c r="Y198" s="177">
        <v>1.7309333107858809</v>
      </c>
      <c r="Z198" s="177">
        <v>1.7309333107858809</v>
      </c>
      <c r="AA198" s="177">
        <v>1.7309333107858809</v>
      </c>
      <c r="AB198" s="177">
        <v>1.7309333107858809</v>
      </c>
      <c r="AC198" s="177">
        <v>1.7309333107858809</v>
      </c>
      <c r="AD198" s="177">
        <v>1.7309333107858809</v>
      </c>
    </row>
    <row r="199" spans="2:30">
      <c r="B199" t="s">
        <v>319</v>
      </c>
      <c r="C199" t="s">
        <v>578</v>
      </c>
      <c r="D199" s="177">
        <v>1.9263070883172582</v>
      </c>
      <c r="E199" s="177">
        <v>1.9263070883172582</v>
      </c>
      <c r="F199" s="177">
        <v>1.9263070883172582</v>
      </c>
      <c r="G199" s="177">
        <v>1.9263070883172582</v>
      </c>
      <c r="H199" s="177">
        <v>1.9263070883172582</v>
      </c>
      <c r="I199" s="177">
        <v>1.9263070883172582</v>
      </c>
      <c r="J199" s="177">
        <v>1.9263070883172582</v>
      </c>
      <c r="K199" s="177">
        <v>1.9263070883172582</v>
      </c>
      <c r="L199" s="177">
        <v>1.9263070883172582</v>
      </c>
      <c r="M199" s="177">
        <v>1.9263070883172582</v>
      </c>
      <c r="N199" s="177">
        <v>1.9263070883172582</v>
      </c>
      <c r="O199" s="177">
        <v>1.9263070883172582</v>
      </c>
      <c r="P199" s="177">
        <v>1.9263070883172582</v>
      </c>
      <c r="Q199" s="177">
        <v>1.9263070883172582</v>
      </c>
      <c r="R199" s="177">
        <v>1.9263070883172582</v>
      </c>
      <c r="S199" s="177">
        <v>1.9263070883172582</v>
      </c>
      <c r="T199" s="177">
        <v>1.9263070883172582</v>
      </c>
      <c r="U199" s="177">
        <v>1.9263070883172582</v>
      </c>
      <c r="V199" s="177">
        <v>1.9263070883172582</v>
      </c>
      <c r="W199" s="177">
        <v>1.9263070883172582</v>
      </c>
      <c r="X199" s="177">
        <v>1.9263070883172582</v>
      </c>
      <c r="Y199" s="177">
        <v>1.9263070883172582</v>
      </c>
      <c r="Z199" s="177">
        <v>1.9263070883172582</v>
      </c>
      <c r="AA199" s="177">
        <v>1.9263070883172582</v>
      </c>
      <c r="AB199" s="177">
        <v>1.9263070883172582</v>
      </c>
      <c r="AC199" s="177">
        <v>1.9263070883172582</v>
      </c>
      <c r="AD199" s="177">
        <v>1.9263070883172582</v>
      </c>
    </row>
    <row r="200" spans="2:30">
      <c r="B200" t="s">
        <v>320</v>
      </c>
      <c r="C200" t="s">
        <v>578</v>
      </c>
      <c r="D200" s="177">
        <v>1.9413405466554232</v>
      </c>
      <c r="E200" s="177">
        <v>1.9413405466554232</v>
      </c>
      <c r="F200" s="177">
        <v>1.9413405466554232</v>
      </c>
      <c r="G200" s="177">
        <v>1.9413405466554232</v>
      </c>
      <c r="H200" s="177">
        <v>1.9413405466554232</v>
      </c>
      <c r="I200" s="177">
        <v>1.9413405466554232</v>
      </c>
      <c r="J200" s="177">
        <v>1.9413405466554232</v>
      </c>
      <c r="K200" s="177">
        <v>1.9413405466554232</v>
      </c>
      <c r="L200" s="177">
        <v>1.9413405466554232</v>
      </c>
      <c r="M200" s="177">
        <v>1.9413405466554232</v>
      </c>
      <c r="N200" s="177">
        <v>1.9413405466554232</v>
      </c>
      <c r="O200" s="177">
        <v>1.9413405466554232</v>
      </c>
      <c r="P200" s="177">
        <v>1.9413405466554232</v>
      </c>
      <c r="Q200" s="177">
        <v>1.9413405466554232</v>
      </c>
      <c r="R200" s="177">
        <v>1.9413405466554232</v>
      </c>
      <c r="S200" s="177">
        <v>1.9413405466554232</v>
      </c>
      <c r="T200" s="177">
        <v>1.9413405466554232</v>
      </c>
      <c r="U200" s="177">
        <v>1.9413405466554232</v>
      </c>
      <c r="V200" s="177">
        <v>1.9413405466554232</v>
      </c>
      <c r="W200" s="177">
        <v>1.9413405466554232</v>
      </c>
      <c r="X200" s="177">
        <v>1.9413405466554232</v>
      </c>
      <c r="Y200" s="177">
        <v>1.9413405466554232</v>
      </c>
      <c r="Z200" s="177">
        <v>1.9413405466554232</v>
      </c>
      <c r="AA200" s="177">
        <v>1.9413405466554232</v>
      </c>
      <c r="AB200" s="177">
        <v>1.9413405466554232</v>
      </c>
      <c r="AC200" s="177">
        <v>1.9413405466554232</v>
      </c>
      <c r="AD200" s="177">
        <v>1.9413405466554232</v>
      </c>
    </row>
    <row r="201" spans="2:30">
      <c r="B201" t="s">
        <v>321</v>
      </c>
      <c r="C201" t="s">
        <v>578</v>
      </c>
      <c r="D201" s="177">
        <v>2.161431948665991</v>
      </c>
      <c r="E201" s="177">
        <v>2.161431948665991</v>
      </c>
      <c r="F201" s="177">
        <v>2.161431948665991</v>
      </c>
      <c r="G201" s="177">
        <v>2.161431948665991</v>
      </c>
      <c r="H201" s="177">
        <v>2.161431948665991</v>
      </c>
      <c r="I201" s="177">
        <v>2.161431948665991</v>
      </c>
      <c r="J201" s="177">
        <v>2.161431948665991</v>
      </c>
      <c r="K201" s="177">
        <v>2.161431948665991</v>
      </c>
      <c r="L201" s="177">
        <v>2.161431948665991</v>
      </c>
      <c r="M201" s="177">
        <v>2.161431948665991</v>
      </c>
      <c r="N201" s="177">
        <v>2.161431948665991</v>
      </c>
      <c r="O201" s="177">
        <v>2.161431948665991</v>
      </c>
      <c r="P201" s="177">
        <v>2.161431948665991</v>
      </c>
      <c r="Q201" s="177">
        <v>2.161431948665991</v>
      </c>
      <c r="R201" s="177">
        <v>2.161431948665991</v>
      </c>
      <c r="S201" s="177">
        <v>2.161431948665991</v>
      </c>
      <c r="T201" s="177">
        <v>2.161431948665991</v>
      </c>
      <c r="U201" s="177">
        <v>2.161431948665991</v>
      </c>
      <c r="V201" s="177">
        <v>2.161431948665991</v>
      </c>
      <c r="W201" s="177">
        <v>2.161431948665991</v>
      </c>
      <c r="X201" s="177">
        <v>2.161431948665991</v>
      </c>
      <c r="Y201" s="177">
        <v>2.161431948665991</v>
      </c>
      <c r="Z201" s="177">
        <v>2.161431948665991</v>
      </c>
      <c r="AA201" s="177">
        <v>2.161431948665991</v>
      </c>
      <c r="AB201" s="177">
        <v>2.161431948665991</v>
      </c>
      <c r="AC201" s="177">
        <v>2.161431948665991</v>
      </c>
      <c r="AD201" s="177">
        <v>2.161431948665991</v>
      </c>
    </row>
    <row r="202" spans="2:30">
      <c r="B202" t="s">
        <v>322</v>
      </c>
      <c r="C202" t="s">
        <v>578</v>
      </c>
      <c r="D202" s="177">
        <v>2.1989941802073991</v>
      </c>
      <c r="E202" s="177">
        <v>2.1989941802073991</v>
      </c>
      <c r="F202" s="177">
        <v>2.1989941802073991</v>
      </c>
      <c r="G202" s="177">
        <v>2.1989941802073991</v>
      </c>
      <c r="H202" s="177">
        <v>2.1989941802073991</v>
      </c>
      <c r="I202" s="177">
        <v>2.1989941802073991</v>
      </c>
      <c r="J202" s="177">
        <v>2.1989941802073991</v>
      </c>
      <c r="K202" s="177">
        <v>2.1989941802073991</v>
      </c>
      <c r="L202" s="177">
        <v>2.1989941802073991</v>
      </c>
      <c r="M202" s="177">
        <v>2.1989941802073991</v>
      </c>
      <c r="N202" s="177">
        <v>2.1989941802073991</v>
      </c>
      <c r="O202" s="177">
        <v>2.1989941802073991</v>
      </c>
      <c r="P202" s="177">
        <v>2.1989941802073991</v>
      </c>
      <c r="Q202" s="177">
        <v>2.1989941802073991</v>
      </c>
      <c r="R202" s="177">
        <v>2.1989941802073991</v>
      </c>
      <c r="S202" s="177">
        <v>2.1989941802073991</v>
      </c>
      <c r="T202" s="177">
        <v>2.1989941802073991</v>
      </c>
      <c r="U202" s="177">
        <v>2.1989941802073991</v>
      </c>
      <c r="V202" s="177">
        <v>2.1989941802073991</v>
      </c>
      <c r="W202" s="177">
        <v>2.1989941802073991</v>
      </c>
      <c r="X202" s="177">
        <v>2.1989941802073991</v>
      </c>
      <c r="Y202" s="177">
        <v>2.1989941802073991</v>
      </c>
      <c r="Z202" s="177">
        <v>2.1989941802073991</v>
      </c>
      <c r="AA202" s="177">
        <v>2.1989941802073991</v>
      </c>
      <c r="AB202" s="177">
        <v>2.1989941802073991</v>
      </c>
      <c r="AC202" s="177">
        <v>2.1989941802073991</v>
      </c>
      <c r="AD202" s="177">
        <v>2.1989941802073991</v>
      </c>
    </row>
    <row r="203" spans="2:30">
      <c r="B203" s="79" t="s">
        <v>323</v>
      </c>
      <c r="C203" s="79" t="s">
        <v>578</v>
      </c>
      <c r="D203" s="178">
        <v>2.290790924916851</v>
      </c>
      <c r="E203" s="178">
        <v>2.290790924916851</v>
      </c>
      <c r="F203" s="178">
        <v>2.290790924916851</v>
      </c>
      <c r="G203" s="178">
        <v>2.290790924916851</v>
      </c>
      <c r="H203" s="178">
        <v>2.290790924916851</v>
      </c>
      <c r="I203" s="178">
        <v>2.290790924916851</v>
      </c>
      <c r="J203" s="178">
        <v>2.290790924916851</v>
      </c>
      <c r="K203" s="178">
        <v>2.290790924916851</v>
      </c>
      <c r="L203" s="178">
        <v>2.290790924916851</v>
      </c>
      <c r="M203" s="178">
        <v>2.290790924916851</v>
      </c>
      <c r="N203" s="178">
        <v>2.290790924916851</v>
      </c>
      <c r="O203" s="178">
        <v>2.290790924916851</v>
      </c>
      <c r="P203" s="178">
        <v>2.290790924916851</v>
      </c>
      <c r="Q203" s="178">
        <v>2.290790924916851</v>
      </c>
      <c r="R203" s="178">
        <v>2.290790924916851</v>
      </c>
      <c r="S203" s="178">
        <v>2.290790924916851</v>
      </c>
      <c r="T203" s="178">
        <v>2.290790924916851</v>
      </c>
      <c r="U203" s="178">
        <v>2.290790924916851</v>
      </c>
      <c r="V203" s="178">
        <v>2.290790924916851</v>
      </c>
      <c r="W203" s="178">
        <v>2.290790924916851</v>
      </c>
      <c r="X203" s="178">
        <v>2.290790924916851</v>
      </c>
      <c r="Y203" s="178">
        <v>2.290790924916851</v>
      </c>
      <c r="Z203" s="178">
        <v>2.290790924916851</v>
      </c>
      <c r="AA203" s="178">
        <v>2.290790924916851</v>
      </c>
      <c r="AB203" s="178">
        <v>2.290790924916851</v>
      </c>
      <c r="AC203" s="178">
        <v>2.290790924916851</v>
      </c>
      <c r="AD203" s="178">
        <v>2.290790924916851</v>
      </c>
    </row>
    <row r="204" spans="2:30">
      <c r="B204" t="s">
        <v>582</v>
      </c>
    </row>
    <row r="208" spans="2:30" ht="15.5">
      <c r="B208" s="101" t="s">
        <v>588</v>
      </c>
    </row>
    <row r="209" spans="2:30">
      <c r="B209" s="81" t="s">
        <v>573</v>
      </c>
      <c r="C209" s="81" t="s">
        <v>63</v>
      </c>
      <c r="D209" s="81" t="str">
        <f>D196</f>
        <v>IE</v>
      </c>
      <c r="E209" s="81" t="str">
        <f t="shared" ref="E209:AD209" si="100">E196</f>
        <v>IE-CW</v>
      </c>
      <c r="F209" s="81" t="str">
        <f t="shared" si="100"/>
        <v>IE-D</v>
      </c>
      <c r="G209" s="81" t="str">
        <f t="shared" si="100"/>
        <v>IE-KE</v>
      </c>
      <c r="H209" s="81" t="str">
        <f t="shared" si="100"/>
        <v>IE-KK</v>
      </c>
      <c r="I209" s="81" t="str">
        <f t="shared" si="100"/>
        <v>IE-LS</v>
      </c>
      <c r="J209" s="81" t="str">
        <f t="shared" si="100"/>
        <v>IE-LD</v>
      </c>
      <c r="K209" s="81" t="str">
        <f t="shared" si="100"/>
        <v>IE-LH</v>
      </c>
      <c r="L209" s="81" t="str">
        <f t="shared" si="100"/>
        <v>IE-MH</v>
      </c>
      <c r="M209" s="81" t="str">
        <f t="shared" si="100"/>
        <v>IE-OY</v>
      </c>
      <c r="N209" s="81" t="str">
        <f t="shared" si="100"/>
        <v>IE-WH</v>
      </c>
      <c r="O209" s="81" t="str">
        <f t="shared" si="100"/>
        <v>IE-WX</v>
      </c>
      <c r="P209" s="81" t="str">
        <f t="shared" si="100"/>
        <v>IE-WW</v>
      </c>
      <c r="Q209" s="81" t="str">
        <f t="shared" si="100"/>
        <v>IE-CE</v>
      </c>
      <c r="R209" s="81" t="str">
        <f t="shared" si="100"/>
        <v>IE-CO</v>
      </c>
      <c r="S209" s="81" t="str">
        <f t="shared" si="100"/>
        <v>IE-KY</v>
      </c>
      <c r="T209" s="81" t="str">
        <f t="shared" si="100"/>
        <v>IE-LK</v>
      </c>
      <c r="U209" s="81" t="str">
        <f t="shared" si="100"/>
        <v>IE-TA</v>
      </c>
      <c r="V209" s="81" t="str">
        <f t="shared" si="100"/>
        <v>IE-WD</v>
      </c>
      <c r="W209" s="81" t="str">
        <f t="shared" si="100"/>
        <v>IE-G</v>
      </c>
      <c r="X209" s="81" t="str">
        <f t="shared" si="100"/>
        <v>IE-LM</v>
      </c>
      <c r="Y209" s="81" t="str">
        <f t="shared" si="100"/>
        <v>IE-MO</v>
      </c>
      <c r="Z209" s="81" t="str">
        <f t="shared" si="100"/>
        <v>IE-RN</v>
      </c>
      <c r="AA209" s="81" t="str">
        <f t="shared" si="100"/>
        <v>IE-SO</v>
      </c>
      <c r="AB209" s="81" t="str">
        <f t="shared" si="100"/>
        <v>IE-CN</v>
      </c>
      <c r="AC209" s="81" t="str">
        <f t="shared" si="100"/>
        <v>IE-DL</v>
      </c>
      <c r="AD209" s="81" t="str">
        <f t="shared" si="100"/>
        <v>IE-MN</v>
      </c>
    </row>
    <row r="210" spans="2:30">
      <c r="B210" t="s">
        <v>594</v>
      </c>
      <c r="C210" t="s">
        <v>578</v>
      </c>
      <c r="D210" s="177">
        <f>SUMPRODUCT(D184:D190,D197:D203)</f>
        <v>1.9907750239914981</v>
      </c>
      <c r="E210" s="177">
        <f>IF(E177&gt;1,SUMPRODUCT(E184:E190,E197:E203),$D$210)</f>
        <v>1.9907750239914981</v>
      </c>
      <c r="F210" s="177">
        <f t="shared" ref="F210:AD210" si="101">IF(F177&gt;1,SUMPRODUCT(F184:F190,F197:F203),$D$210)</f>
        <v>1.9322339095618617</v>
      </c>
      <c r="G210" s="177">
        <f t="shared" si="101"/>
        <v>1.9907750239914981</v>
      </c>
      <c r="H210" s="177">
        <f t="shared" si="101"/>
        <v>1.9907750239914981</v>
      </c>
      <c r="I210" s="177">
        <f t="shared" si="101"/>
        <v>1.9907750239914981</v>
      </c>
      <c r="J210" s="177">
        <f t="shared" si="101"/>
        <v>2.1989941802073991</v>
      </c>
      <c r="K210" s="177">
        <f t="shared" si="101"/>
        <v>1.9907750239914981</v>
      </c>
      <c r="L210" s="177">
        <f t="shared" si="101"/>
        <v>2.1802130644366953</v>
      </c>
      <c r="M210" s="177">
        <f t="shared" si="101"/>
        <v>2.1005888918429378</v>
      </c>
      <c r="N210" s="177">
        <f t="shared" si="101"/>
        <v>1.9907750239914981</v>
      </c>
      <c r="O210" s="177">
        <f t="shared" si="101"/>
        <v>2.2476712661665643</v>
      </c>
      <c r="P210" s="177">
        <f t="shared" si="101"/>
        <v>1.8903695153417397</v>
      </c>
      <c r="Q210" s="177">
        <f t="shared" si="101"/>
        <v>1.9907750239914981</v>
      </c>
      <c r="R210" s="177">
        <f t="shared" si="101"/>
        <v>2.041395308408581</v>
      </c>
      <c r="S210" s="177">
        <f t="shared" si="101"/>
        <v>1.9468181122654045</v>
      </c>
      <c r="T210" s="177">
        <f t="shared" si="101"/>
        <v>1.9338238174863407</v>
      </c>
      <c r="U210" s="177">
        <f t="shared" si="101"/>
        <v>1.9907750239914981</v>
      </c>
      <c r="V210" s="177">
        <f t="shared" si="101"/>
        <v>1.9907750239914981</v>
      </c>
      <c r="W210" s="177">
        <f t="shared" si="101"/>
        <v>1.9983046136198885</v>
      </c>
      <c r="X210" s="177">
        <f t="shared" si="101"/>
        <v>1.9907750239914981</v>
      </c>
      <c r="Y210" s="177">
        <f t="shared" si="101"/>
        <v>1.9907750239914981</v>
      </c>
      <c r="Z210" s="177">
        <f t="shared" si="101"/>
        <v>1.9907750239914981</v>
      </c>
      <c r="AA210" s="177">
        <f t="shared" si="101"/>
        <v>1.9907750239914981</v>
      </c>
      <c r="AB210" s="177">
        <f t="shared" si="101"/>
        <v>1.9907750239914981</v>
      </c>
      <c r="AC210" s="177">
        <f t="shared" si="101"/>
        <v>1.949556895070395</v>
      </c>
      <c r="AD210" s="177">
        <f t="shared" si="101"/>
        <v>1.9907750239914981</v>
      </c>
    </row>
    <row r="211" spans="2:30">
      <c r="B211" s="79"/>
      <c r="C211" s="79" t="s">
        <v>566</v>
      </c>
      <c r="D211" s="180">
        <f>1000/D210</f>
        <v>502.31693081772892</v>
      </c>
      <c r="E211" s="180">
        <f>1000/E210</f>
        <v>502.31693081772892</v>
      </c>
      <c r="F211" s="180">
        <f>1000/F210</f>
        <v>517.53568501794496</v>
      </c>
      <c r="G211" s="180">
        <f>1000/G210</f>
        <v>502.31693081772892</v>
      </c>
      <c r="H211" s="180">
        <f t="shared" ref="H211" si="102">1000/H210</f>
        <v>502.31693081772892</v>
      </c>
      <c r="I211" s="180">
        <f t="shared" ref="I211" si="103">1000/I210</f>
        <v>502.31693081772892</v>
      </c>
      <c r="J211" s="180">
        <f t="shared" ref="J211" si="104">1000/J210</f>
        <v>454.7533636063032</v>
      </c>
      <c r="K211" s="180">
        <f t="shared" ref="K211" si="105">1000/K210</f>
        <v>502.31693081772892</v>
      </c>
      <c r="L211" s="180">
        <f t="shared" ref="L211" si="106">1000/L210</f>
        <v>458.67076769323523</v>
      </c>
      <c r="M211" s="180">
        <f t="shared" ref="M211" si="107">1000/M210</f>
        <v>476.05697806135527</v>
      </c>
      <c r="N211" s="180">
        <f t="shared" ref="N211" si="108">1000/N210</f>
        <v>502.31693081772892</v>
      </c>
      <c r="O211" s="180">
        <f t="shared" ref="O211" si="109">1000/O210</f>
        <v>444.9049178377025</v>
      </c>
      <c r="P211" s="180">
        <f t="shared" ref="P211" si="110">1000/P210</f>
        <v>528.99710447310122</v>
      </c>
      <c r="Q211" s="180">
        <f t="shared" ref="Q211" si="111">1000/Q210</f>
        <v>502.31693081772892</v>
      </c>
      <c r="R211" s="180">
        <f t="shared" ref="R211" si="112">1000/R210</f>
        <v>489.86102587821375</v>
      </c>
      <c r="S211" s="180">
        <f t="shared" ref="S211" si="113">1000/S210</f>
        <v>513.65866882980424</v>
      </c>
      <c r="T211" s="180">
        <f t="shared" ref="T211" si="114">1000/T210</f>
        <v>517.11018912769362</v>
      </c>
      <c r="U211" s="180">
        <f t="shared" ref="U211" si="115">1000/U210</f>
        <v>502.31693081772892</v>
      </c>
      <c r="V211" s="180">
        <f t="shared" ref="V211" si="116">1000/V210</f>
        <v>502.31693081772892</v>
      </c>
      <c r="W211" s="180">
        <f t="shared" ref="W211" si="117">1000/W210</f>
        <v>500.42420619172776</v>
      </c>
      <c r="X211" s="180">
        <f t="shared" ref="X211" si="118">1000/X210</f>
        <v>502.31693081772892</v>
      </c>
      <c r="Y211" s="180">
        <f t="shared" ref="Y211" si="119">1000/Y210</f>
        <v>502.31693081772892</v>
      </c>
      <c r="Z211" s="180">
        <f t="shared" ref="Z211" si="120">1000/Z210</f>
        <v>502.31693081772892</v>
      </c>
      <c r="AA211" s="180">
        <f t="shared" ref="AA211" si="121">1000/AA210</f>
        <v>502.31693081772892</v>
      </c>
      <c r="AB211" s="180">
        <f t="shared" ref="AB211" si="122">1000/AB210</f>
        <v>502.31693081772892</v>
      </c>
      <c r="AC211" s="180">
        <f t="shared" ref="AC211" si="123">1000/AC210</f>
        <v>512.93706920202078</v>
      </c>
      <c r="AD211" s="180">
        <f t="shared" ref="AD211" si="124">1000/AD210</f>
        <v>502.31693081772892</v>
      </c>
    </row>
    <row r="212" spans="2:30">
      <c r="B212" t="s">
        <v>583</v>
      </c>
    </row>
    <row r="216" spans="2:30">
      <c r="B216" s="182"/>
      <c r="C216" s="182"/>
      <c r="D216" s="182"/>
      <c r="E216" s="182"/>
      <c r="F216" s="182"/>
      <c r="G216" s="182"/>
      <c r="H216" s="182"/>
      <c r="I216" s="182"/>
      <c r="J216" s="182"/>
      <c r="K216" s="182"/>
      <c r="L216" s="182"/>
      <c r="M216" s="182"/>
      <c r="N216" s="182"/>
      <c r="O216" s="182"/>
      <c r="P216" s="182"/>
      <c r="Q216" s="182"/>
      <c r="R216" s="182"/>
      <c r="S216" s="182"/>
      <c r="T216" s="182"/>
      <c r="U216" s="182"/>
      <c r="V216" s="182"/>
      <c r="W216" s="182"/>
      <c r="X216" s="182"/>
      <c r="Y216" s="182"/>
      <c r="Z216" s="182"/>
      <c r="AA216" s="182"/>
      <c r="AB216" s="182"/>
      <c r="AC216" s="182"/>
      <c r="AD216" s="182"/>
    </row>
    <row r="217" spans="2:30" ht="15.5">
      <c r="B217" s="101" t="s">
        <v>587</v>
      </c>
    </row>
    <row r="218" spans="2:30">
      <c r="B218" s="81" t="s">
        <v>573</v>
      </c>
      <c r="C218" s="81" t="s">
        <v>63</v>
      </c>
      <c r="D218" s="81" t="str">
        <f>D209</f>
        <v>IE</v>
      </c>
      <c r="E218" s="81" t="str">
        <f t="shared" ref="E218:AD218" si="125">E209</f>
        <v>IE-CW</v>
      </c>
      <c r="F218" s="81" t="str">
        <f t="shared" si="125"/>
        <v>IE-D</v>
      </c>
      <c r="G218" s="81" t="str">
        <f t="shared" si="125"/>
        <v>IE-KE</v>
      </c>
      <c r="H218" s="81" t="str">
        <f t="shared" si="125"/>
        <v>IE-KK</v>
      </c>
      <c r="I218" s="81" t="str">
        <f t="shared" si="125"/>
        <v>IE-LS</v>
      </c>
      <c r="J218" s="81" t="str">
        <f t="shared" si="125"/>
        <v>IE-LD</v>
      </c>
      <c r="K218" s="81" t="str">
        <f t="shared" si="125"/>
        <v>IE-LH</v>
      </c>
      <c r="L218" s="81" t="str">
        <f t="shared" si="125"/>
        <v>IE-MH</v>
      </c>
      <c r="M218" s="81" t="str">
        <f t="shared" si="125"/>
        <v>IE-OY</v>
      </c>
      <c r="N218" s="81" t="str">
        <f t="shared" si="125"/>
        <v>IE-WH</v>
      </c>
      <c r="O218" s="81" t="str">
        <f t="shared" si="125"/>
        <v>IE-WX</v>
      </c>
      <c r="P218" s="81" t="str">
        <f t="shared" si="125"/>
        <v>IE-WW</v>
      </c>
      <c r="Q218" s="81" t="str">
        <f t="shared" si="125"/>
        <v>IE-CE</v>
      </c>
      <c r="R218" s="81" t="str">
        <f t="shared" si="125"/>
        <v>IE-CO</v>
      </c>
      <c r="S218" s="81" t="str">
        <f t="shared" si="125"/>
        <v>IE-KY</v>
      </c>
      <c r="T218" s="81" t="str">
        <f t="shared" si="125"/>
        <v>IE-LK</v>
      </c>
      <c r="U218" s="81" t="str">
        <f t="shared" si="125"/>
        <v>IE-TA</v>
      </c>
      <c r="V218" s="81" t="str">
        <f t="shared" si="125"/>
        <v>IE-WD</v>
      </c>
      <c r="W218" s="81" t="str">
        <f t="shared" si="125"/>
        <v>IE-G</v>
      </c>
      <c r="X218" s="81" t="str">
        <f t="shared" si="125"/>
        <v>IE-LM</v>
      </c>
      <c r="Y218" s="81" t="str">
        <f t="shared" si="125"/>
        <v>IE-MO</v>
      </c>
      <c r="Z218" s="81" t="str">
        <f t="shared" si="125"/>
        <v>IE-RN</v>
      </c>
      <c r="AA218" s="81" t="str">
        <f t="shared" si="125"/>
        <v>IE-SO</v>
      </c>
      <c r="AB218" s="81" t="str">
        <f t="shared" si="125"/>
        <v>IE-CN</v>
      </c>
      <c r="AC218" s="81" t="str">
        <f t="shared" si="125"/>
        <v>IE-DL</v>
      </c>
      <c r="AD218" s="81" t="str">
        <f t="shared" si="125"/>
        <v>IE-MN</v>
      </c>
    </row>
    <row r="219" spans="2:30">
      <c r="B219" t="s">
        <v>317</v>
      </c>
      <c r="C219" t="s">
        <v>501</v>
      </c>
      <c r="D219" s="9">
        <f>SUM(E219:AD219)</f>
        <v>0</v>
      </c>
      <c r="E219" s="9">
        <v>0</v>
      </c>
      <c r="F219" s="9">
        <v>0</v>
      </c>
      <c r="G219" s="9">
        <v>0</v>
      </c>
      <c r="H219" s="9">
        <v>0</v>
      </c>
      <c r="I219" s="9">
        <v>0</v>
      </c>
      <c r="J219" s="9">
        <v>0</v>
      </c>
      <c r="K219" s="9">
        <v>0</v>
      </c>
      <c r="L219" s="9">
        <v>0</v>
      </c>
      <c r="M219" s="9">
        <v>0</v>
      </c>
      <c r="N219" s="9">
        <v>0</v>
      </c>
      <c r="O219" s="9">
        <v>0</v>
      </c>
      <c r="P219" s="9">
        <v>0</v>
      </c>
      <c r="Q219" s="9">
        <v>0</v>
      </c>
      <c r="R219" s="9">
        <v>0</v>
      </c>
      <c r="S219" s="9">
        <v>0</v>
      </c>
      <c r="T219" s="9">
        <v>0</v>
      </c>
      <c r="U219" s="9">
        <v>0</v>
      </c>
      <c r="V219" s="9">
        <v>0</v>
      </c>
      <c r="W219" s="9">
        <v>0</v>
      </c>
      <c r="X219" s="9">
        <v>0</v>
      </c>
      <c r="Y219" s="9">
        <v>0</v>
      </c>
      <c r="Z219" s="9">
        <v>0</v>
      </c>
      <c r="AA219" s="9">
        <v>0</v>
      </c>
      <c r="AB219" s="9">
        <v>0</v>
      </c>
      <c r="AC219" s="9">
        <v>0</v>
      </c>
      <c r="AD219" s="9">
        <v>0</v>
      </c>
    </row>
    <row r="220" spans="2:30">
      <c r="B220" t="s">
        <v>318</v>
      </c>
      <c r="C220" t="s">
        <v>501</v>
      </c>
      <c r="D220" s="9">
        <f t="shared" ref="D220:D225" si="126">SUM(E220:AD220)</f>
        <v>5667</v>
      </c>
      <c r="E220" s="9">
        <v>72</v>
      </c>
      <c r="F220" s="9">
        <v>157</v>
      </c>
      <c r="G220" s="9">
        <v>210</v>
      </c>
      <c r="H220" s="9">
        <v>418</v>
      </c>
      <c r="I220" s="9">
        <v>87</v>
      </c>
      <c r="J220" s="9">
        <v>215</v>
      </c>
      <c r="K220" s="9">
        <v>32</v>
      </c>
      <c r="L220" s="9">
        <v>43</v>
      </c>
      <c r="M220" s="9">
        <v>43</v>
      </c>
      <c r="N220" s="9">
        <v>182</v>
      </c>
      <c r="O220" s="9">
        <v>147</v>
      </c>
      <c r="P220" s="9">
        <v>252</v>
      </c>
      <c r="Q220" s="9">
        <v>144</v>
      </c>
      <c r="R220" s="9">
        <v>806</v>
      </c>
      <c r="S220" s="9">
        <v>214</v>
      </c>
      <c r="T220" s="9">
        <v>25</v>
      </c>
      <c r="U220" s="9">
        <v>61</v>
      </c>
      <c r="V220" s="9">
        <v>160</v>
      </c>
      <c r="W220" s="9">
        <v>1421</v>
      </c>
      <c r="X220" s="9">
        <v>79</v>
      </c>
      <c r="Y220" s="9">
        <v>194</v>
      </c>
      <c r="Z220" s="9">
        <v>64</v>
      </c>
      <c r="AA220" s="9">
        <v>59</v>
      </c>
      <c r="AB220" s="9">
        <v>75</v>
      </c>
      <c r="AC220" s="9">
        <v>145</v>
      </c>
      <c r="AD220" s="9">
        <v>362</v>
      </c>
    </row>
    <row r="221" spans="2:30">
      <c r="B221" t="s">
        <v>319</v>
      </c>
      <c r="C221" t="s">
        <v>501</v>
      </c>
      <c r="D221" s="9">
        <f t="shared" si="126"/>
        <v>0</v>
      </c>
      <c r="E221" s="9">
        <v>0</v>
      </c>
      <c r="F221" s="9">
        <v>0</v>
      </c>
      <c r="G221" s="9">
        <v>0</v>
      </c>
      <c r="H221" s="9">
        <v>0</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9">
        <v>0</v>
      </c>
      <c r="AB221" s="9">
        <v>0</v>
      </c>
      <c r="AC221" s="9">
        <v>0</v>
      </c>
      <c r="AD221" s="9">
        <v>0</v>
      </c>
    </row>
    <row r="222" spans="2:30">
      <c r="B222" t="s">
        <v>320</v>
      </c>
      <c r="C222" t="s">
        <v>501</v>
      </c>
      <c r="D222" s="9">
        <f t="shared" si="126"/>
        <v>33</v>
      </c>
      <c r="E222" s="9">
        <v>1</v>
      </c>
      <c r="F222" s="9"/>
      <c r="G222" s="9">
        <v>3</v>
      </c>
      <c r="H222" s="9">
        <v>2</v>
      </c>
      <c r="I222" s="9">
        <v>1</v>
      </c>
      <c r="J222" s="9">
        <v>1</v>
      </c>
      <c r="K222" s="9"/>
      <c r="L222" s="9">
        <v>1</v>
      </c>
      <c r="M222" s="9"/>
      <c r="N222" s="9"/>
      <c r="O222" s="9"/>
      <c r="P222" s="9"/>
      <c r="Q222" s="9">
        <v>1</v>
      </c>
      <c r="R222" s="9">
        <v>2</v>
      </c>
      <c r="S222" s="9">
        <v>1</v>
      </c>
      <c r="T222" s="9"/>
      <c r="U222" s="9"/>
      <c r="V222" s="9"/>
      <c r="W222" s="9">
        <v>14</v>
      </c>
      <c r="X222" s="9"/>
      <c r="Y222" s="9">
        <v>1</v>
      </c>
      <c r="Z222" s="9">
        <v>1</v>
      </c>
      <c r="AA222" s="9"/>
      <c r="AB222" s="9"/>
      <c r="AC222" s="9"/>
      <c r="AD222" s="9">
        <v>4</v>
      </c>
    </row>
    <row r="223" spans="2:30">
      <c r="B223" t="s">
        <v>321</v>
      </c>
      <c r="C223" t="s">
        <v>501</v>
      </c>
      <c r="D223" s="9">
        <f t="shared" si="126"/>
        <v>1726</v>
      </c>
      <c r="E223" s="9">
        <v>18</v>
      </c>
      <c r="F223" s="9">
        <v>63</v>
      </c>
      <c r="G223" s="9">
        <v>42</v>
      </c>
      <c r="H223" s="9">
        <v>104</v>
      </c>
      <c r="I223" s="9">
        <v>19</v>
      </c>
      <c r="J223" s="9">
        <v>61</v>
      </c>
      <c r="K223" s="9">
        <v>9</v>
      </c>
      <c r="L223" s="9">
        <v>17</v>
      </c>
      <c r="M223" s="9">
        <v>3</v>
      </c>
      <c r="N223" s="9">
        <v>43</v>
      </c>
      <c r="O223" s="9">
        <v>13</v>
      </c>
      <c r="P223" s="9">
        <v>36</v>
      </c>
      <c r="Q223" s="9">
        <v>42</v>
      </c>
      <c r="R223" s="9">
        <v>212</v>
      </c>
      <c r="S223" s="9">
        <v>96</v>
      </c>
      <c r="T223" s="9">
        <v>2</v>
      </c>
      <c r="U223" s="9">
        <v>9</v>
      </c>
      <c r="V223" s="9">
        <v>45</v>
      </c>
      <c r="W223" s="9">
        <v>720</v>
      </c>
      <c r="X223" s="9">
        <v>21</v>
      </c>
      <c r="Y223" s="9">
        <v>35</v>
      </c>
      <c r="Z223" s="9">
        <v>16</v>
      </c>
      <c r="AA223" s="9">
        <v>7</v>
      </c>
      <c r="AB223" s="9">
        <v>7</v>
      </c>
      <c r="AC223" s="9">
        <v>22</v>
      </c>
      <c r="AD223" s="9">
        <v>64</v>
      </c>
    </row>
    <row r="224" spans="2:30">
      <c r="B224" t="s">
        <v>322</v>
      </c>
      <c r="C224" t="s">
        <v>501</v>
      </c>
      <c r="D224" s="9">
        <f t="shared" si="126"/>
        <v>1103</v>
      </c>
      <c r="E224" s="9">
        <v>7</v>
      </c>
      <c r="F224" s="9">
        <v>45</v>
      </c>
      <c r="G224" s="9">
        <v>26</v>
      </c>
      <c r="H224" s="9">
        <v>50</v>
      </c>
      <c r="I224" s="9">
        <v>17</v>
      </c>
      <c r="J224" s="9">
        <v>39</v>
      </c>
      <c r="K224" s="9">
        <v>0</v>
      </c>
      <c r="L224" s="9">
        <v>22</v>
      </c>
      <c r="M224" s="9">
        <v>7</v>
      </c>
      <c r="N224" s="9">
        <v>35</v>
      </c>
      <c r="O224" s="9">
        <v>17</v>
      </c>
      <c r="P224" s="9">
        <v>27</v>
      </c>
      <c r="Q224" s="9">
        <v>18</v>
      </c>
      <c r="R224" s="9">
        <v>142</v>
      </c>
      <c r="S224" s="9">
        <v>39</v>
      </c>
      <c r="T224" s="9">
        <v>6</v>
      </c>
      <c r="U224" s="9">
        <v>5</v>
      </c>
      <c r="V224" s="9">
        <v>24</v>
      </c>
      <c r="W224" s="9">
        <v>471</v>
      </c>
      <c r="X224" s="9">
        <v>7</v>
      </c>
      <c r="Y224" s="9">
        <v>17</v>
      </c>
      <c r="Z224" s="9">
        <v>4</v>
      </c>
      <c r="AA224" s="9">
        <v>9</v>
      </c>
      <c r="AB224" s="9">
        <v>9</v>
      </c>
      <c r="AC224" s="9">
        <v>18</v>
      </c>
      <c r="AD224" s="9">
        <v>42</v>
      </c>
    </row>
    <row r="225" spans="2:30">
      <c r="B225" t="s">
        <v>323</v>
      </c>
      <c r="C225" t="s">
        <v>501</v>
      </c>
      <c r="D225" s="9">
        <f t="shared" si="126"/>
        <v>0</v>
      </c>
      <c r="E225" s="96">
        <v>0</v>
      </c>
      <c r="F225" s="96">
        <v>0</v>
      </c>
      <c r="G225" s="96">
        <v>0</v>
      </c>
      <c r="H225" s="96">
        <v>0</v>
      </c>
      <c r="I225" s="96">
        <v>0</v>
      </c>
      <c r="J225" s="96">
        <v>0</v>
      </c>
      <c r="K225" s="96">
        <v>0</v>
      </c>
      <c r="L225" s="96">
        <v>0</v>
      </c>
      <c r="M225" s="96">
        <v>0</v>
      </c>
      <c r="N225" s="96">
        <v>0</v>
      </c>
      <c r="O225" s="96">
        <v>0</v>
      </c>
      <c r="P225" s="96">
        <v>0</v>
      </c>
      <c r="Q225" s="96">
        <v>0</v>
      </c>
      <c r="R225" s="96">
        <v>0</v>
      </c>
      <c r="S225" s="96">
        <v>0</v>
      </c>
      <c r="T225" s="96">
        <v>0</v>
      </c>
      <c r="U225" s="96">
        <v>0</v>
      </c>
      <c r="V225" s="96">
        <v>0</v>
      </c>
      <c r="W225" s="96">
        <v>0</v>
      </c>
      <c r="X225" s="96">
        <v>0</v>
      </c>
      <c r="Y225" s="96">
        <v>0</v>
      </c>
      <c r="Z225" s="96">
        <v>0</v>
      </c>
      <c r="AA225" s="96">
        <v>0</v>
      </c>
      <c r="AB225" s="96">
        <v>0</v>
      </c>
      <c r="AC225" s="96">
        <v>0</v>
      </c>
      <c r="AD225" s="96">
        <v>0</v>
      </c>
    </row>
    <row r="226" spans="2:30">
      <c r="B226" s="79" t="s">
        <v>16</v>
      </c>
      <c r="C226" s="79" t="s">
        <v>501</v>
      </c>
      <c r="D226" s="176">
        <f>SUM(D219:D225)</f>
        <v>8529</v>
      </c>
      <c r="E226" s="176">
        <f t="shared" ref="E226:AD226" si="127">SUM(E219:E225)</f>
        <v>98</v>
      </c>
      <c r="F226" s="176">
        <f t="shared" si="127"/>
        <v>265</v>
      </c>
      <c r="G226" s="176">
        <f t="shared" si="127"/>
        <v>281</v>
      </c>
      <c r="H226" s="176">
        <f t="shared" si="127"/>
        <v>574</v>
      </c>
      <c r="I226" s="176">
        <f t="shared" si="127"/>
        <v>124</v>
      </c>
      <c r="J226" s="176">
        <f t="shared" si="127"/>
        <v>316</v>
      </c>
      <c r="K226" s="176">
        <f t="shared" si="127"/>
        <v>41</v>
      </c>
      <c r="L226" s="176">
        <f t="shared" si="127"/>
        <v>83</v>
      </c>
      <c r="M226" s="176">
        <f t="shared" si="127"/>
        <v>53</v>
      </c>
      <c r="N226" s="176">
        <f t="shared" si="127"/>
        <v>260</v>
      </c>
      <c r="O226" s="176">
        <f t="shared" si="127"/>
        <v>177</v>
      </c>
      <c r="P226" s="176">
        <f t="shared" si="127"/>
        <v>315</v>
      </c>
      <c r="Q226" s="176">
        <f t="shared" si="127"/>
        <v>205</v>
      </c>
      <c r="R226" s="176">
        <f t="shared" si="127"/>
        <v>1162</v>
      </c>
      <c r="S226" s="176">
        <f t="shared" si="127"/>
        <v>350</v>
      </c>
      <c r="T226" s="176">
        <f t="shared" si="127"/>
        <v>33</v>
      </c>
      <c r="U226" s="176">
        <f t="shared" si="127"/>
        <v>75</v>
      </c>
      <c r="V226" s="176">
        <f t="shared" si="127"/>
        <v>229</v>
      </c>
      <c r="W226" s="176">
        <f t="shared" si="127"/>
        <v>2626</v>
      </c>
      <c r="X226" s="176">
        <f t="shared" si="127"/>
        <v>107</v>
      </c>
      <c r="Y226" s="176">
        <f t="shared" si="127"/>
        <v>247</v>
      </c>
      <c r="Z226" s="176">
        <f t="shared" si="127"/>
        <v>85</v>
      </c>
      <c r="AA226" s="176">
        <f t="shared" si="127"/>
        <v>75</v>
      </c>
      <c r="AB226" s="176">
        <f t="shared" si="127"/>
        <v>91</v>
      </c>
      <c r="AC226" s="176">
        <f t="shared" si="127"/>
        <v>185</v>
      </c>
      <c r="AD226" s="176">
        <f t="shared" si="127"/>
        <v>472</v>
      </c>
    </row>
    <row r="227" spans="2:30">
      <c r="B227" t="s">
        <v>584</v>
      </c>
    </row>
    <row r="231" spans="2:30" ht="15.5">
      <c r="B231" s="101" t="s">
        <v>585</v>
      </c>
    </row>
    <row r="232" spans="2:30">
      <c r="B232" s="81" t="s">
        <v>573</v>
      </c>
      <c r="C232" s="81" t="s">
        <v>63</v>
      </c>
      <c r="D232" s="81" t="str">
        <f>D218</f>
        <v>IE</v>
      </c>
      <c r="E232" s="81" t="str">
        <f t="shared" ref="E232:AD232" si="128">E218</f>
        <v>IE-CW</v>
      </c>
      <c r="F232" s="81" t="str">
        <f t="shared" si="128"/>
        <v>IE-D</v>
      </c>
      <c r="G232" s="81" t="str">
        <f t="shared" si="128"/>
        <v>IE-KE</v>
      </c>
      <c r="H232" s="81" t="str">
        <f t="shared" si="128"/>
        <v>IE-KK</v>
      </c>
      <c r="I232" s="81" t="str">
        <f t="shared" si="128"/>
        <v>IE-LS</v>
      </c>
      <c r="J232" s="81" t="str">
        <f t="shared" si="128"/>
        <v>IE-LD</v>
      </c>
      <c r="K232" s="81" t="str">
        <f t="shared" si="128"/>
        <v>IE-LH</v>
      </c>
      <c r="L232" s="81" t="str">
        <f t="shared" si="128"/>
        <v>IE-MH</v>
      </c>
      <c r="M232" s="81" t="str">
        <f t="shared" si="128"/>
        <v>IE-OY</v>
      </c>
      <c r="N232" s="81" t="str">
        <f t="shared" si="128"/>
        <v>IE-WH</v>
      </c>
      <c r="O232" s="81" t="str">
        <f t="shared" si="128"/>
        <v>IE-WX</v>
      </c>
      <c r="P232" s="81" t="str">
        <f t="shared" si="128"/>
        <v>IE-WW</v>
      </c>
      <c r="Q232" s="81" t="str">
        <f t="shared" si="128"/>
        <v>IE-CE</v>
      </c>
      <c r="R232" s="81" t="str">
        <f t="shared" si="128"/>
        <v>IE-CO</v>
      </c>
      <c r="S232" s="81" t="str">
        <f t="shared" si="128"/>
        <v>IE-KY</v>
      </c>
      <c r="T232" s="81" t="str">
        <f t="shared" si="128"/>
        <v>IE-LK</v>
      </c>
      <c r="U232" s="81" t="str">
        <f t="shared" si="128"/>
        <v>IE-TA</v>
      </c>
      <c r="V232" s="81" t="str">
        <f t="shared" si="128"/>
        <v>IE-WD</v>
      </c>
      <c r="W232" s="81" t="str">
        <f t="shared" si="128"/>
        <v>IE-G</v>
      </c>
      <c r="X232" s="81" t="str">
        <f t="shared" si="128"/>
        <v>IE-LM</v>
      </c>
      <c r="Y232" s="81" t="str">
        <f t="shared" si="128"/>
        <v>IE-MO</v>
      </c>
      <c r="Z232" s="81" t="str">
        <f t="shared" si="128"/>
        <v>IE-RN</v>
      </c>
      <c r="AA232" s="81" t="str">
        <f t="shared" si="128"/>
        <v>IE-SO</v>
      </c>
      <c r="AB232" s="81" t="str">
        <f t="shared" si="128"/>
        <v>IE-CN</v>
      </c>
      <c r="AC232" s="81" t="str">
        <f t="shared" si="128"/>
        <v>IE-DL</v>
      </c>
      <c r="AD232" s="81" t="str">
        <f t="shared" si="128"/>
        <v>IE-MN</v>
      </c>
    </row>
    <row r="233" spans="2:30">
      <c r="B233" t="s">
        <v>317</v>
      </c>
      <c r="C233" s="179" t="s">
        <v>577</v>
      </c>
      <c r="D233" s="29">
        <f>D219/D$226</f>
        <v>0</v>
      </c>
      <c r="E233" s="29">
        <f t="shared" ref="E233:AD239" si="129">E219/E$226</f>
        <v>0</v>
      </c>
      <c r="F233" s="29">
        <f>F219/F$226</f>
        <v>0</v>
      </c>
      <c r="G233" s="29">
        <f t="shared" si="129"/>
        <v>0</v>
      </c>
      <c r="H233" s="29">
        <f t="shared" si="129"/>
        <v>0</v>
      </c>
      <c r="I233" s="29">
        <f t="shared" si="129"/>
        <v>0</v>
      </c>
      <c r="J233" s="29">
        <f t="shared" si="129"/>
        <v>0</v>
      </c>
      <c r="K233" s="29">
        <f t="shared" si="129"/>
        <v>0</v>
      </c>
      <c r="L233" s="29">
        <f t="shared" si="129"/>
        <v>0</v>
      </c>
      <c r="M233" s="29">
        <f t="shared" si="129"/>
        <v>0</v>
      </c>
      <c r="N233" s="29">
        <f t="shared" si="129"/>
        <v>0</v>
      </c>
      <c r="O233" s="29">
        <f t="shared" si="129"/>
        <v>0</v>
      </c>
      <c r="P233" s="29">
        <f t="shared" si="129"/>
        <v>0</v>
      </c>
      <c r="Q233" s="29">
        <f t="shared" si="129"/>
        <v>0</v>
      </c>
      <c r="R233" s="29">
        <f t="shared" si="129"/>
        <v>0</v>
      </c>
      <c r="S233" s="29">
        <f t="shared" si="129"/>
        <v>0</v>
      </c>
      <c r="T233" s="29">
        <f t="shared" si="129"/>
        <v>0</v>
      </c>
      <c r="U233" s="29">
        <f t="shared" si="129"/>
        <v>0</v>
      </c>
      <c r="V233" s="29">
        <f t="shared" si="129"/>
        <v>0</v>
      </c>
      <c r="W233" s="29">
        <f t="shared" si="129"/>
        <v>0</v>
      </c>
      <c r="X233" s="29">
        <f t="shared" si="129"/>
        <v>0</v>
      </c>
      <c r="Y233" s="29">
        <f t="shared" si="129"/>
        <v>0</v>
      </c>
      <c r="Z233" s="29">
        <f t="shared" si="129"/>
        <v>0</v>
      </c>
      <c r="AA233" s="29">
        <f t="shared" si="129"/>
        <v>0</v>
      </c>
      <c r="AB233" s="29">
        <f t="shared" si="129"/>
        <v>0</v>
      </c>
      <c r="AC233" s="29">
        <f t="shared" si="129"/>
        <v>0</v>
      </c>
      <c r="AD233" s="29">
        <f t="shared" si="129"/>
        <v>0</v>
      </c>
    </row>
    <row r="234" spans="2:30">
      <c r="B234" t="s">
        <v>318</v>
      </c>
      <c r="C234" t="s">
        <v>577</v>
      </c>
      <c r="D234" s="29">
        <f t="shared" ref="D234:S238" si="130">D220/D$226</f>
        <v>0.6644389729159339</v>
      </c>
      <c r="E234" s="29">
        <f t="shared" si="130"/>
        <v>0.73469387755102045</v>
      </c>
      <c r="F234" s="29">
        <f t="shared" si="130"/>
        <v>0.59245283018867922</v>
      </c>
      <c r="G234" s="29">
        <f t="shared" si="130"/>
        <v>0.74733096085409256</v>
      </c>
      <c r="H234" s="29">
        <f t="shared" si="130"/>
        <v>0.72822299651567945</v>
      </c>
      <c r="I234" s="29">
        <f t="shared" si="130"/>
        <v>0.70161290322580649</v>
      </c>
      <c r="J234" s="29">
        <f t="shared" si="130"/>
        <v>0.680379746835443</v>
      </c>
      <c r="K234" s="29">
        <f t="shared" si="130"/>
        <v>0.78048780487804881</v>
      </c>
      <c r="L234" s="29">
        <f t="shared" si="130"/>
        <v>0.51807228915662651</v>
      </c>
      <c r="M234" s="29">
        <f t="shared" si="130"/>
        <v>0.81132075471698117</v>
      </c>
      <c r="N234" s="29">
        <f t="shared" si="130"/>
        <v>0.7</v>
      </c>
      <c r="O234" s="29">
        <f t="shared" si="130"/>
        <v>0.83050847457627119</v>
      </c>
      <c r="P234" s="29">
        <f t="shared" si="130"/>
        <v>0.8</v>
      </c>
      <c r="Q234" s="29">
        <f t="shared" si="130"/>
        <v>0.70243902439024386</v>
      </c>
      <c r="R234" s="29">
        <f t="shared" si="130"/>
        <v>0.69363166953528399</v>
      </c>
      <c r="S234" s="29">
        <f t="shared" si="130"/>
        <v>0.61142857142857143</v>
      </c>
      <c r="T234" s="29">
        <f t="shared" si="129"/>
        <v>0.75757575757575757</v>
      </c>
      <c r="U234" s="29">
        <f t="shared" si="129"/>
        <v>0.81333333333333335</v>
      </c>
      <c r="V234" s="29">
        <f t="shared" si="129"/>
        <v>0.69868995633187769</v>
      </c>
      <c r="W234" s="29">
        <f t="shared" si="129"/>
        <v>0.5411271896420411</v>
      </c>
      <c r="X234" s="29">
        <f t="shared" si="129"/>
        <v>0.73831775700934577</v>
      </c>
      <c r="Y234" s="29">
        <f t="shared" si="129"/>
        <v>0.78542510121457487</v>
      </c>
      <c r="Z234" s="29">
        <f t="shared" si="129"/>
        <v>0.75294117647058822</v>
      </c>
      <c r="AA234" s="29">
        <f t="shared" si="129"/>
        <v>0.78666666666666663</v>
      </c>
      <c r="AB234" s="29">
        <f t="shared" si="129"/>
        <v>0.82417582417582413</v>
      </c>
      <c r="AC234" s="29">
        <f t="shared" si="129"/>
        <v>0.78378378378378377</v>
      </c>
      <c r="AD234" s="29">
        <f t="shared" si="129"/>
        <v>0.76694915254237284</v>
      </c>
    </row>
    <row r="235" spans="2:30">
      <c r="B235" t="s">
        <v>319</v>
      </c>
      <c r="C235" t="s">
        <v>577</v>
      </c>
      <c r="D235" s="29">
        <f t="shared" si="130"/>
        <v>0</v>
      </c>
      <c r="E235" s="29">
        <f t="shared" si="129"/>
        <v>0</v>
      </c>
      <c r="F235" s="29">
        <f t="shared" si="129"/>
        <v>0</v>
      </c>
      <c r="G235" s="29">
        <f t="shared" si="129"/>
        <v>0</v>
      </c>
      <c r="H235" s="29">
        <f t="shared" si="129"/>
        <v>0</v>
      </c>
      <c r="I235" s="29">
        <f t="shared" si="129"/>
        <v>0</v>
      </c>
      <c r="J235" s="29">
        <f t="shared" si="129"/>
        <v>0</v>
      </c>
      <c r="K235" s="29">
        <f t="shared" si="129"/>
        <v>0</v>
      </c>
      <c r="L235" s="29">
        <f t="shared" si="129"/>
        <v>0</v>
      </c>
      <c r="M235" s="29">
        <f t="shared" si="129"/>
        <v>0</v>
      </c>
      <c r="N235" s="29">
        <f t="shared" si="129"/>
        <v>0</v>
      </c>
      <c r="O235" s="29">
        <f t="shared" si="129"/>
        <v>0</v>
      </c>
      <c r="P235" s="29">
        <f t="shared" si="129"/>
        <v>0</v>
      </c>
      <c r="Q235" s="29">
        <f t="shared" si="129"/>
        <v>0</v>
      </c>
      <c r="R235" s="29">
        <f t="shared" si="129"/>
        <v>0</v>
      </c>
      <c r="S235" s="29">
        <f t="shared" si="129"/>
        <v>0</v>
      </c>
      <c r="T235" s="29">
        <f t="shared" si="129"/>
        <v>0</v>
      </c>
      <c r="U235" s="29">
        <f t="shared" si="129"/>
        <v>0</v>
      </c>
      <c r="V235" s="29">
        <f t="shared" si="129"/>
        <v>0</v>
      </c>
      <c r="W235" s="29">
        <f t="shared" si="129"/>
        <v>0</v>
      </c>
      <c r="X235" s="29">
        <f t="shared" si="129"/>
        <v>0</v>
      </c>
      <c r="Y235" s="29">
        <f t="shared" si="129"/>
        <v>0</v>
      </c>
      <c r="Z235" s="29">
        <f t="shared" si="129"/>
        <v>0</v>
      </c>
      <c r="AA235" s="29">
        <f t="shared" si="129"/>
        <v>0</v>
      </c>
      <c r="AB235" s="29">
        <f t="shared" si="129"/>
        <v>0</v>
      </c>
      <c r="AC235" s="29">
        <f t="shared" si="129"/>
        <v>0</v>
      </c>
      <c r="AD235" s="29">
        <f t="shared" si="129"/>
        <v>0</v>
      </c>
    </row>
    <row r="236" spans="2:30">
      <c r="B236" t="s">
        <v>320</v>
      </c>
      <c r="C236" t="s">
        <v>577</v>
      </c>
      <c r="D236" s="29">
        <f t="shared" si="130"/>
        <v>3.8691523039043265E-3</v>
      </c>
      <c r="E236" s="29">
        <f t="shared" si="129"/>
        <v>1.020408163265306E-2</v>
      </c>
      <c r="F236" s="29">
        <f t="shared" si="129"/>
        <v>0</v>
      </c>
      <c r="G236" s="29">
        <f t="shared" si="129"/>
        <v>1.0676156583629894E-2</v>
      </c>
      <c r="H236" s="29">
        <f t="shared" si="129"/>
        <v>3.4843205574912892E-3</v>
      </c>
      <c r="I236" s="29">
        <f t="shared" si="129"/>
        <v>8.0645161290322578E-3</v>
      </c>
      <c r="J236" s="29">
        <f t="shared" si="129"/>
        <v>3.1645569620253164E-3</v>
      </c>
      <c r="K236" s="29">
        <f t="shared" si="129"/>
        <v>0</v>
      </c>
      <c r="L236" s="29">
        <f t="shared" si="129"/>
        <v>1.2048192771084338E-2</v>
      </c>
      <c r="M236" s="29">
        <f t="shared" si="129"/>
        <v>0</v>
      </c>
      <c r="N236" s="29">
        <f t="shared" si="129"/>
        <v>0</v>
      </c>
      <c r="O236" s="29">
        <f t="shared" si="129"/>
        <v>0</v>
      </c>
      <c r="P236" s="29">
        <f t="shared" si="129"/>
        <v>0</v>
      </c>
      <c r="Q236" s="29">
        <f t="shared" si="129"/>
        <v>4.8780487804878049E-3</v>
      </c>
      <c r="R236" s="29">
        <f t="shared" si="129"/>
        <v>1.7211703958691911E-3</v>
      </c>
      <c r="S236" s="29">
        <f t="shared" si="129"/>
        <v>2.8571428571428571E-3</v>
      </c>
      <c r="T236" s="29">
        <f t="shared" si="129"/>
        <v>0</v>
      </c>
      <c r="U236" s="29">
        <f t="shared" si="129"/>
        <v>0</v>
      </c>
      <c r="V236" s="29">
        <f t="shared" si="129"/>
        <v>0</v>
      </c>
      <c r="W236" s="29">
        <f t="shared" si="129"/>
        <v>5.3313023610053311E-3</v>
      </c>
      <c r="X236" s="29">
        <f t="shared" si="129"/>
        <v>0</v>
      </c>
      <c r="Y236" s="29">
        <f t="shared" si="129"/>
        <v>4.048582995951417E-3</v>
      </c>
      <c r="Z236" s="29">
        <f t="shared" si="129"/>
        <v>1.1764705882352941E-2</v>
      </c>
      <c r="AA236" s="29">
        <f t="shared" si="129"/>
        <v>0</v>
      </c>
      <c r="AB236" s="29">
        <f t="shared" si="129"/>
        <v>0</v>
      </c>
      <c r="AC236" s="29">
        <f t="shared" si="129"/>
        <v>0</v>
      </c>
      <c r="AD236" s="29">
        <f t="shared" si="129"/>
        <v>8.4745762711864406E-3</v>
      </c>
    </row>
    <row r="237" spans="2:30">
      <c r="B237" t="s">
        <v>321</v>
      </c>
      <c r="C237" t="s">
        <v>577</v>
      </c>
      <c r="D237" s="29">
        <f t="shared" si="130"/>
        <v>0.20236839019814751</v>
      </c>
      <c r="E237" s="29">
        <f t="shared" si="129"/>
        <v>0.18367346938775511</v>
      </c>
      <c r="F237" s="29">
        <f t="shared" si="129"/>
        <v>0.23773584905660378</v>
      </c>
      <c r="G237" s="29">
        <f t="shared" si="129"/>
        <v>0.1494661921708185</v>
      </c>
      <c r="H237" s="29">
        <f t="shared" si="129"/>
        <v>0.18118466898954705</v>
      </c>
      <c r="I237" s="29">
        <f t="shared" si="129"/>
        <v>0.15322580645161291</v>
      </c>
      <c r="J237" s="29">
        <f t="shared" si="129"/>
        <v>0.19303797468354431</v>
      </c>
      <c r="K237" s="29">
        <f t="shared" si="129"/>
        <v>0.21951219512195122</v>
      </c>
      <c r="L237" s="29">
        <f t="shared" si="129"/>
        <v>0.20481927710843373</v>
      </c>
      <c r="M237" s="29">
        <f t="shared" si="129"/>
        <v>5.6603773584905662E-2</v>
      </c>
      <c r="N237" s="29">
        <f t="shared" si="129"/>
        <v>0.16538461538461538</v>
      </c>
      <c r="O237" s="29">
        <f t="shared" si="129"/>
        <v>7.3446327683615822E-2</v>
      </c>
      <c r="P237" s="29">
        <f t="shared" si="129"/>
        <v>0.11428571428571428</v>
      </c>
      <c r="Q237" s="29">
        <f t="shared" si="129"/>
        <v>0.20487804878048779</v>
      </c>
      <c r="R237" s="29">
        <f t="shared" si="129"/>
        <v>0.18244406196213425</v>
      </c>
      <c r="S237" s="29">
        <f t="shared" si="129"/>
        <v>0.2742857142857143</v>
      </c>
      <c r="T237" s="29">
        <f t="shared" si="129"/>
        <v>6.0606060606060608E-2</v>
      </c>
      <c r="U237" s="29">
        <f t="shared" si="129"/>
        <v>0.12</v>
      </c>
      <c r="V237" s="29">
        <f t="shared" si="129"/>
        <v>0.1965065502183406</v>
      </c>
      <c r="W237" s="29">
        <f t="shared" si="129"/>
        <v>0.27418126428027417</v>
      </c>
      <c r="X237" s="29">
        <f t="shared" si="129"/>
        <v>0.19626168224299065</v>
      </c>
      <c r="Y237" s="29">
        <f t="shared" si="129"/>
        <v>0.1417004048582996</v>
      </c>
      <c r="Z237" s="29">
        <f t="shared" si="129"/>
        <v>0.18823529411764706</v>
      </c>
      <c r="AA237" s="29">
        <f t="shared" si="129"/>
        <v>9.3333333333333338E-2</v>
      </c>
      <c r="AB237" s="29">
        <f t="shared" si="129"/>
        <v>7.6923076923076927E-2</v>
      </c>
      <c r="AC237" s="29">
        <f t="shared" si="129"/>
        <v>0.11891891891891893</v>
      </c>
      <c r="AD237" s="29">
        <f t="shared" si="129"/>
        <v>0.13559322033898305</v>
      </c>
    </row>
    <row r="238" spans="2:30">
      <c r="B238" t="s">
        <v>322</v>
      </c>
      <c r="C238" t="s">
        <v>577</v>
      </c>
      <c r="D238" s="29">
        <f t="shared" si="130"/>
        <v>0.12932348458201431</v>
      </c>
      <c r="E238" s="29">
        <f t="shared" si="129"/>
        <v>7.1428571428571425E-2</v>
      </c>
      <c r="F238" s="29">
        <f t="shared" si="129"/>
        <v>0.16981132075471697</v>
      </c>
      <c r="G238" s="29">
        <f t="shared" si="129"/>
        <v>9.2526690391459068E-2</v>
      </c>
      <c r="H238" s="29">
        <f t="shared" si="129"/>
        <v>8.7108013937282236E-2</v>
      </c>
      <c r="I238" s="29">
        <f t="shared" si="129"/>
        <v>0.13709677419354838</v>
      </c>
      <c r="J238" s="29">
        <f t="shared" si="129"/>
        <v>0.12341772151898735</v>
      </c>
      <c r="K238" s="29">
        <f t="shared" si="129"/>
        <v>0</v>
      </c>
      <c r="L238" s="29">
        <f t="shared" si="129"/>
        <v>0.26506024096385544</v>
      </c>
      <c r="M238" s="29">
        <f t="shared" si="129"/>
        <v>0.13207547169811321</v>
      </c>
      <c r="N238" s="29">
        <f t="shared" si="129"/>
        <v>0.13461538461538461</v>
      </c>
      <c r="O238" s="29">
        <f t="shared" si="129"/>
        <v>9.6045197740112997E-2</v>
      </c>
      <c r="P238" s="29">
        <f t="shared" si="129"/>
        <v>8.5714285714285715E-2</v>
      </c>
      <c r="Q238" s="29">
        <f t="shared" si="129"/>
        <v>8.7804878048780483E-2</v>
      </c>
      <c r="R238" s="29">
        <f t="shared" si="129"/>
        <v>0.12220309810671257</v>
      </c>
      <c r="S238" s="29">
        <f t="shared" si="129"/>
        <v>0.11142857142857143</v>
      </c>
      <c r="T238" s="29">
        <f t="shared" si="129"/>
        <v>0.18181818181818182</v>
      </c>
      <c r="U238" s="29">
        <f t="shared" si="129"/>
        <v>6.6666666666666666E-2</v>
      </c>
      <c r="V238" s="29">
        <f t="shared" si="129"/>
        <v>0.10480349344978165</v>
      </c>
      <c r="W238" s="29">
        <f t="shared" si="129"/>
        <v>0.17936024371667936</v>
      </c>
      <c r="X238" s="29">
        <f t="shared" si="129"/>
        <v>6.5420560747663545E-2</v>
      </c>
      <c r="Y238" s="29">
        <f t="shared" si="129"/>
        <v>6.8825910931174086E-2</v>
      </c>
      <c r="Z238" s="29">
        <f t="shared" si="129"/>
        <v>4.7058823529411764E-2</v>
      </c>
      <c r="AA238" s="29">
        <f t="shared" si="129"/>
        <v>0.12</v>
      </c>
      <c r="AB238" s="29">
        <f t="shared" si="129"/>
        <v>9.8901098901098897E-2</v>
      </c>
      <c r="AC238" s="29">
        <f t="shared" si="129"/>
        <v>9.7297297297297303E-2</v>
      </c>
      <c r="AD238" s="29">
        <f t="shared" si="129"/>
        <v>8.8983050847457626E-2</v>
      </c>
    </row>
    <row r="239" spans="2:30">
      <c r="B239" t="s">
        <v>323</v>
      </c>
      <c r="C239" t="s">
        <v>577</v>
      </c>
      <c r="D239" s="29">
        <f>D225/D$226</f>
        <v>0</v>
      </c>
      <c r="E239" s="29">
        <f>E225/E226</f>
        <v>0</v>
      </c>
      <c r="F239" s="29">
        <f>F225/F$226</f>
        <v>0</v>
      </c>
      <c r="G239" s="29">
        <f t="shared" si="129"/>
        <v>0</v>
      </c>
      <c r="H239" s="29">
        <f t="shared" si="129"/>
        <v>0</v>
      </c>
      <c r="I239" s="29">
        <f t="shared" si="129"/>
        <v>0</v>
      </c>
      <c r="J239" s="29">
        <f t="shared" si="129"/>
        <v>0</v>
      </c>
      <c r="K239" s="29">
        <f t="shared" si="129"/>
        <v>0</v>
      </c>
      <c r="L239" s="29">
        <f t="shared" si="129"/>
        <v>0</v>
      </c>
      <c r="M239" s="29">
        <f t="shared" si="129"/>
        <v>0</v>
      </c>
      <c r="N239" s="29">
        <f t="shared" si="129"/>
        <v>0</v>
      </c>
      <c r="O239" s="29">
        <f t="shared" si="129"/>
        <v>0</v>
      </c>
      <c r="P239" s="29">
        <f t="shared" si="129"/>
        <v>0</v>
      </c>
      <c r="Q239" s="29">
        <f t="shared" si="129"/>
        <v>0</v>
      </c>
      <c r="R239" s="29">
        <f t="shared" si="129"/>
        <v>0</v>
      </c>
      <c r="S239" s="29">
        <f t="shared" si="129"/>
        <v>0</v>
      </c>
      <c r="T239" s="29">
        <f t="shared" si="129"/>
        <v>0</v>
      </c>
      <c r="U239" s="29">
        <f t="shared" si="129"/>
        <v>0</v>
      </c>
      <c r="V239" s="29">
        <f t="shared" si="129"/>
        <v>0</v>
      </c>
      <c r="W239" s="29">
        <f t="shared" si="129"/>
        <v>0</v>
      </c>
      <c r="X239" s="29">
        <f t="shared" si="129"/>
        <v>0</v>
      </c>
      <c r="Y239" s="29">
        <f t="shared" si="129"/>
        <v>0</v>
      </c>
      <c r="Z239" s="29">
        <f t="shared" si="129"/>
        <v>0</v>
      </c>
      <c r="AA239" s="29">
        <f t="shared" si="129"/>
        <v>0</v>
      </c>
      <c r="AB239" s="29">
        <f t="shared" si="129"/>
        <v>0</v>
      </c>
      <c r="AC239" s="29">
        <f t="shared" si="129"/>
        <v>0</v>
      </c>
      <c r="AD239" s="29">
        <f t="shared" si="129"/>
        <v>0</v>
      </c>
    </row>
    <row r="240" spans="2:30">
      <c r="B240" s="79" t="s">
        <v>16</v>
      </c>
      <c r="C240" s="79" t="s">
        <v>577</v>
      </c>
      <c r="D240" s="102">
        <f t="shared" ref="D240:AD240" si="131">SUM(D233:D239)</f>
        <v>1</v>
      </c>
      <c r="E240" s="102">
        <f t="shared" si="131"/>
        <v>1</v>
      </c>
      <c r="F240" s="102">
        <f t="shared" si="131"/>
        <v>1</v>
      </c>
      <c r="G240" s="102">
        <f t="shared" si="131"/>
        <v>1</v>
      </c>
      <c r="H240" s="102">
        <f t="shared" si="131"/>
        <v>1</v>
      </c>
      <c r="I240" s="102">
        <f t="shared" si="131"/>
        <v>1</v>
      </c>
      <c r="J240" s="102">
        <f t="shared" si="131"/>
        <v>1</v>
      </c>
      <c r="K240" s="102">
        <f t="shared" si="131"/>
        <v>1</v>
      </c>
      <c r="L240" s="102">
        <f t="shared" si="131"/>
        <v>1</v>
      </c>
      <c r="M240" s="102">
        <f t="shared" si="131"/>
        <v>1</v>
      </c>
      <c r="N240" s="102">
        <f t="shared" si="131"/>
        <v>0.99999999999999989</v>
      </c>
      <c r="O240" s="102">
        <f t="shared" si="131"/>
        <v>1</v>
      </c>
      <c r="P240" s="102">
        <f t="shared" si="131"/>
        <v>1</v>
      </c>
      <c r="Q240" s="102">
        <f t="shared" si="131"/>
        <v>0.99999999999999989</v>
      </c>
      <c r="R240" s="102">
        <f t="shared" si="131"/>
        <v>1</v>
      </c>
      <c r="S240" s="102">
        <f t="shared" si="131"/>
        <v>1</v>
      </c>
      <c r="T240" s="102">
        <f t="shared" si="131"/>
        <v>1</v>
      </c>
      <c r="U240" s="102">
        <f t="shared" si="131"/>
        <v>1</v>
      </c>
      <c r="V240" s="102">
        <f t="shared" si="131"/>
        <v>1</v>
      </c>
      <c r="W240" s="102">
        <f t="shared" si="131"/>
        <v>0.99999999999999989</v>
      </c>
      <c r="X240" s="102">
        <f t="shared" si="131"/>
        <v>1</v>
      </c>
      <c r="Y240" s="102">
        <f t="shared" si="131"/>
        <v>1</v>
      </c>
      <c r="Z240" s="102">
        <f t="shared" si="131"/>
        <v>1</v>
      </c>
      <c r="AA240" s="102">
        <f t="shared" si="131"/>
        <v>1</v>
      </c>
      <c r="AB240" s="102">
        <f t="shared" si="131"/>
        <v>0.99999999999999989</v>
      </c>
      <c r="AC240" s="102">
        <f t="shared" si="131"/>
        <v>1</v>
      </c>
      <c r="AD240" s="102">
        <f t="shared" si="131"/>
        <v>0.99999999999999989</v>
      </c>
    </row>
    <row r="244" spans="2:30" ht="15.5">
      <c r="B244" s="101" t="s">
        <v>586</v>
      </c>
    </row>
    <row r="245" spans="2:30">
      <c r="B245" s="81" t="s">
        <v>573</v>
      </c>
      <c r="C245" s="81" t="s">
        <v>63</v>
      </c>
      <c r="D245" s="81" t="str">
        <f>D232</f>
        <v>IE</v>
      </c>
      <c r="E245" s="81" t="str">
        <f t="shared" ref="E245:AD245" si="132">E232</f>
        <v>IE-CW</v>
      </c>
      <c r="F245" s="81" t="str">
        <f t="shared" si="132"/>
        <v>IE-D</v>
      </c>
      <c r="G245" s="81" t="str">
        <f t="shared" si="132"/>
        <v>IE-KE</v>
      </c>
      <c r="H245" s="81" t="str">
        <f t="shared" si="132"/>
        <v>IE-KK</v>
      </c>
      <c r="I245" s="81" t="str">
        <f t="shared" si="132"/>
        <v>IE-LS</v>
      </c>
      <c r="J245" s="81" t="str">
        <f t="shared" si="132"/>
        <v>IE-LD</v>
      </c>
      <c r="K245" s="81" t="str">
        <f t="shared" si="132"/>
        <v>IE-LH</v>
      </c>
      <c r="L245" s="81" t="str">
        <f t="shared" si="132"/>
        <v>IE-MH</v>
      </c>
      <c r="M245" s="81" t="str">
        <f t="shared" si="132"/>
        <v>IE-OY</v>
      </c>
      <c r="N245" s="81" t="str">
        <f t="shared" si="132"/>
        <v>IE-WH</v>
      </c>
      <c r="O245" s="81" t="str">
        <f t="shared" si="132"/>
        <v>IE-WX</v>
      </c>
      <c r="P245" s="81" t="str">
        <f t="shared" si="132"/>
        <v>IE-WW</v>
      </c>
      <c r="Q245" s="81" t="str">
        <f t="shared" si="132"/>
        <v>IE-CE</v>
      </c>
      <c r="R245" s="81" t="str">
        <f t="shared" si="132"/>
        <v>IE-CO</v>
      </c>
      <c r="S245" s="81" t="str">
        <f t="shared" si="132"/>
        <v>IE-KY</v>
      </c>
      <c r="T245" s="81" t="str">
        <f t="shared" si="132"/>
        <v>IE-LK</v>
      </c>
      <c r="U245" s="81" t="str">
        <f t="shared" si="132"/>
        <v>IE-TA</v>
      </c>
      <c r="V245" s="81" t="str">
        <f t="shared" si="132"/>
        <v>IE-WD</v>
      </c>
      <c r="W245" s="81" t="str">
        <f t="shared" si="132"/>
        <v>IE-G</v>
      </c>
      <c r="X245" s="81" t="str">
        <f t="shared" si="132"/>
        <v>IE-LM</v>
      </c>
      <c r="Y245" s="81" t="str">
        <f t="shared" si="132"/>
        <v>IE-MO</v>
      </c>
      <c r="Z245" s="81" t="str">
        <f t="shared" si="132"/>
        <v>IE-RN</v>
      </c>
      <c r="AA245" s="81" t="str">
        <f t="shared" si="132"/>
        <v>IE-SO</v>
      </c>
      <c r="AB245" s="81" t="str">
        <f t="shared" si="132"/>
        <v>IE-CN</v>
      </c>
      <c r="AC245" s="81" t="str">
        <f t="shared" si="132"/>
        <v>IE-DL</v>
      </c>
      <c r="AD245" s="81" t="str">
        <f t="shared" si="132"/>
        <v>IE-MN</v>
      </c>
    </row>
    <row r="246" spans="2:30">
      <c r="B246" t="s">
        <v>317</v>
      </c>
      <c r="C246" t="s">
        <v>578</v>
      </c>
      <c r="D246" s="177">
        <v>1.5410369892896236</v>
      </c>
      <c r="E246" s="177">
        <v>1.5410369892896236</v>
      </c>
      <c r="F246" s="177">
        <v>1.5410369892896236</v>
      </c>
      <c r="G246" s="177">
        <v>1.5410369892896236</v>
      </c>
      <c r="H246" s="177">
        <v>1.5410369892896236</v>
      </c>
      <c r="I246" s="177">
        <v>1.5410369892896236</v>
      </c>
      <c r="J246" s="177">
        <v>1.5410369892896236</v>
      </c>
      <c r="K246" s="177">
        <v>1.5410369892896236</v>
      </c>
      <c r="L246" s="177">
        <v>1.5410369892896236</v>
      </c>
      <c r="M246" s="177">
        <v>1.5410369892896236</v>
      </c>
      <c r="N246" s="177">
        <v>1.5410369892896236</v>
      </c>
      <c r="O246" s="177">
        <v>1.5410369892896236</v>
      </c>
      <c r="P246" s="177">
        <v>1.5410369892896236</v>
      </c>
      <c r="Q246" s="177">
        <v>1.5410369892896236</v>
      </c>
      <c r="R246" s="177">
        <v>1.5410369892896236</v>
      </c>
      <c r="S246" s="177">
        <v>1.5410369892896236</v>
      </c>
      <c r="T246" s="177">
        <v>1.5410369892896236</v>
      </c>
      <c r="U246" s="177">
        <v>1.5410369892896236</v>
      </c>
      <c r="V246" s="177">
        <v>1.5410369892896236</v>
      </c>
      <c r="W246" s="177">
        <v>1.5410369892896236</v>
      </c>
      <c r="X246" s="177">
        <v>1.5410369892896236</v>
      </c>
      <c r="Y246" s="177">
        <v>1.5410369892896236</v>
      </c>
      <c r="Z246" s="177">
        <v>1.5410369892896236</v>
      </c>
      <c r="AA246" s="177">
        <v>1.5410369892896236</v>
      </c>
      <c r="AB246" s="177">
        <v>1.5410369892896236</v>
      </c>
      <c r="AC246" s="177">
        <v>1.5410369892896236</v>
      </c>
      <c r="AD246" s="177">
        <v>1.5410369892896236</v>
      </c>
    </row>
    <row r="247" spans="2:30">
      <c r="B247" t="s">
        <v>318</v>
      </c>
      <c r="C247" t="s">
        <v>578</v>
      </c>
      <c r="D247" s="177">
        <v>1.5689674081337737</v>
      </c>
      <c r="E247" s="177">
        <v>1.5689674081337737</v>
      </c>
      <c r="F247" s="177">
        <v>1.5689674081337737</v>
      </c>
      <c r="G247" s="177">
        <v>1.5689674081337737</v>
      </c>
      <c r="H247" s="177">
        <v>1.5689674081337737</v>
      </c>
      <c r="I247" s="177">
        <v>1.5689674081337737</v>
      </c>
      <c r="J247" s="177">
        <v>1.5689674081337737</v>
      </c>
      <c r="K247" s="177">
        <v>1.5689674081337737</v>
      </c>
      <c r="L247" s="177">
        <v>1.5689674081337737</v>
      </c>
      <c r="M247" s="177">
        <v>1.5689674081337737</v>
      </c>
      <c r="N247" s="177">
        <v>1.5689674081337737</v>
      </c>
      <c r="O247" s="177">
        <v>1.5689674081337737</v>
      </c>
      <c r="P247" s="177">
        <v>1.5689674081337737</v>
      </c>
      <c r="Q247" s="177">
        <v>1.5689674081337737</v>
      </c>
      <c r="R247" s="177">
        <v>1.5689674081337737</v>
      </c>
      <c r="S247" s="177">
        <v>1.5689674081337737</v>
      </c>
      <c r="T247" s="177">
        <v>1.5689674081337737</v>
      </c>
      <c r="U247" s="177">
        <v>1.5689674081337737</v>
      </c>
      <c r="V247" s="177">
        <v>1.5689674081337737</v>
      </c>
      <c r="W247" s="177">
        <v>1.5689674081337737</v>
      </c>
      <c r="X247" s="177">
        <v>1.5689674081337737</v>
      </c>
      <c r="Y247" s="177">
        <v>1.5689674081337737</v>
      </c>
      <c r="Z247" s="177">
        <v>1.5689674081337737</v>
      </c>
      <c r="AA247" s="177">
        <v>1.5689674081337737</v>
      </c>
      <c r="AB247" s="177">
        <v>1.5689674081337737</v>
      </c>
      <c r="AC247" s="177">
        <v>1.5689674081337737</v>
      </c>
      <c r="AD247" s="177">
        <v>1.5689674081337737</v>
      </c>
    </row>
    <row r="248" spans="2:30">
      <c r="B248" t="s">
        <v>319</v>
      </c>
      <c r="C248" t="s">
        <v>578</v>
      </c>
      <c r="D248" s="177">
        <v>1.7415357309829498</v>
      </c>
      <c r="E248" s="177">
        <v>1.7415357309829498</v>
      </c>
      <c r="F248" s="177">
        <v>1.7415357309829498</v>
      </c>
      <c r="G248" s="177">
        <v>1.7415357309829498</v>
      </c>
      <c r="H248" s="177">
        <v>1.7415357309829498</v>
      </c>
      <c r="I248" s="177">
        <v>1.7415357309829498</v>
      </c>
      <c r="J248" s="177">
        <v>1.7415357309829498</v>
      </c>
      <c r="K248" s="177">
        <v>1.7415357309829498</v>
      </c>
      <c r="L248" s="177">
        <v>1.7415357309829498</v>
      </c>
      <c r="M248" s="177">
        <v>1.7415357309829498</v>
      </c>
      <c r="N248" s="177">
        <v>1.7415357309829498</v>
      </c>
      <c r="O248" s="177">
        <v>1.7415357309829498</v>
      </c>
      <c r="P248" s="177">
        <v>1.7415357309829498</v>
      </c>
      <c r="Q248" s="177">
        <v>1.7415357309829498</v>
      </c>
      <c r="R248" s="177">
        <v>1.7415357309829498</v>
      </c>
      <c r="S248" s="177">
        <v>1.7415357309829498</v>
      </c>
      <c r="T248" s="177">
        <v>1.7415357309829498</v>
      </c>
      <c r="U248" s="177">
        <v>1.7415357309829498</v>
      </c>
      <c r="V248" s="177">
        <v>1.7415357309829498</v>
      </c>
      <c r="W248" s="177">
        <v>1.7415357309829498</v>
      </c>
      <c r="X248" s="177">
        <v>1.7415357309829498</v>
      </c>
      <c r="Y248" s="177">
        <v>1.7415357309829498</v>
      </c>
      <c r="Z248" s="177">
        <v>1.7415357309829498</v>
      </c>
      <c r="AA248" s="177">
        <v>1.7415357309829498</v>
      </c>
      <c r="AB248" s="177">
        <v>1.7415357309829498</v>
      </c>
      <c r="AC248" s="177">
        <v>1.7415357309829498</v>
      </c>
      <c r="AD248" s="177">
        <v>1.7415357309829498</v>
      </c>
    </row>
    <row r="249" spans="2:30">
      <c r="B249" t="s">
        <v>320</v>
      </c>
      <c r="C249" t="s">
        <v>578</v>
      </c>
      <c r="D249" s="177">
        <v>1.7596865383612372</v>
      </c>
      <c r="E249" s="177">
        <v>1.7596865383612372</v>
      </c>
      <c r="F249" s="177">
        <v>1.7596865383612372</v>
      </c>
      <c r="G249" s="177">
        <v>1.7596865383612372</v>
      </c>
      <c r="H249" s="177">
        <v>1.7596865383612372</v>
      </c>
      <c r="I249" s="177">
        <v>1.7596865383612372</v>
      </c>
      <c r="J249" s="177">
        <v>1.7596865383612372</v>
      </c>
      <c r="K249" s="177">
        <v>1.7596865383612372</v>
      </c>
      <c r="L249" s="177">
        <v>1.7596865383612372</v>
      </c>
      <c r="M249" s="177">
        <v>1.7596865383612372</v>
      </c>
      <c r="N249" s="177">
        <v>1.7596865383612372</v>
      </c>
      <c r="O249" s="177">
        <v>1.7596865383612372</v>
      </c>
      <c r="P249" s="177">
        <v>1.7596865383612372</v>
      </c>
      <c r="Q249" s="177">
        <v>1.7596865383612372</v>
      </c>
      <c r="R249" s="177">
        <v>1.7596865383612372</v>
      </c>
      <c r="S249" s="177">
        <v>1.7596865383612372</v>
      </c>
      <c r="T249" s="177">
        <v>1.7596865383612372</v>
      </c>
      <c r="U249" s="177">
        <v>1.7596865383612372</v>
      </c>
      <c r="V249" s="177">
        <v>1.7596865383612372</v>
      </c>
      <c r="W249" s="177">
        <v>1.7596865383612372</v>
      </c>
      <c r="X249" s="177">
        <v>1.7596865383612372</v>
      </c>
      <c r="Y249" s="177">
        <v>1.7596865383612372</v>
      </c>
      <c r="Z249" s="177">
        <v>1.7596865383612372</v>
      </c>
      <c r="AA249" s="177">
        <v>1.7596865383612372</v>
      </c>
      <c r="AB249" s="177">
        <v>1.7596865383612372</v>
      </c>
      <c r="AC249" s="177">
        <v>1.7596865383612372</v>
      </c>
      <c r="AD249" s="177">
        <v>1.7596865383612372</v>
      </c>
    </row>
    <row r="250" spans="2:30">
      <c r="B250" t="s">
        <v>321</v>
      </c>
      <c r="C250" t="s">
        <v>578</v>
      </c>
      <c r="D250" s="177">
        <v>1.8433586255014824</v>
      </c>
      <c r="E250" s="177">
        <v>1.8433586255014824</v>
      </c>
      <c r="F250" s="177">
        <v>1.8433586255014824</v>
      </c>
      <c r="G250" s="177">
        <v>1.8433586255014824</v>
      </c>
      <c r="H250" s="177">
        <v>1.8433586255014824</v>
      </c>
      <c r="I250" s="177">
        <v>1.8433586255014824</v>
      </c>
      <c r="J250" s="177">
        <v>1.8433586255014824</v>
      </c>
      <c r="K250" s="177">
        <v>1.8433586255014824</v>
      </c>
      <c r="L250" s="177">
        <v>1.8433586255014824</v>
      </c>
      <c r="M250" s="177">
        <v>1.8433586255014824</v>
      </c>
      <c r="N250" s="177">
        <v>1.8433586255014824</v>
      </c>
      <c r="O250" s="177">
        <v>1.8433586255014824</v>
      </c>
      <c r="P250" s="177">
        <v>1.8433586255014824</v>
      </c>
      <c r="Q250" s="177">
        <v>1.8433586255014824</v>
      </c>
      <c r="R250" s="177">
        <v>1.8433586255014824</v>
      </c>
      <c r="S250" s="177">
        <v>1.8433586255014824</v>
      </c>
      <c r="T250" s="177">
        <v>1.8433586255014824</v>
      </c>
      <c r="U250" s="177">
        <v>1.8433586255014824</v>
      </c>
      <c r="V250" s="177">
        <v>1.8433586255014824</v>
      </c>
      <c r="W250" s="177">
        <v>1.8433586255014824</v>
      </c>
      <c r="X250" s="177">
        <v>1.8433586255014824</v>
      </c>
      <c r="Y250" s="177">
        <v>1.8433586255014824</v>
      </c>
      <c r="Z250" s="177">
        <v>1.8433586255014824</v>
      </c>
      <c r="AA250" s="177">
        <v>1.8433586255014824</v>
      </c>
      <c r="AB250" s="177">
        <v>1.8433586255014824</v>
      </c>
      <c r="AC250" s="177">
        <v>1.8433586255014824</v>
      </c>
      <c r="AD250" s="177">
        <v>1.8433586255014824</v>
      </c>
    </row>
    <row r="251" spans="2:30">
      <c r="B251" t="s">
        <v>322</v>
      </c>
      <c r="C251" t="s">
        <v>578</v>
      </c>
      <c r="D251" s="177">
        <v>1.8529030871906271</v>
      </c>
      <c r="E251" s="177">
        <v>1.8529030871906271</v>
      </c>
      <c r="F251" s="177">
        <v>1.8529030871906271</v>
      </c>
      <c r="G251" s="177">
        <v>1.8529030871906271</v>
      </c>
      <c r="H251" s="177">
        <v>1.8529030871906271</v>
      </c>
      <c r="I251" s="177">
        <v>1.8529030871906271</v>
      </c>
      <c r="J251" s="177">
        <v>1.8529030871906271</v>
      </c>
      <c r="K251" s="177">
        <v>1.8529030871906271</v>
      </c>
      <c r="L251" s="177">
        <v>1.8529030871906271</v>
      </c>
      <c r="M251" s="177">
        <v>1.8529030871906271</v>
      </c>
      <c r="N251" s="177">
        <v>1.8529030871906271</v>
      </c>
      <c r="O251" s="177">
        <v>1.8529030871906271</v>
      </c>
      <c r="P251" s="177">
        <v>1.8529030871906271</v>
      </c>
      <c r="Q251" s="177">
        <v>1.8529030871906271</v>
      </c>
      <c r="R251" s="177">
        <v>1.8529030871906271</v>
      </c>
      <c r="S251" s="177">
        <v>1.8529030871906271</v>
      </c>
      <c r="T251" s="177">
        <v>1.8529030871906271</v>
      </c>
      <c r="U251" s="177">
        <v>1.8529030871906271</v>
      </c>
      <c r="V251" s="177">
        <v>1.8529030871906271</v>
      </c>
      <c r="W251" s="177">
        <v>1.8529030871906271</v>
      </c>
      <c r="X251" s="177">
        <v>1.8529030871906271</v>
      </c>
      <c r="Y251" s="177">
        <v>1.8529030871906271</v>
      </c>
      <c r="Z251" s="177">
        <v>1.8529030871906271</v>
      </c>
      <c r="AA251" s="177">
        <v>1.8529030871906271</v>
      </c>
      <c r="AB251" s="177">
        <v>1.8529030871906271</v>
      </c>
      <c r="AC251" s="177">
        <v>1.8529030871906271</v>
      </c>
      <c r="AD251" s="177">
        <v>1.8529030871906271</v>
      </c>
    </row>
    <row r="252" spans="2:30">
      <c r="B252" s="79" t="s">
        <v>323</v>
      </c>
      <c r="C252" s="79" t="s">
        <v>578</v>
      </c>
      <c r="D252" s="178">
        <v>2.076438345513917</v>
      </c>
      <c r="E252" s="178">
        <v>2.076438345513917</v>
      </c>
      <c r="F252" s="178">
        <v>2.076438345513917</v>
      </c>
      <c r="G252" s="178">
        <v>2.076438345513917</v>
      </c>
      <c r="H252" s="178">
        <v>2.076438345513917</v>
      </c>
      <c r="I252" s="178">
        <v>2.076438345513917</v>
      </c>
      <c r="J252" s="178">
        <v>2.076438345513917</v>
      </c>
      <c r="K252" s="178">
        <v>2.076438345513917</v>
      </c>
      <c r="L252" s="178">
        <v>2.076438345513917</v>
      </c>
      <c r="M252" s="178">
        <v>2.076438345513917</v>
      </c>
      <c r="N252" s="178">
        <v>2.076438345513917</v>
      </c>
      <c r="O252" s="178">
        <v>2.076438345513917</v>
      </c>
      <c r="P252" s="178">
        <v>2.076438345513917</v>
      </c>
      <c r="Q252" s="178">
        <v>2.076438345513917</v>
      </c>
      <c r="R252" s="178">
        <v>2.076438345513917</v>
      </c>
      <c r="S252" s="178">
        <v>2.076438345513917</v>
      </c>
      <c r="T252" s="178">
        <v>2.076438345513917</v>
      </c>
      <c r="U252" s="178">
        <v>2.076438345513917</v>
      </c>
      <c r="V252" s="178">
        <v>2.076438345513917</v>
      </c>
      <c r="W252" s="178">
        <v>2.076438345513917</v>
      </c>
      <c r="X252" s="178">
        <v>2.076438345513917</v>
      </c>
      <c r="Y252" s="178">
        <v>2.076438345513917</v>
      </c>
      <c r="Z252" s="178">
        <v>2.076438345513917</v>
      </c>
      <c r="AA252" s="178">
        <v>2.076438345513917</v>
      </c>
      <c r="AB252" s="178">
        <v>2.076438345513917</v>
      </c>
      <c r="AC252" s="178">
        <v>2.076438345513917</v>
      </c>
      <c r="AD252" s="178">
        <v>2.076438345513917</v>
      </c>
    </row>
    <row r="253" spans="2:30">
      <c r="B253" t="s">
        <v>582</v>
      </c>
    </row>
    <row r="257" spans="2:30" ht="15.5">
      <c r="B257" s="101" t="s">
        <v>586</v>
      </c>
    </row>
    <row r="258" spans="2:30">
      <c r="B258" s="81" t="s">
        <v>573</v>
      </c>
      <c r="C258" s="81" t="s">
        <v>63</v>
      </c>
      <c r="D258" s="81" t="str">
        <f>D245</f>
        <v>IE</v>
      </c>
      <c r="E258" s="81" t="str">
        <f t="shared" ref="E258:AD258" si="133">E245</f>
        <v>IE-CW</v>
      </c>
      <c r="F258" s="81" t="str">
        <f t="shared" si="133"/>
        <v>IE-D</v>
      </c>
      <c r="G258" s="81" t="str">
        <f t="shared" si="133"/>
        <v>IE-KE</v>
      </c>
      <c r="H258" s="81" t="str">
        <f t="shared" si="133"/>
        <v>IE-KK</v>
      </c>
      <c r="I258" s="81" t="str">
        <f t="shared" si="133"/>
        <v>IE-LS</v>
      </c>
      <c r="J258" s="81" t="str">
        <f t="shared" si="133"/>
        <v>IE-LD</v>
      </c>
      <c r="K258" s="81" t="str">
        <f t="shared" si="133"/>
        <v>IE-LH</v>
      </c>
      <c r="L258" s="81" t="str">
        <f t="shared" si="133"/>
        <v>IE-MH</v>
      </c>
      <c r="M258" s="81" t="str">
        <f t="shared" si="133"/>
        <v>IE-OY</v>
      </c>
      <c r="N258" s="81" t="str">
        <f t="shared" si="133"/>
        <v>IE-WH</v>
      </c>
      <c r="O258" s="81" t="str">
        <f t="shared" si="133"/>
        <v>IE-WX</v>
      </c>
      <c r="P258" s="81" t="str">
        <f t="shared" si="133"/>
        <v>IE-WW</v>
      </c>
      <c r="Q258" s="81" t="str">
        <f t="shared" si="133"/>
        <v>IE-CE</v>
      </c>
      <c r="R258" s="81" t="str">
        <f t="shared" si="133"/>
        <v>IE-CO</v>
      </c>
      <c r="S258" s="81" t="str">
        <f t="shared" si="133"/>
        <v>IE-KY</v>
      </c>
      <c r="T258" s="81" t="str">
        <f t="shared" si="133"/>
        <v>IE-LK</v>
      </c>
      <c r="U258" s="81" t="str">
        <f t="shared" si="133"/>
        <v>IE-TA</v>
      </c>
      <c r="V258" s="81" t="str">
        <f t="shared" si="133"/>
        <v>IE-WD</v>
      </c>
      <c r="W258" s="81" t="str">
        <f t="shared" si="133"/>
        <v>IE-G</v>
      </c>
      <c r="X258" s="81" t="str">
        <f t="shared" si="133"/>
        <v>IE-LM</v>
      </c>
      <c r="Y258" s="81" t="str">
        <f t="shared" si="133"/>
        <v>IE-MO</v>
      </c>
      <c r="Z258" s="81" t="str">
        <f t="shared" si="133"/>
        <v>IE-RN</v>
      </c>
      <c r="AA258" s="81" t="str">
        <f t="shared" si="133"/>
        <v>IE-SO</v>
      </c>
      <c r="AB258" s="81" t="str">
        <f t="shared" si="133"/>
        <v>IE-CN</v>
      </c>
      <c r="AC258" s="81" t="str">
        <f t="shared" si="133"/>
        <v>IE-DL</v>
      </c>
      <c r="AD258" s="81" t="str">
        <f t="shared" si="133"/>
        <v>IE-MN</v>
      </c>
    </row>
    <row r="259" spans="2:30">
      <c r="B259" t="s">
        <v>594</v>
      </c>
      <c r="C259" t="s">
        <v>578</v>
      </c>
      <c r="D259" s="177">
        <f>SUMPRODUCT(D233:D239,D246:D252)</f>
        <v>1.6619529898518981</v>
      </c>
      <c r="E259" s="177">
        <f>IF(E226&gt;1,SUMPRODUCT(E233:E239,E246:E252),$D$210)</f>
        <v>1.6415930285036124</v>
      </c>
      <c r="F259" s="177">
        <f t="shared" ref="F259:AD259" si="134">IF(F226&gt;1,SUMPRODUCT(F233:F239,F246:F252),$D$210)</f>
        <v>1.6824155298383927</v>
      </c>
      <c r="G259" s="177">
        <f t="shared" si="134"/>
        <v>1.6382873945238248</v>
      </c>
      <c r="H259" s="177">
        <f t="shared" si="134"/>
        <v>1.6440804897009154</v>
      </c>
      <c r="I259" s="177">
        <f t="shared" si="134"/>
        <v>1.6514759468771643</v>
      </c>
      <c r="J259" s="177">
        <f t="shared" si="134"/>
        <v>1.6575815691238844</v>
      </c>
      <c r="K259" s="177">
        <f t="shared" si="134"/>
        <v>1.6291996265803439</v>
      </c>
      <c r="L259" s="177">
        <f t="shared" si="134"/>
        <v>1.7027258992750904</v>
      </c>
      <c r="M259" s="177">
        <f t="shared" si="134"/>
        <v>1.6219999252187001</v>
      </c>
      <c r="N259" s="177">
        <f t="shared" si="134"/>
        <v>1.6525696047253173</v>
      </c>
      <c r="O259" s="177">
        <f t="shared" si="134"/>
        <v>1.6163910938385573</v>
      </c>
      <c r="P259" s="177">
        <f t="shared" si="134"/>
        <v>1.6246637483235278</v>
      </c>
      <c r="Q259" s="177">
        <f t="shared" si="134"/>
        <v>1.6510454202444789</v>
      </c>
      <c r="R259" s="177">
        <f t="shared" si="134"/>
        <v>1.6540545361617276</v>
      </c>
      <c r="S259" s="177">
        <f t="shared" si="134"/>
        <v>1.6764124580787587</v>
      </c>
      <c r="T259" s="177">
        <f t="shared" si="134"/>
        <v>1.6372218478027598</v>
      </c>
      <c r="U259" s="177">
        <f t="shared" si="134"/>
        <v>1.6208233994883556</v>
      </c>
      <c r="V259" s="177">
        <f t="shared" si="134"/>
        <v>1.6526445307491071</v>
      </c>
      <c r="W259" s="177">
        <f t="shared" si="134"/>
        <v>1.6961438929638242</v>
      </c>
      <c r="X259" s="177">
        <f t="shared" si="134"/>
        <v>1.6413951213872302</v>
      </c>
      <c r="Y259" s="177">
        <f t="shared" si="134"/>
        <v>1.6281630287089306</v>
      </c>
      <c r="Z259" s="177">
        <f t="shared" si="134"/>
        <v>1.636222953125988</v>
      </c>
      <c r="AA259" s="177">
        <f t="shared" si="134"/>
        <v>1.6286495365749154</v>
      </c>
      <c r="AB259" s="177">
        <f t="shared" si="134"/>
        <v>1.618155975530319</v>
      </c>
      <c r="AC259" s="177">
        <f t="shared" si="134"/>
        <v>1.6292238892424922</v>
      </c>
      <c r="AD259" s="177">
        <f t="shared" si="134"/>
        <v>1.6330547237118052</v>
      </c>
    </row>
    <row r="260" spans="2:30">
      <c r="B260" s="79"/>
      <c r="C260" s="79" t="s">
        <v>566</v>
      </c>
      <c r="D260" s="180">
        <f>1000/D259</f>
        <v>601.70173651488972</v>
      </c>
      <c r="E260" s="180">
        <f>1000/E259</f>
        <v>609.16438035287342</v>
      </c>
      <c r="F260" s="180">
        <f>1000/F259</f>
        <v>594.38348152674075</v>
      </c>
      <c r="G260" s="180">
        <f>1000/G259</f>
        <v>610.39351419208981</v>
      </c>
      <c r="H260" s="180">
        <f t="shared" ref="H260" si="135">1000/H259</f>
        <v>608.24272671827407</v>
      </c>
      <c r="I260" s="180">
        <f t="shared" ref="I260" si="136">1000/I259</f>
        <v>605.51896132119646</v>
      </c>
      <c r="J260" s="180">
        <f t="shared" ref="J260" si="137">1000/J259</f>
        <v>603.28856125526931</v>
      </c>
      <c r="K260" s="180">
        <f t="shared" ref="K260" si="138">1000/K259</f>
        <v>613.79832384259703</v>
      </c>
      <c r="L260" s="180">
        <f t="shared" ref="L260" si="139">1000/L259</f>
        <v>587.29358637566668</v>
      </c>
      <c r="M260" s="180">
        <f t="shared" ref="M260" si="140">1000/M259</f>
        <v>616.52283976842136</v>
      </c>
      <c r="N260" s="180">
        <f t="shared" ref="N260" si="141">1000/N259</f>
        <v>605.11823353196394</v>
      </c>
      <c r="O260" s="180">
        <f t="shared" ref="O260" si="142">1000/O259</f>
        <v>618.66215658565022</v>
      </c>
      <c r="P260" s="180">
        <f t="shared" ref="P260" si="143">1000/P259</f>
        <v>615.51197965233655</v>
      </c>
      <c r="Q260" s="180">
        <f t="shared" ref="Q260" si="144">1000/Q259</f>
        <v>605.67685645615052</v>
      </c>
      <c r="R260" s="180">
        <f t="shared" ref="R260" si="145">1000/R259</f>
        <v>604.57498718302452</v>
      </c>
      <c r="S260" s="180">
        <f t="shared" ref="S260" si="146">1000/S259</f>
        <v>596.51191160082601</v>
      </c>
      <c r="T260" s="180">
        <f t="shared" ref="T260" si="147">1000/T259</f>
        <v>610.79077422650698</v>
      </c>
      <c r="U260" s="180">
        <f t="shared" ref="U260" si="148">1000/U259</f>
        <v>616.9703622958981</v>
      </c>
      <c r="V260" s="180">
        <f t="shared" ref="V260" si="149">1000/V259</f>
        <v>605.09079925779452</v>
      </c>
      <c r="W260" s="180">
        <f t="shared" ref="W260" si="150">1000/W259</f>
        <v>589.57262066522571</v>
      </c>
      <c r="X260" s="180">
        <f t="shared" ref="X260" si="151">1000/X259</f>
        <v>609.23782882627734</v>
      </c>
      <c r="Y260" s="180">
        <f t="shared" ref="Y260" si="152">1000/Y259</f>
        <v>614.18910905559676</v>
      </c>
      <c r="Z260" s="180">
        <f t="shared" ref="Z260" si="153">1000/Z259</f>
        <v>611.16365473880546</v>
      </c>
      <c r="AA260" s="180">
        <f t="shared" ref="AA260" si="154">1000/AA259</f>
        <v>614.00563936119818</v>
      </c>
      <c r="AB260" s="180">
        <f t="shared" ref="AB260" si="155">1000/AB259</f>
        <v>617.98739745856051</v>
      </c>
      <c r="AC260" s="180">
        <f t="shared" ref="AC260" si="156">1000/AC259</f>
        <v>613.78918306000912</v>
      </c>
      <c r="AD260" s="180">
        <f t="shared" ref="AD260" si="157">1000/AD259</f>
        <v>612.34935086993198</v>
      </c>
    </row>
    <row r="264" spans="2:30">
      <c r="B264" s="182"/>
      <c r="C264" s="182"/>
      <c r="D264" s="182"/>
      <c r="E264" s="182"/>
      <c r="F264" s="182"/>
      <c r="G264" s="182"/>
      <c r="H264" s="182"/>
      <c r="I264" s="182"/>
      <c r="J264" s="182"/>
      <c r="K264" s="182"/>
      <c r="L264" s="182"/>
      <c r="M264" s="182"/>
      <c r="N264" s="182"/>
      <c r="O264" s="182"/>
      <c r="P264" s="182"/>
      <c r="Q264" s="182"/>
      <c r="R264" s="182"/>
      <c r="S264" s="182"/>
      <c r="T264" s="182"/>
      <c r="U264" s="182"/>
      <c r="V264" s="182"/>
      <c r="W264" s="182"/>
      <c r="X264" s="182"/>
      <c r="Y264" s="182"/>
      <c r="Z264" s="182"/>
      <c r="AA264" s="182"/>
      <c r="AB264" s="182"/>
      <c r="AC264" s="182"/>
      <c r="AD264" s="182"/>
    </row>
    <row r="265" spans="2:30" ht="15.5">
      <c r="B265" s="101" t="s">
        <v>593</v>
      </c>
    </row>
    <row r="266" spans="2:30">
      <c r="B266" s="81" t="s">
        <v>573</v>
      </c>
      <c r="C266" s="81" t="s">
        <v>63</v>
      </c>
      <c r="D266" s="81" t="str">
        <f t="shared" ref="D266:AD266" si="158">D258</f>
        <v>IE</v>
      </c>
      <c r="E266" s="81" t="str">
        <f t="shared" si="158"/>
        <v>IE-CW</v>
      </c>
      <c r="F266" s="81" t="str">
        <f t="shared" si="158"/>
        <v>IE-D</v>
      </c>
      <c r="G266" s="81" t="str">
        <f t="shared" si="158"/>
        <v>IE-KE</v>
      </c>
      <c r="H266" s="81" t="str">
        <f t="shared" si="158"/>
        <v>IE-KK</v>
      </c>
      <c r="I266" s="81" t="str">
        <f t="shared" si="158"/>
        <v>IE-LS</v>
      </c>
      <c r="J266" s="81" t="str">
        <f t="shared" si="158"/>
        <v>IE-LD</v>
      </c>
      <c r="K266" s="81" t="str">
        <f t="shared" si="158"/>
        <v>IE-LH</v>
      </c>
      <c r="L266" s="81" t="str">
        <f t="shared" si="158"/>
        <v>IE-MH</v>
      </c>
      <c r="M266" s="81" t="str">
        <f t="shared" si="158"/>
        <v>IE-OY</v>
      </c>
      <c r="N266" s="81" t="str">
        <f t="shared" si="158"/>
        <v>IE-WH</v>
      </c>
      <c r="O266" s="81" t="str">
        <f t="shared" si="158"/>
        <v>IE-WX</v>
      </c>
      <c r="P266" s="81" t="str">
        <f t="shared" si="158"/>
        <v>IE-WW</v>
      </c>
      <c r="Q266" s="81" t="str">
        <f t="shared" si="158"/>
        <v>IE-CE</v>
      </c>
      <c r="R266" s="81" t="str">
        <f t="shared" si="158"/>
        <v>IE-CO</v>
      </c>
      <c r="S266" s="81" t="str">
        <f t="shared" si="158"/>
        <v>IE-KY</v>
      </c>
      <c r="T266" s="81" t="str">
        <f t="shared" si="158"/>
        <v>IE-LK</v>
      </c>
      <c r="U266" s="81" t="str">
        <f t="shared" si="158"/>
        <v>IE-TA</v>
      </c>
      <c r="V266" s="81" t="str">
        <f t="shared" si="158"/>
        <v>IE-WD</v>
      </c>
      <c r="W266" s="81" t="str">
        <f t="shared" si="158"/>
        <v>IE-G</v>
      </c>
      <c r="X266" s="81" t="str">
        <f t="shared" si="158"/>
        <v>IE-LM</v>
      </c>
      <c r="Y266" s="81" t="str">
        <f t="shared" si="158"/>
        <v>IE-MO</v>
      </c>
      <c r="Z266" s="81" t="str">
        <f t="shared" si="158"/>
        <v>IE-RN</v>
      </c>
      <c r="AA266" s="81" t="str">
        <f t="shared" si="158"/>
        <v>IE-SO</v>
      </c>
      <c r="AB266" s="81" t="str">
        <f t="shared" si="158"/>
        <v>IE-CN</v>
      </c>
      <c r="AC266" s="81" t="str">
        <f t="shared" si="158"/>
        <v>IE-DL</v>
      </c>
      <c r="AD266" s="81" t="str">
        <f t="shared" si="158"/>
        <v>IE-MN</v>
      </c>
    </row>
    <row r="267" spans="2:30">
      <c r="B267" t="s">
        <v>317</v>
      </c>
      <c r="C267" t="s">
        <v>501</v>
      </c>
      <c r="D267" s="9">
        <f>SUM(E267:AD267)</f>
        <v>2</v>
      </c>
      <c r="E267" s="183">
        <v>0</v>
      </c>
      <c r="F267" s="183">
        <v>0</v>
      </c>
      <c r="G267" s="183">
        <v>0</v>
      </c>
      <c r="H267" s="183">
        <v>0</v>
      </c>
      <c r="I267" s="183">
        <v>0</v>
      </c>
      <c r="J267" s="183">
        <v>0</v>
      </c>
      <c r="K267" s="183">
        <v>0</v>
      </c>
      <c r="L267" s="183">
        <v>0</v>
      </c>
      <c r="M267" s="183">
        <v>0</v>
      </c>
      <c r="N267" s="183">
        <v>0</v>
      </c>
      <c r="O267" s="183">
        <v>0</v>
      </c>
      <c r="P267" s="183">
        <v>0</v>
      </c>
      <c r="Q267" s="183">
        <v>0</v>
      </c>
      <c r="R267" s="183">
        <v>0</v>
      </c>
      <c r="S267" s="183">
        <v>1</v>
      </c>
      <c r="T267" s="183">
        <v>0</v>
      </c>
      <c r="U267" s="183">
        <v>0</v>
      </c>
      <c r="V267" s="183">
        <v>0</v>
      </c>
      <c r="W267" s="183">
        <v>1</v>
      </c>
      <c r="X267" s="183">
        <v>0</v>
      </c>
      <c r="Y267" s="183">
        <v>0</v>
      </c>
      <c r="Z267" s="183">
        <v>0</v>
      </c>
      <c r="AA267" s="183">
        <v>0</v>
      </c>
      <c r="AB267" s="183">
        <v>0</v>
      </c>
      <c r="AC267" s="183">
        <v>0</v>
      </c>
      <c r="AD267" s="183">
        <v>0</v>
      </c>
    </row>
    <row r="268" spans="2:30">
      <c r="B268" t="s">
        <v>318</v>
      </c>
      <c r="C268" t="s">
        <v>501</v>
      </c>
      <c r="D268" s="9">
        <f t="shared" ref="D268:D273" si="159">SUM(E268:AD268)</f>
        <v>0</v>
      </c>
      <c r="E268" s="183">
        <v>0</v>
      </c>
      <c r="F268" s="183">
        <v>0</v>
      </c>
      <c r="G268" s="183">
        <v>0</v>
      </c>
      <c r="H268" s="183">
        <v>0</v>
      </c>
      <c r="I268" s="183">
        <v>0</v>
      </c>
      <c r="J268" s="183">
        <v>0</v>
      </c>
      <c r="K268" s="183">
        <v>0</v>
      </c>
      <c r="L268" s="183">
        <v>0</v>
      </c>
      <c r="M268" s="183">
        <v>0</v>
      </c>
      <c r="N268" s="183">
        <v>0</v>
      </c>
      <c r="O268" s="183">
        <v>0</v>
      </c>
      <c r="P268" s="183">
        <v>0</v>
      </c>
      <c r="Q268" s="183">
        <v>0</v>
      </c>
      <c r="R268" s="183">
        <v>0</v>
      </c>
      <c r="S268" s="183">
        <v>0</v>
      </c>
      <c r="T268" s="183">
        <v>0</v>
      </c>
      <c r="U268" s="183">
        <v>0</v>
      </c>
      <c r="V268" s="183">
        <v>0</v>
      </c>
      <c r="W268" s="183">
        <v>0</v>
      </c>
      <c r="X268" s="183">
        <v>0</v>
      </c>
      <c r="Y268" s="183">
        <v>0</v>
      </c>
      <c r="Z268" s="183">
        <v>0</v>
      </c>
      <c r="AA268" s="183">
        <v>0</v>
      </c>
      <c r="AB268" s="183">
        <v>0</v>
      </c>
      <c r="AC268" s="183">
        <v>0</v>
      </c>
      <c r="AD268" s="183">
        <v>0</v>
      </c>
    </row>
    <row r="269" spans="2:30">
      <c r="B269" t="s">
        <v>319</v>
      </c>
      <c r="C269" t="s">
        <v>501</v>
      </c>
      <c r="D269" s="9">
        <f t="shared" si="159"/>
        <v>3181</v>
      </c>
      <c r="E269" s="183">
        <v>26</v>
      </c>
      <c r="F269" s="183">
        <v>122</v>
      </c>
      <c r="G269" s="183">
        <v>40</v>
      </c>
      <c r="H269" s="183">
        <v>187</v>
      </c>
      <c r="I269" s="183">
        <v>39</v>
      </c>
      <c r="J269" s="183">
        <v>75</v>
      </c>
      <c r="K269" s="183">
        <v>10</v>
      </c>
      <c r="L269" s="183">
        <v>35</v>
      </c>
      <c r="M269" s="183">
        <v>11</v>
      </c>
      <c r="N269" s="183">
        <v>50</v>
      </c>
      <c r="O269" s="183">
        <v>31</v>
      </c>
      <c r="P269" s="183">
        <v>67</v>
      </c>
      <c r="Q269" s="183">
        <v>52</v>
      </c>
      <c r="R269" s="183">
        <v>216</v>
      </c>
      <c r="S269" s="183">
        <v>109</v>
      </c>
      <c r="T269" s="183">
        <v>9</v>
      </c>
      <c r="U269" s="183">
        <v>16</v>
      </c>
      <c r="V269" s="183">
        <v>70</v>
      </c>
      <c r="W269" s="183">
        <v>1666</v>
      </c>
      <c r="X269" s="183">
        <v>55</v>
      </c>
      <c r="Y269" s="183">
        <v>58</v>
      </c>
      <c r="Z269" s="183">
        <v>35</v>
      </c>
      <c r="AA269" s="183">
        <v>18</v>
      </c>
      <c r="AB269" s="183">
        <v>23</v>
      </c>
      <c r="AC269" s="183">
        <v>20</v>
      </c>
      <c r="AD269" s="183">
        <v>141</v>
      </c>
    </row>
    <row r="270" spans="2:30">
      <c r="B270" t="s">
        <v>320</v>
      </c>
      <c r="C270" t="s">
        <v>501</v>
      </c>
      <c r="D270" s="9">
        <f t="shared" si="159"/>
        <v>7669</v>
      </c>
      <c r="E270" s="183">
        <v>57</v>
      </c>
      <c r="F270" s="183">
        <v>320</v>
      </c>
      <c r="G270" s="183">
        <v>170</v>
      </c>
      <c r="H270" s="183">
        <v>357</v>
      </c>
      <c r="I270" s="183">
        <v>118</v>
      </c>
      <c r="J270" s="183">
        <v>219</v>
      </c>
      <c r="K270" s="183">
        <v>38</v>
      </c>
      <c r="L270" s="183">
        <v>107</v>
      </c>
      <c r="M270" s="183">
        <v>49</v>
      </c>
      <c r="N270" s="183">
        <v>134</v>
      </c>
      <c r="O270" s="183">
        <v>157</v>
      </c>
      <c r="P270" s="183">
        <v>177</v>
      </c>
      <c r="Q270" s="183">
        <v>151</v>
      </c>
      <c r="R270" s="183">
        <v>702</v>
      </c>
      <c r="S270" s="183">
        <v>406</v>
      </c>
      <c r="T270" s="183">
        <v>25</v>
      </c>
      <c r="U270" s="183">
        <v>107</v>
      </c>
      <c r="V270" s="183">
        <v>155</v>
      </c>
      <c r="W270" s="183">
        <v>3249</v>
      </c>
      <c r="X270" s="183">
        <v>89</v>
      </c>
      <c r="Y270" s="183">
        <v>187</v>
      </c>
      <c r="Z270" s="183">
        <v>117</v>
      </c>
      <c r="AA270" s="183">
        <v>58</v>
      </c>
      <c r="AB270" s="183">
        <v>74</v>
      </c>
      <c r="AC270" s="183">
        <v>189</v>
      </c>
      <c r="AD270" s="183">
        <v>257</v>
      </c>
    </row>
    <row r="271" spans="2:30">
      <c r="B271" t="s">
        <v>321</v>
      </c>
      <c r="C271" t="s">
        <v>501</v>
      </c>
      <c r="D271" s="9">
        <f t="shared" si="159"/>
        <v>12248</v>
      </c>
      <c r="E271" s="183">
        <v>75</v>
      </c>
      <c r="F271" s="183">
        <v>421</v>
      </c>
      <c r="G271" s="183">
        <v>250</v>
      </c>
      <c r="H271" s="183">
        <v>607</v>
      </c>
      <c r="I271" s="183">
        <v>153</v>
      </c>
      <c r="J271" s="183">
        <v>381</v>
      </c>
      <c r="K271" s="183">
        <v>81</v>
      </c>
      <c r="L271" s="183">
        <v>212</v>
      </c>
      <c r="M271" s="183">
        <v>69</v>
      </c>
      <c r="N271" s="183">
        <v>152</v>
      </c>
      <c r="O271" s="183">
        <v>221</v>
      </c>
      <c r="P271" s="183">
        <v>279</v>
      </c>
      <c r="Q271" s="183">
        <v>197</v>
      </c>
      <c r="R271" s="183">
        <v>1273</v>
      </c>
      <c r="S271" s="183">
        <v>710</v>
      </c>
      <c r="T271" s="183">
        <v>39</v>
      </c>
      <c r="U271" s="183">
        <v>121</v>
      </c>
      <c r="V271" s="183">
        <v>239</v>
      </c>
      <c r="W271" s="183">
        <v>5301</v>
      </c>
      <c r="X271" s="183">
        <v>121</v>
      </c>
      <c r="Y271" s="183">
        <v>252</v>
      </c>
      <c r="Z271" s="183">
        <v>133</v>
      </c>
      <c r="AA271" s="183">
        <v>124</v>
      </c>
      <c r="AB271" s="183">
        <v>107</v>
      </c>
      <c r="AC271" s="183">
        <v>278</v>
      </c>
      <c r="AD271" s="183">
        <v>452</v>
      </c>
    </row>
    <row r="272" spans="2:30">
      <c r="B272" t="s">
        <v>322</v>
      </c>
      <c r="C272" t="s">
        <v>501</v>
      </c>
      <c r="D272" s="9">
        <f t="shared" si="159"/>
        <v>157</v>
      </c>
      <c r="E272" s="183">
        <v>1</v>
      </c>
      <c r="F272" s="183">
        <v>8</v>
      </c>
      <c r="G272" s="183">
        <v>4</v>
      </c>
      <c r="H272" s="183">
        <v>8</v>
      </c>
      <c r="I272" s="183">
        <v>0</v>
      </c>
      <c r="J272" s="183">
        <v>4</v>
      </c>
      <c r="K272" s="183">
        <v>0</v>
      </c>
      <c r="L272" s="183">
        <v>1</v>
      </c>
      <c r="M272" s="183">
        <v>1</v>
      </c>
      <c r="N272" s="183">
        <v>4</v>
      </c>
      <c r="O272" s="183">
        <v>2</v>
      </c>
      <c r="P272" s="183">
        <v>1</v>
      </c>
      <c r="Q272" s="183">
        <v>1</v>
      </c>
      <c r="R272" s="183">
        <v>14</v>
      </c>
      <c r="S272" s="183">
        <v>11</v>
      </c>
      <c r="T272" s="183">
        <v>0</v>
      </c>
      <c r="U272" s="183">
        <v>1</v>
      </c>
      <c r="V272" s="183">
        <v>3</v>
      </c>
      <c r="W272" s="183">
        <v>81</v>
      </c>
      <c r="X272" s="183">
        <v>1</v>
      </c>
      <c r="Y272" s="183">
        <v>2</v>
      </c>
      <c r="Z272" s="183">
        <v>1</v>
      </c>
      <c r="AA272" s="183">
        <v>2</v>
      </c>
      <c r="AB272" s="183">
        <v>0</v>
      </c>
      <c r="AC272" s="183">
        <v>2</v>
      </c>
      <c r="AD272" s="183">
        <v>4</v>
      </c>
    </row>
    <row r="273" spans="2:30">
      <c r="B273" t="s">
        <v>323</v>
      </c>
      <c r="C273" t="s">
        <v>501</v>
      </c>
      <c r="D273" s="9">
        <f t="shared" si="159"/>
        <v>6543</v>
      </c>
      <c r="E273" s="183">
        <v>46</v>
      </c>
      <c r="F273" s="183">
        <v>238</v>
      </c>
      <c r="G273" s="183">
        <v>108</v>
      </c>
      <c r="H273" s="183">
        <v>269</v>
      </c>
      <c r="I273" s="183">
        <v>55</v>
      </c>
      <c r="J273" s="183">
        <v>126</v>
      </c>
      <c r="K273" s="183">
        <v>30</v>
      </c>
      <c r="L273" s="183">
        <v>102</v>
      </c>
      <c r="M273" s="183">
        <v>31</v>
      </c>
      <c r="N273" s="183">
        <v>78</v>
      </c>
      <c r="O273" s="183">
        <v>77</v>
      </c>
      <c r="P273" s="183">
        <v>92</v>
      </c>
      <c r="Q273" s="183">
        <v>91</v>
      </c>
      <c r="R273" s="183">
        <v>724</v>
      </c>
      <c r="S273" s="183">
        <v>426</v>
      </c>
      <c r="T273" s="183">
        <v>17</v>
      </c>
      <c r="U273" s="183">
        <v>28</v>
      </c>
      <c r="V273" s="183">
        <v>98</v>
      </c>
      <c r="W273" s="183">
        <v>3271</v>
      </c>
      <c r="X273" s="183">
        <v>41</v>
      </c>
      <c r="Y273" s="183">
        <v>84</v>
      </c>
      <c r="Z273" s="183">
        <v>61</v>
      </c>
      <c r="AA273" s="183">
        <v>63</v>
      </c>
      <c r="AB273" s="183">
        <v>52</v>
      </c>
      <c r="AC273" s="183">
        <v>84</v>
      </c>
      <c r="AD273" s="183">
        <v>251</v>
      </c>
    </row>
    <row r="274" spans="2:30">
      <c r="B274" s="79" t="s">
        <v>16</v>
      </c>
      <c r="C274" s="79" t="s">
        <v>501</v>
      </c>
      <c r="D274" s="176">
        <f>SUM(D267:D273)</f>
        <v>29800</v>
      </c>
      <c r="E274" s="176">
        <f>SUM(E267:E273)</f>
        <v>205</v>
      </c>
      <c r="F274" s="176">
        <f t="shared" ref="F274" si="160">SUM(F267:F273)</f>
        <v>1109</v>
      </c>
      <c r="G274" s="176">
        <f t="shared" ref="G274" si="161">SUM(G267:G273)</f>
        <v>572</v>
      </c>
      <c r="H274" s="176">
        <f t="shared" ref="H274" si="162">SUM(H267:H273)</f>
        <v>1428</v>
      </c>
      <c r="I274" s="176">
        <f t="shared" ref="I274" si="163">SUM(I267:I273)</f>
        <v>365</v>
      </c>
      <c r="J274" s="176">
        <f t="shared" ref="J274" si="164">SUM(J267:J273)</f>
        <v>805</v>
      </c>
      <c r="K274" s="176">
        <f t="shared" ref="K274" si="165">SUM(K267:K273)</f>
        <v>159</v>
      </c>
      <c r="L274" s="176">
        <f t="shared" ref="L274" si="166">SUM(L267:L273)</f>
        <v>457</v>
      </c>
      <c r="M274" s="176">
        <f t="shared" ref="M274" si="167">SUM(M267:M273)</f>
        <v>161</v>
      </c>
      <c r="N274" s="176">
        <f t="shared" ref="N274" si="168">SUM(N267:N273)</f>
        <v>418</v>
      </c>
      <c r="O274" s="176">
        <f t="shared" ref="O274" si="169">SUM(O267:O273)</f>
        <v>488</v>
      </c>
      <c r="P274" s="176">
        <f t="shared" ref="P274" si="170">SUM(P267:P273)</f>
        <v>616</v>
      </c>
      <c r="Q274" s="176">
        <f t="shared" ref="Q274" si="171">SUM(Q267:Q273)</f>
        <v>492</v>
      </c>
      <c r="R274" s="176">
        <f t="shared" ref="R274" si="172">SUM(R267:R273)</f>
        <v>2929</v>
      </c>
      <c r="S274" s="176">
        <f t="shared" ref="S274" si="173">SUM(S267:S273)</f>
        <v>1663</v>
      </c>
      <c r="T274" s="176">
        <f t="shared" ref="T274" si="174">SUM(T267:T273)</f>
        <v>90</v>
      </c>
      <c r="U274" s="176">
        <f t="shared" ref="U274" si="175">SUM(U267:U273)</f>
        <v>273</v>
      </c>
      <c r="V274" s="176">
        <f t="shared" ref="V274" si="176">SUM(V267:V273)</f>
        <v>565</v>
      </c>
      <c r="W274" s="176">
        <f t="shared" ref="W274" si="177">SUM(W267:W273)</f>
        <v>13569</v>
      </c>
      <c r="X274" s="176">
        <f t="shared" ref="X274" si="178">SUM(X267:X273)</f>
        <v>307</v>
      </c>
      <c r="Y274" s="176">
        <f t="shared" ref="Y274" si="179">SUM(Y267:Y273)</f>
        <v>583</v>
      </c>
      <c r="Z274" s="176">
        <f t="shared" ref="Z274" si="180">SUM(Z267:Z273)</f>
        <v>347</v>
      </c>
      <c r="AA274" s="176">
        <f t="shared" ref="AA274" si="181">SUM(AA267:AA273)</f>
        <v>265</v>
      </c>
      <c r="AB274" s="176">
        <f t="shared" ref="AB274" si="182">SUM(AB267:AB273)</f>
        <v>256</v>
      </c>
      <c r="AC274" s="176">
        <f t="shared" ref="AC274" si="183">SUM(AC267:AC273)</f>
        <v>573</v>
      </c>
      <c r="AD274" s="176">
        <f t="shared" ref="AD274" si="184">SUM(AD267:AD273)</f>
        <v>1105</v>
      </c>
    </row>
    <row r="275" spans="2:30">
      <c r="B275" t="s">
        <v>584</v>
      </c>
    </row>
    <row r="279" spans="2:30" ht="15.5">
      <c r="B279" s="101" t="s">
        <v>592</v>
      </c>
    </row>
    <row r="280" spans="2:30">
      <c r="B280" s="81" t="s">
        <v>573</v>
      </c>
      <c r="C280" s="81" t="s">
        <v>63</v>
      </c>
      <c r="D280" s="81" t="str">
        <f>D266</f>
        <v>IE</v>
      </c>
      <c r="E280" s="81" t="str">
        <f t="shared" ref="E280:AD280" si="185">E266</f>
        <v>IE-CW</v>
      </c>
      <c r="F280" s="81" t="str">
        <f t="shared" si="185"/>
        <v>IE-D</v>
      </c>
      <c r="G280" s="81" t="str">
        <f t="shared" si="185"/>
        <v>IE-KE</v>
      </c>
      <c r="H280" s="81" t="str">
        <f t="shared" si="185"/>
        <v>IE-KK</v>
      </c>
      <c r="I280" s="81" t="str">
        <f t="shared" si="185"/>
        <v>IE-LS</v>
      </c>
      <c r="J280" s="81" t="str">
        <f t="shared" si="185"/>
        <v>IE-LD</v>
      </c>
      <c r="K280" s="81" t="str">
        <f t="shared" si="185"/>
        <v>IE-LH</v>
      </c>
      <c r="L280" s="81" t="str">
        <f t="shared" si="185"/>
        <v>IE-MH</v>
      </c>
      <c r="M280" s="81" t="str">
        <f t="shared" si="185"/>
        <v>IE-OY</v>
      </c>
      <c r="N280" s="81" t="str">
        <f t="shared" si="185"/>
        <v>IE-WH</v>
      </c>
      <c r="O280" s="81" t="str">
        <f t="shared" si="185"/>
        <v>IE-WX</v>
      </c>
      <c r="P280" s="81" t="str">
        <f t="shared" si="185"/>
        <v>IE-WW</v>
      </c>
      <c r="Q280" s="81" t="str">
        <f t="shared" si="185"/>
        <v>IE-CE</v>
      </c>
      <c r="R280" s="81" t="str">
        <f t="shared" si="185"/>
        <v>IE-CO</v>
      </c>
      <c r="S280" s="81" t="str">
        <f t="shared" si="185"/>
        <v>IE-KY</v>
      </c>
      <c r="T280" s="81" t="str">
        <f t="shared" si="185"/>
        <v>IE-LK</v>
      </c>
      <c r="U280" s="81" t="str">
        <f t="shared" si="185"/>
        <v>IE-TA</v>
      </c>
      <c r="V280" s="81" t="str">
        <f t="shared" si="185"/>
        <v>IE-WD</v>
      </c>
      <c r="W280" s="81" t="str">
        <f t="shared" si="185"/>
        <v>IE-G</v>
      </c>
      <c r="X280" s="81" t="str">
        <f t="shared" si="185"/>
        <v>IE-LM</v>
      </c>
      <c r="Y280" s="81" t="str">
        <f t="shared" si="185"/>
        <v>IE-MO</v>
      </c>
      <c r="Z280" s="81" t="str">
        <f t="shared" si="185"/>
        <v>IE-RN</v>
      </c>
      <c r="AA280" s="81" t="str">
        <f t="shared" si="185"/>
        <v>IE-SO</v>
      </c>
      <c r="AB280" s="81" t="str">
        <f t="shared" si="185"/>
        <v>IE-CN</v>
      </c>
      <c r="AC280" s="81" t="str">
        <f t="shared" si="185"/>
        <v>IE-DL</v>
      </c>
      <c r="AD280" s="81" t="str">
        <f t="shared" si="185"/>
        <v>IE-MN</v>
      </c>
    </row>
    <row r="281" spans="2:30">
      <c r="B281" t="s">
        <v>317</v>
      </c>
      <c r="C281" s="179" t="s">
        <v>577</v>
      </c>
      <c r="D281" s="29">
        <f t="shared" ref="D281:AD281" si="186">D267/D$274</f>
        <v>6.7114093959731537E-5</v>
      </c>
      <c r="E281" s="29">
        <f t="shared" si="186"/>
        <v>0</v>
      </c>
      <c r="F281" s="29">
        <f t="shared" si="186"/>
        <v>0</v>
      </c>
      <c r="G281" s="29">
        <f t="shared" si="186"/>
        <v>0</v>
      </c>
      <c r="H281" s="29">
        <f t="shared" si="186"/>
        <v>0</v>
      </c>
      <c r="I281" s="29">
        <f t="shared" si="186"/>
        <v>0</v>
      </c>
      <c r="J281" s="29">
        <f t="shared" si="186"/>
        <v>0</v>
      </c>
      <c r="K281" s="29">
        <f t="shared" si="186"/>
        <v>0</v>
      </c>
      <c r="L281" s="29">
        <f t="shared" si="186"/>
        <v>0</v>
      </c>
      <c r="M281" s="29">
        <f t="shared" si="186"/>
        <v>0</v>
      </c>
      <c r="N281" s="29">
        <f t="shared" si="186"/>
        <v>0</v>
      </c>
      <c r="O281" s="29">
        <f t="shared" si="186"/>
        <v>0</v>
      </c>
      <c r="P281" s="29">
        <f t="shared" si="186"/>
        <v>0</v>
      </c>
      <c r="Q281" s="29">
        <f t="shared" si="186"/>
        <v>0</v>
      </c>
      <c r="R281" s="29">
        <f t="shared" si="186"/>
        <v>0</v>
      </c>
      <c r="S281" s="29">
        <f t="shared" si="186"/>
        <v>6.0132291040288638E-4</v>
      </c>
      <c r="T281" s="29">
        <f t="shared" si="186"/>
        <v>0</v>
      </c>
      <c r="U281" s="29">
        <f t="shared" si="186"/>
        <v>0</v>
      </c>
      <c r="V281" s="29">
        <f t="shared" si="186"/>
        <v>0</v>
      </c>
      <c r="W281" s="29">
        <f t="shared" si="186"/>
        <v>7.3697398481833586E-5</v>
      </c>
      <c r="X281" s="29">
        <f t="shared" si="186"/>
        <v>0</v>
      </c>
      <c r="Y281" s="29">
        <f t="shared" si="186"/>
        <v>0</v>
      </c>
      <c r="Z281" s="29">
        <f t="shared" si="186"/>
        <v>0</v>
      </c>
      <c r="AA281" s="29">
        <f t="shared" si="186"/>
        <v>0</v>
      </c>
      <c r="AB281" s="29">
        <f t="shared" si="186"/>
        <v>0</v>
      </c>
      <c r="AC281" s="29">
        <f t="shared" si="186"/>
        <v>0</v>
      </c>
      <c r="AD281" s="29">
        <f t="shared" si="186"/>
        <v>0</v>
      </c>
    </row>
    <row r="282" spans="2:30">
      <c r="B282" t="s">
        <v>318</v>
      </c>
      <c r="C282" t="s">
        <v>577</v>
      </c>
      <c r="D282" s="29">
        <f t="shared" ref="D282:S287" si="187">D268/D$274</f>
        <v>0</v>
      </c>
      <c r="E282" s="29">
        <f t="shared" si="187"/>
        <v>0</v>
      </c>
      <c r="F282" s="29">
        <f t="shared" si="187"/>
        <v>0</v>
      </c>
      <c r="G282" s="29">
        <f t="shared" si="187"/>
        <v>0</v>
      </c>
      <c r="H282" s="29">
        <f t="shared" si="187"/>
        <v>0</v>
      </c>
      <c r="I282" s="29">
        <f t="shared" si="187"/>
        <v>0</v>
      </c>
      <c r="J282" s="29">
        <f t="shared" si="187"/>
        <v>0</v>
      </c>
      <c r="K282" s="29">
        <f t="shared" si="187"/>
        <v>0</v>
      </c>
      <c r="L282" s="29">
        <f t="shared" si="187"/>
        <v>0</v>
      </c>
      <c r="M282" s="29">
        <f t="shared" si="187"/>
        <v>0</v>
      </c>
      <c r="N282" s="29">
        <f t="shared" si="187"/>
        <v>0</v>
      </c>
      <c r="O282" s="29">
        <f t="shared" si="187"/>
        <v>0</v>
      </c>
      <c r="P282" s="29">
        <f t="shared" si="187"/>
        <v>0</v>
      </c>
      <c r="Q282" s="29">
        <f t="shared" si="187"/>
        <v>0</v>
      </c>
      <c r="R282" s="29">
        <f t="shared" si="187"/>
        <v>0</v>
      </c>
      <c r="S282" s="29">
        <f t="shared" si="187"/>
        <v>0</v>
      </c>
      <c r="T282" s="29">
        <f t="shared" ref="T282:AD282" si="188">T268/T$274</f>
        <v>0</v>
      </c>
      <c r="U282" s="29">
        <f t="shared" si="188"/>
        <v>0</v>
      </c>
      <c r="V282" s="29">
        <f t="shared" si="188"/>
        <v>0</v>
      </c>
      <c r="W282" s="29">
        <f t="shared" si="188"/>
        <v>0</v>
      </c>
      <c r="X282" s="29">
        <f t="shared" si="188"/>
        <v>0</v>
      </c>
      <c r="Y282" s="29">
        <f t="shared" si="188"/>
        <v>0</v>
      </c>
      <c r="Z282" s="29">
        <f t="shared" si="188"/>
        <v>0</v>
      </c>
      <c r="AA282" s="29">
        <f t="shared" si="188"/>
        <v>0</v>
      </c>
      <c r="AB282" s="29">
        <f t="shared" si="188"/>
        <v>0</v>
      </c>
      <c r="AC282" s="29">
        <f t="shared" si="188"/>
        <v>0</v>
      </c>
      <c r="AD282" s="29">
        <f t="shared" si="188"/>
        <v>0</v>
      </c>
    </row>
    <row r="283" spans="2:30">
      <c r="B283" t="s">
        <v>319</v>
      </c>
      <c r="C283" t="s">
        <v>577</v>
      </c>
      <c r="D283" s="29">
        <f t="shared" si="187"/>
        <v>0.10674496644295302</v>
      </c>
      <c r="E283" s="29">
        <f t="shared" ref="E283:S283" si="189">E269/E$274</f>
        <v>0.12682926829268293</v>
      </c>
      <c r="F283" s="29">
        <f t="shared" si="189"/>
        <v>0.11000901713255185</v>
      </c>
      <c r="G283" s="29">
        <f t="shared" si="189"/>
        <v>6.9930069930069935E-2</v>
      </c>
      <c r="H283" s="29">
        <f t="shared" si="189"/>
        <v>0.13095238095238096</v>
      </c>
      <c r="I283" s="29">
        <f t="shared" si="189"/>
        <v>0.10684931506849316</v>
      </c>
      <c r="J283" s="29">
        <f t="shared" si="189"/>
        <v>9.3167701863354033E-2</v>
      </c>
      <c r="K283" s="29">
        <f t="shared" si="189"/>
        <v>6.2893081761006289E-2</v>
      </c>
      <c r="L283" s="29">
        <f t="shared" si="189"/>
        <v>7.6586433260393869E-2</v>
      </c>
      <c r="M283" s="29">
        <f t="shared" si="189"/>
        <v>6.8322981366459631E-2</v>
      </c>
      <c r="N283" s="29">
        <f t="shared" si="189"/>
        <v>0.11961722488038277</v>
      </c>
      <c r="O283" s="29">
        <f t="shared" si="189"/>
        <v>6.3524590163934427E-2</v>
      </c>
      <c r="P283" s="29">
        <f t="shared" si="189"/>
        <v>0.10876623376623376</v>
      </c>
      <c r="Q283" s="29">
        <f t="shared" si="189"/>
        <v>0.10569105691056911</v>
      </c>
      <c r="R283" s="29">
        <f t="shared" si="189"/>
        <v>7.3745305565039262E-2</v>
      </c>
      <c r="S283" s="29">
        <f t="shared" si="189"/>
        <v>6.5544197233914608E-2</v>
      </c>
      <c r="T283" s="29">
        <f t="shared" ref="T283:AD283" si="190">T269/T$274</f>
        <v>0.1</v>
      </c>
      <c r="U283" s="29">
        <f t="shared" si="190"/>
        <v>5.8608058608058608E-2</v>
      </c>
      <c r="V283" s="29">
        <f t="shared" si="190"/>
        <v>0.12389380530973451</v>
      </c>
      <c r="W283" s="29">
        <f t="shared" si="190"/>
        <v>0.12277986587073476</v>
      </c>
      <c r="X283" s="29">
        <f t="shared" si="190"/>
        <v>0.17915309446254071</v>
      </c>
      <c r="Y283" s="29">
        <f t="shared" si="190"/>
        <v>9.9485420240137221E-2</v>
      </c>
      <c r="Z283" s="29">
        <f t="shared" si="190"/>
        <v>0.10086455331412104</v>
      </c>
      <c r="AA283" s="29">
        <f t="shared" si="190"/>
        <v>6.7924528301886791E-2</v>
      </c>
      <c r="AB283" s="29">
        <f t="shared" si="190"/>
        <v>8.984375E-2</v>
      </c>
      <c r="AC283" s="29">
        <f t="shared" si="190"/>
        <v>3.4904013961605584E-2</v>
      </c>
      <c r="AD283" s="29">
        <f t="shared" si="190"/>
        <v>0.12760180995475112</v>
      </c>
    </row>
    <row r="284" spans="2:30">
      <c r="B284" t="s">
        <v>320</v>
      </c>
      <c r="C284" t="s">
        <v>577</v>
      </c>
      <c r="D284" s="29">
        <f t="shared" si="187"/>
        <v>0.25734899328859062</v>
      </c>
      <c r="E284" s="29">
        <f t="shared" si="187"/>
        <v>0.2780487804878049</v>
      </c>
      <c r="F284" s="29">
        <f t="shared" si="187"/>
        <v>0.28854824165915238</v>
      </c>
      <c r="G284" s="29">
        <f t="shared" si="187"/>
        <v>0.29720279720279719</v>
      </c>
      <c r="H284" s="29">
        <f t="shared" si="187"/>
        <v>0.25</v>
      </c>
      <c r="I284" s="29">
        <f t="shared" si="187"/>
        <v>0.32328767123287672</v>
      </c>
      <c r="J284" s="29">
        <f t="shared" si="187"/>
        <v>0.27204968944099378</v>
      </c>
      <c r="K284" s="29">
        <f t="shared" si="187"/>
        <v>0.2389937106918239</v>
      </c>
      <c r="L284" s="29">
        <f t="shared" si="187"/>
        <v>0.23413566739606126</v>
      </c>
      <c r="M284" s="29">
        <f t="shared" si="187"/>
        <v>0.30434782608695654</v>
      </c>
      <c r="N284" s="29">
        <f t="shared" si="187"/>
        <v>0.32057416267942584</v>
      </c>
      <c r="O284" s="29">
        <f t="shared" si="187"/>
        <v>0.32172131147540983</v>
      </c>
      <c r="P284" s="29">
        <f t="shared" si="187"/>
        <v>0.28733766233766234</v>
      </c>
      <c r="Q284" s="29">
        <f t="shared" si="187"/>
        <v>0.30691056910569103</v>
      </c>
      <c r="R284" s="29">
        <f t="shared" si="187"/>
        <v>0.23967224308637761</v>
      </c>
      <c r="S284" s="29">
        <f t="shared" si="187"/>
        <v>0.24413710162357186</v>
      </c>
      <c r="T284" s="29">
        <f t="shared" ref="T284:AD284" si="191">T270/T$274</f>
        <v>0.27777777777777779</v>
      </c>
      <c r="U284" s="29">
        <f t="shared" si="191"/>
        <v>0.39194139194139194</v>
      </c>
      <c r="V284" s="29">
        <f t="shared" si="191"/>
        <v>0.27433628318584069</v>
      </c>
      <c r="W284" s="29">
        <f t="shared" si="191"/>
        <v>0.23944284766747734</v>
      </c>
      <c r="X284" s="29">
        <f t="shared" si="191"/>
        <v>0.28990228013029318</v>
      </c>
      <c r="Y284" s="29">
        <f t="shared" si="191"/>
        <v>0.32075471698113206</v>
      </c>
      <c r="Z284" s="29">
        <f t="shared" si="191"/>
        <v>0.33717579250720459</v>
      </c>
      <c r="AA284" s="29">
        <f t="shared" si="191"/>
        <v>0.21886792452830189</v>
      </c>
      <c r="AB284" s="29">
        <f t="shared" si="191"/>
        <v>0.2890625</v>
      </c>
      <c r="AC284" s="29">
        <f t="shared" si="191"/>
        <v>0.32984293193717279</v>
      </c>
      <c r="AD284" s="29">
        <f t="shared" si="191"/>
        <v>0.232579185520362</v>
      </c>
    </row>
    <row r="285" spans="2:30">
      <c r="B285" t="s">
        <v>321</v>
      </c>
      <c r="C285" t="s">
        <v>577</v>
      </c>
      <c r="D285" s="29">
        <f t="shared" si="187"/>
        <v>0.41100671140939599</v>
      </c>
      <c r="E285" s="29">
        <f t="shared" si="187"/>
        <v>0.36585365853658536</v>
      </c>
      <c r="F285" s="29">
        <f t="shared" si="187"/>
        <v>0.37962128043282234</v>
      </c>
      <c r="G285" s="29">
        <f t="shared" si="187"/>
        <v>0.43706293706293708</v>
      </c>
      <c r="H285" s="29">
        <f t="shared" si="187"/>
        <v>0.42507002801120447</v>
      </c>
      <c r="I285" s="29">
        <f t="shared" si="187"/>
        <v>0.41917808219178082</v>
      </c>
      <c r="J285" s="29">
        <f t="shared" si="187"/>
        <v>0.47329192546583854</v>
      </c>
      <c r="K285" s="29">
        <f t="shared" si="187"/>
        <v>0.50943396226415094</v>
      </c>
      <c r="L285" s="29">
        <f t="shared" si="187"/>
        <v>0.46389496717724288</v>
      </c>
      <c r="M285" s="29">
        <f t="shared" si="187"/>
        <v>0.42857142857142855</v>
      </c>
      <c r="N285" s="29">
        <f t="shared" si="187"/>
        <v>0.36363636363636365</v>
      </c>
      <c r="O285" s="29">
        <f t="shared" si="187"/>
        <v>0.45286885245901637</v>
      </c>
      <c r="P285" s="29">
        <f t="shared" si="187"/>
        <v>0.45292207792207795</v>
      </c>
      <c r="Q285" s="29">
        <f t="shared" si="187"/>
        <v>0.40040650406504064</v>
      </c>
      <c r="R285" s="29">
        <f t="shared" si="187"/>
        <v>0.43461932400136566</v>
      </c>
      <c r="S285" s="29">
        <f t="shared" si="187"/>
        <v>0.42693926638604929</v>
      </c>
      <c r="T285" s="29">
        <f t="shared" ref="T285:AD285" si="192">T271/T$274</f>
        <v>0.43333333333333335</v>
      </c>
      <c r="U285" s="29">
        <f t="shared" si="192"/>
        <v>0.4432234432234432</v>
      </c>
      <c r="V285" s="29">
        <f t="shared" si="192"/>
        <v>0.4230088495575221</v>
      </c>
      <c r="W285" s="29">
        <f t="shared" si="192"/>
        <v>0.39066990935219986</v>
      </c>
      <c r="X285" s="29">
        <f t="shared" si="192"/>
        <v>0.39413680781758959</v>
      </c>
      <c r="Y285" s="29">
        <f t="shared" si="192"/>
        <v>0.43224699828473412</v>
      </c>
      <c r="Z285" s="29">
        <f t="shared" si="192"/>
        <v>0.38328530259365995</v>
      </c>
      <c r="AA285" s="29">
        <f t="shared" si="192"/>
        <v>0.4679245283018868</v>
      </c>
      <c r="AB285" s="29">
        <f t="shared" si="192"/>
        <v>0.41796875</v>
      </c>
      <c r="AC285" s="29">
        <f t="shared" si="192"/>
        <v>0.4851657940663176</v>
      </c>
      <c r="AD285" s="29">
        <f t="shared" si="192"/>
        <v>0.4090497737556561</v>
      </c>
    </row>
    <row r="286" spans="2:30">
      <c r="B286" t="s">
        <v>322</v>
      </c>
      <c r="C286" t="s">
        <v>577</v>
      </c>
      <c r="D286" s="29">
        <f t="shared" si="187"/>
        <v>5.2684563758389263E-3</v>
      </c>
      <c r="E286" s="29">
        <f t="shared" si="187"/>
        <v>4.8780487804878049E-3</v>
      </c>
      <c r="F286" s="29">
        <f t="shared" si="187"/>
        <v>7.2137060414788094E-3</v>
      </c>
      <c r="G286" s="29">
        <f t="shared" si="187"/>
        <v>6.993006993006993E-3</v>
      </c>
      <c r="H286" s="29">
        <f t="shared" si="187"/>
        <v>5.6022408963585435E-3</v>
      </c>
      <c r="I286" s="29">
        <f t="shared" si="187"/>
        <v>0</v>
      </c>
      <c r="J286" s="29">
        <f t="shared" si="187"/>
        <v>4.9689440993788822E-3</v>
      </c>
      <c r="K286" s="29">
        <f t="shared" si="187"/>
        <v>0</v>
      </c>
      <c r="L286" s="29">
        <f t="shared" si="187"/>
        <v>2.1881838074398249E-3</v>
      </c>
      <c r="M286" s="29">
        <f t="shared" si="187"/>
        <v>6.2111801242236021E-3</v>
      </c>
      <c r="N286" s="29">
        <f t="shared" si="187"/>
        <v>9.5693779904306216E-3</v>
      </c>
      <c r="O286" s="29">
        <f t="shared" si="187"/>
        <v>4.0983606557377051E-3</v>
      </c>
      <c r="P286" s="29">
        <f t="shared" si="187"/>
        <v>1.6233766233766235E-3</v>
      </c>
      <c r="Q286" s="29">
        <f t="shared" si="187"/>
        <v>2.0325203252032522E-3</v>
      </c>
      <c r="R286" s="29">
        <f t="shared" si="187"/>
        <v>4.7797883236599522E-3</v>
      </c>
      <c r="S286" s="29">
        <f t="shared" si="187"/>
        <v>6.6145520144317502E-3</v>
      </c>
      <c r="T286" s="29">
        <f t="shared" ref="T286:AD286" si="193">T272/T$274</f>
        <v>0</v>
      </c>
      <c r="U286" s="29">
        <f t="shared" si="193"/>
        <v>3.663003663003663E-3</v>
      </c>
      <c r="V286" s="29">
        <f t="shared" si="193"/>
        <v>5.3097345132743362E-3</v>
      </c>
      <c r="W286" s="29">
        <f t="shared" si="193"/>
        <v>5.9694892770285205E-3</v>
      </c>
      <c r="X286" s="29">
        <f t="shared" si="193"/>
        <v>3.2573289902280132E-3</v>
      </c>
      <c r="Y286" s="29">
        <f t="shared" si="193"/>
        <v>3.4305317324185248E-3</v>
      </c>
      <c r="Z286" s="29">
        <f t="shared" si="193"/>
        <v>2.881844380403458E-3</v>
      </c>
      <c r="AA286" s="29">
        <f t="shared" si="193"/>
        <v>7.5471698113207548E-3</v>
      </c>
      <c r="AB286" s="29">
        <f t="shared" si="193"/>
        <v>0</v>
      </c>
      <c r="AC286" s="29">
        <f t="shared" si="193"/>
        <v>3.4904013961605585E-3</v>
      </c>
      <c r="AD286" s="29">
        <f t="shared" si="193"/>
        <v>3.6199095022624436E-3</v>
      </c>
    </row>
    <row r="287" spans="2:30">
      <c r="B287" t="s">
        <v>323</v>
      </c>
      <c r="C287" t="s">
        <v>577</v>
      </c>
      <c r="D287" s="29">
        <f t="shared" si="187"/>
        <v>0.21956375838926173</v>
      </c>
      <c r="E287" s="29">
        <f t="shared" si="187"/>
        <v>0.22439024390243903</v>
      </c>
      <c r="F287" s="29">
        <f t="shared" si="187"/>
        <v>0.2146077547339946</v>
      </c>
      <c r="G287" s="29">
        <f t="shared" si="187"/>
        <v>0.1888111888111888</v>
      </c>
      <c r="H287" s="29">
        <f t="shared" si="187"/>
        <v>0.18837535014005602</v>
      </c>
      <c r="I287" s="29">
        <f t="shared" si="187"/>
        <v>0.15068493150684931</v>
      </c>
      <c r="J287" s="29">
        <f t="shared" si="187"/>
        <v>0.15652173913043479</v>
      </c>
      <c r="K287" s="29">
        <f t="shared" si="187"/>
        <v>0.18867924528301888</v>
      </c>
      <c r="L287" s="29">
        <f t="shared" si="187"/>
        <v>0.22319474835886213</v>
      </c>
      <c r="M287" s="29">
        <f t="shared" si="187"/>
        <v>0.19254658385093168</v>
      </c>
      <c r="N287" s="29">
        <f t="shared" si="187"/>
        <v>0.18660287081339713</v>
      </c>
      <c r="O287" s="29">
        <f t="shared" si="187"/>
        <v>0.15778688524590165</v>
      </c>
      <c r="P287" s="29">
        <f t="shared" si="187"/>
        <v>0.14935064935064934</v>
      </c>
      <c r="Q287" s="29">
        <f t="shared" si="187"/>
        <v>0.18495934959349594</v>
      </c>
      <c r="R287" s="29">
        <f t="shared" si="187"/>
        <v>0.24718333902355752</v>
      </c>
      <c r="S287" s="29">
        <f t="shared" si="187"/>
        <v>0.25616355983162958</v>
      </c>
      <c r="T287" s="29">
        <f t="shared" ref="T287:AD287" si="194">T273/T$274</f>
        <v>0.18888888888888888</v>
      </c>
      <c r="U287" s="29">
        <f t="shared" si="194"/>
        <v>0.10256410256410256</v>
      </c>
      <c r="V287" s="29">
        <f t="shared" si="194"/>
        <v>0.17345132743362832</v>
      </c>
      <c r="W287" s="29">
        <f t="shared" si="194"/>
        <v>0.24106419043407767</v>
      </c>
      <c r="X287" s="29">
        <f t="shared" si="194"/>
        <v>0.13355048859934854</v>
      </c>
      <c r="Y287" s="29">
        <f t="shared" si="194"/>
        <v>0.14408233276157806</v>
      </c>
      <c r="Z287" s="29">
        <f t="shared" si="194"/>
        <v>0.17579250720461095</v>
      </c>
      <c r="AA287" s="29">
        <f t="shared" si="194"/>
        <v>0.23773584905660378</v>
      </c>
      <c r="AB287" s="29">
        <f t="shared" si="194"/>
        <v>0.203125</v>
      </c>
      <c r="AC287" s="29">
        <f t="shared" si="194"/>
        <v>0.14659685863874344</v>
      </c>
      <c r="AD287" s="29">
        <f t="shared" si="194"/>
        <v>0.22714932126696832</v>
      </c>
    </row>
    <row r="288" spans="2:30">
      <c r="B288" s="79" t="s">
        <v>16</v>
      </c>
      <c r="C288" s="79" t="s">
        <v>577</v>
      </c>
      <c r="D288" s="102">
        <f t="shared" ref="D288:AD288" si="195">SUM(D281:D287)</f>
        <v>1</v>
      </c>
      <c r="E288" s="102">
        <f t="shared" si="195"/>
        <v>1</v>
      </c>
      <c r="F288" s="102">
        <f t="shared" si="195"/>
        <v>1</v>
      </c>
      <c r="G288" s="102">
        <f t="shared" si="195"/>
        <v>1</v>
      </c>
      <c r="H288" s="102">
        <f t="shared" si="195"/>
        <v>1</v>
      </c>
      <c r="I288" s="102">
        <f t="shared" si="195"/>
        <v>1</v>
      </c>
      <c r="J288" s="102">
        <f t="shared" si="195"/>
        <v>1</v>
      </c>
      <c r="K288" s="102">
        <f t="shared" si="195"/>
        <v>1</v>
      </c>
      <c r="L288" s="102">
        <f t="shared" si="195"/>
        <v>0.99999999999999989</v>
      </c>
      <c r="M288" s="102">
        <f t="shared" si="195"/>
        <v>1</v>
      </c>
      <c r="N288" s="102">
        <f t="shared" si="195"/>
        <v>1</v>
      </c>
      <c r="O288" s="102">
        <f t="shared" si="195"/>
        <v>1</v>
      </c>
      <c r="P288" s="102">
        <f t="shared" si="195"/>
        <v>1</v>
      </c>
      <c r="Q288" s="102">
        <f t="shared" si="195"/>
        <v>1</v>
      </c>
      <c r="R288" s="102">
        <f t="shared" si="195"/>
        <v>1</v>
      </c>
      <c r="S288" s="102">
        <f t="shared" si="195"/>
        <v>1</v>
      </c>
      <c r="T288" s="102">
        <f t="shared" si="195"/>
        <v>1</v>
      </c>
      <c r="U288" s="102">
        <f t="shared" si="195"/>
        <v>0.99999999999999989</v>
      </c>
      <c r="V288" s="102">
        <f t="shared" si="195"/>
        <v>1</v>
      </c>
      <c r="W288" s="102">
        <f t="shared" si="195"/>
        <v>1</v>
      </c>
      <c r="X288" s="102">
        <f t="shared" si="195"/>
        <v>1</v>
      </c>
      <c r="Y288" s="102">
        <f t="shared" si="195"/>
        <v>1</v>
      </c>
      <c r="Z288" s="102">
        <f t="shared" si="195"/>
        <v>1</v>
      </c>
      <c r="AA288" s="102">
        <f t="shared" si="195"/>
        <v>1</v>
      </c>
      <c r="AB288" s="102">
        <f t="shared" si="195"/>
        <v>1</v>
      </c>
      <c r="AC288" s="102">
        <f t="shared" si="195"/>
        <v>1</v>
      </c>
      <c r="AD288" s="102">
        <f t="shared" si="195"/>
        <v>0.99999999999999989</v>
      </c>
    </row>
    <row r="292" spans="2:30" ht="15.5">
      <c r="B292" s="101" t="s">
        <v>591</v>
      </c>
    </row>
    <row r="293" spans="2:30">
      <c r="B293" s="81" t="s">
        <v>573</v>
      </c>
      <c r="C293" s="81" t="s">
        <v>63</v>
      </c>
      <c r="D293" s="81" t="str">
        <f>D280</f>
        <v>IE</v>
      </c>
      <c r="E293" s="81" t="str">
        <f t="shared" ref="E293:AD293" si="196">E280</f>
        <v>IE-CW</v>
      </c>
      <c r="F293" s="81" t="str">
        <f t="shared" si="196"/>
        <v>IE-D</v>
      </c>
      <c r="G293" s="81" t="str">
        <f t="shared" si="196"/>
        <v>IE-KE</v>
      </c>
      <c r="H293" s="81" t="str">
        <f t="shared" si="196"/>
        <v>IE-KK</v>
      </c>
      <c r="I293" s="81" t="str">
        <f t="shared" si="196"/>
        <v>IE-LS</v>
      </c>
      <c r="J293" s="81" t="str">
        <f t="shared" si="196"/>
        <v>IE-LD</v>
      </c>
      <c r="K293" s="81" t="str">
        <f t="shared" si="196"/>
        <v>IE-LH</v>
      </c>
      <c r="L293" s="81" t="str">
        <f t="shared" si="196"/>
        <v>IE-MH</v>
      </c>
      <c r="M293" s="81" t="str">
        <f t="shared" si="196"/>
        <v>IE-OY</v>
      </c>
      <c r="N293" s="81" t="str">
        <f t="shared" si="196"/>
        <v>IE-WH</v>
      </c>
      <c r="O293" s="81" t="str">
        <f t="shared" si="196"/>
        <v>IE-WX</v>
      </c>
      <c r="P293" s="81" t="str">
        <f t="shared" si="196"/>
        <v>IE-WW</v>
      </c>
      <c r="Q293" s="81" t="str">
        <f t="shared" si="196"/>
        <v>IE-CE</v>
      </c>
      <c r="R293" s="81" t="str">
        <f t="shared" si="196"/>
        <v>IE-CO</v>
      </c>
      <c r="S293" s="81" t="str">
        <f t="shared" si="196"/>
        <v>IE-KY</v>
      </c>
      <c r="T293" s="81" t="str">
        <f t="shared" si="196"/>
        <v>IE-LK</v>
      </c>
      <c r="U293" s="81" t="str">
        <f t="shared" si="196"/>
        <v>IE-TA</v>
      </c>
      <c r="V293" s="81" t="str">
        <f t="shared" si="196"/>
        <v>IE-WD</v>
      </c>
      <c r="W293" s="81" t="str">
        <f t="shared" si="196"/>
        <v>IE-G</v>
      </c>
      <c r="X293" s="81" t="str">
        <f t="shared" si="196"/>
        <v>IE-LM</v>
      </c>
      <c r="Y293" s="81" t="str">
        <f t="shared" si="196"/>
        <v>IE-MO</v>
      </c>
      <c r="Z293" s="81" t="str">
        <f t="shared" si="196"/>
        <v>IE-RN</v>
      </c>
      <c r="AA293" s="81" t="str">
        <f t="shared" si="196"/>
        <v>IE-SO</v>
      </c>
      <c r="AB293" s="81" t="str">
        <f t="shared" si="196"/>
        <v>IE-CN</v>
      </c>
      <c r="AC293" s="81" t="str">
        <f t="shared" si="196"/>
        <v>IE-DL</v>
      </c>
      <c r="AD293" s="81" t="str">
        <f t="shared" si="196"/>
        <v>IE-MN</v>
      </c>
    </row>
    <row r="294" spans="2:30">
      <c r="B294" t="s">
        <v>317</v>
      </c>
      <c r="C294" t="s">
        <v>578</v>
      </c>
      <c r="D294" s="177">
        <v>1.171188111860114</v>
      </c>
      <c r="E294" s="177">
        <v>1.171188111860114</v>
      </c>
      <c r="F294" s="177">
        <v>1.171188111860114</v>
      </c>
      <c r="G294" s="177">
        <v>1.171188111860114</v>
      </c>
      <c r="H294" s="177">
        <v>1.171188111860114</v>
      </c>
      <c r="I294" s="177">
        <v>1.171188111860114</v>
      </c>
      <c r="J294" s="177">
        <v>1.171188111860114</v>
      </c>
      <c r="K294" s="177">
        <v>1.171188111860114</v>
      </c>
      <c r="L294" s="177">
        <v>1.171188111860114</v>
      </c>
      <c r="M294" s="177">
        <v>1.171188111860114</v>
      </c>
      <c r="N294" s="177">
        <v>1.171188111860114</v>
      </c>
      <c r="O294" s="177">
        <v>1.171188111860114</v>
      </c>
      <c r="P294" s="177">
        <v>1.171188111860114</v>
      </c>
      <c r="Q294" s="177">
        <v>1.171188111860114</v>
      </c>
      <c r="R294" s="177">
        <v>1.171188111860114</v>
      </c>
      <c r="S294" s="177">
        <v>1.171188111860114</v>
      </c>
      <c r="T294" s="177">
        <v>1.171188111860114</v>
      </c>
      <c r="U294" s="177">
        <v>1.171188111860114</v>
      </c>
      <c r="V294" s="177">
        <v>1.171188111860114</v>
      </c>
      <c r="W294" s="177">
        <v>1.171188111860114</v>
      </c>
      <c r="X294" s="177">
        <v>1.171188111860114</v>
      </c>
      <c r="Y294" s="177">
        <v>1.171188111860114</v>
      </c>
      <c r="Z294" s="177">
        <v>1.171188111860114</v>
      </c>
      <c r="AA294" s="177">
        <v>1.171188111860114</v>
      </c>
      <c r="AB294" s="177">
        <v>1.171188111860114</v>
      </c>
      <c r="AC294" s="177">
        <v>1.171188111860114</v>
      </c>
      <c r="AD294" s="177">
        <v>1.171188111860114</v>
      </c>
    </row>
    <row r="295" spans="2:30">
      <c r="B295" t="s">
        <v>318</v>
      </c>
      <c r="C295" t="s">
        <v>578</v>
      </c>
      <c r="D295" s="177">
        <v>1.192415230181668</v>
      </c>
      <c r="E295" s="177">
        <v>1.192415230181668</v>
      </c>
      <c r="F295" s="177">
        <v>1.192415230181668</v>
      </c>
      <c r="G295" s="177">
        <v>1.192415230181668</v>
      </c>
      <c r="H295" s="177">
        <v>1.192415230181668</v>
      </c>
      <c r="I295" s="177">
        <v>1.192415230181668</v>
      </c>
      <c r="J295" s="177">
        <v>1.192415230181668</v>
      </c>
      <c r="K295" s="177">
        <v>1.192415230181668</v>
      </c>
      <c r="L295" s="177">
        <v>1.192415230181668</v>
      </c>
      <c r="M295" s="177">
        <v>1.192415230181668</v>
      </c>
      <c r="N295" s="177">
        <v>1.192415230181668</v>
      </c>
      <c r="O295" s="177">
        <v>1.192415230181668</v>
      </c>
      <c r="P295" s="177">
        <v>1.192415230181668</v>
      </c>
      <c r="Q295" s="177">
        <v>1.192415230181668</v>
      </c>
      <c r="R295" s="177">
        <v>1.192415230181668</v>
      </c>
      <c r="S295" s="177">
        <v>1.192415230181668</v>
      </c>
      <c r="T295" s="177">
        <v>1.192415230181668</v>
      </c>
      <c r="U295" s="177">
        <v>1.192415230181668</v>
      </c>
      <c r="V295" s="177">
        <v>1.192415230181668</v>
      </c>
      <c r="W295" s="177">
        <v>1.192415230181668</v>
      </c>
      <c r="X295" s="177">
        <v>1.192415230181668</v>
      </c>
      <c r="Y295" s="177">
        <v>1.192415230181668</v>
      </c>
      <c r="Z295" s="177">
        <v>1.192415230181668</v>
      </c>
      <c r="AA295" s="177">
        <v>1.192415230181668</v>
      </c>
      <c r="AB295" s="177">
        <v>1.192415230181668</v>
      </c>
      <c r="AC295" s="177">
        <v>1.192415230181668</v>
      </c>
      <c r="AD295" s="177">
        <v>1.192415230181668</v>
      </c>
    </row>
    <row r="296" spans="2:30">
      <c r="B296" t="s">
        <v>319</v>
      </c>
      <c r="C296" t="s">
        <v>578</v>
      </c>
      <c r="D296" s="177">
        <v>1.3235671555470419</v>
      </c>
      <c r="E296" s="177">
        <v>1.3235671555470419</v>
      </c>
      <c r="F296" s="177">
        <v>1.3235671555470419</v>
      </c>
      <c r="G296" s="177">
        <v>1.3235671555470419</v>
      </c>
      <c r="H296" s="177">
        <v>1.3235671555470419</v>
      </c>
      <c r="I296" s="177">
        <v>1.3235671555470419</v>
      </c>
      <c r="J296" s="177">
        <v>1.3235671555470419</v>
      </c>
      <c r="K296" s="177">
        <v>1.3235671555470419</v>
      </c>
      <c r="L296" s="177">
        <v>1.3235671555470419</v>
      </c>
      <c r="M296" s="177">
        <v>1.3235671555470419</v>
      </c>
      <c r="N296" s="177">
        <v>1.3235671555470419</v>
      </c>
      <c r="O296" s="177">
        <v>1.3235671555470419</v>
      </c>
      <c r="P296" s="177">
        <v>1.3235671555470419</v>
      </c>
      <c r="Q296" s="177">
        <v>1.3235671555470419</v>
      </c>
      <c r="R296" s="177">
        <v>1.3235671555470419</v>
      </c>
      <c r="S296" s="177">
        <v>1.3235671555470419</v>
      </c>
      <c r="T296" s="177">
        <v>1.3235671555470419</v>
      </c>
      <c r="U296" s="177">
        <v>1.3235671555470419</v>
      </c>
      <c r="V296" s="177">
        <v>1.3235671555470419</v>
      </c>
      <c r="W296" s="177">
        <v>1.3235671555470419</v>
      </c>
      <c r="X296" s="177">
        <v>1.3235671555470419</v>
      </c>
      <c r="Y296" s="177">
        <v>1.3235671555470419</v>
      </c>
      <c r="Z296" s="177">
        <v>1.3235671555470419</v>
      </c>
      <c r="AA296" s="177">
        <v>1.3235671555470419</v>
      </c>
      <c r="AB296" s="177">
        <v>1.3235671555470419</v>
      </c>
      <c r="AC296" s="177">
        <v>1.3235671555470419</v>
      </c>
      <c r="AD296" s="177">
        <v>1.3235671555470419</v>
      </c>
    </row>
    <row r="297" spans="2:30">
      <c r="B297" t="s">
        <v>320</v>
      </c>
      <c r="C297" t="s">
        <v>578</v>
      </c>
      <c r="D297" s="177">
        <v>1.3373617691545401</v>
      </c>
      <c r="E297" s="177">
        <v>1.3373617691545401</v>
      </c>
      <c r="F297" s="177">
        <v>1.3373617691545401</v>
      </c>
      <c r="G297" s="177">
        <v>1.3373617691545401</v>
      </c>
      <c r="H297" s="177">
        <v>1.3373617691545401</v>
      </c>
      <c r="I297" s="177">
        <v>1.3373617691545401</v>
      </c>
      <c r="J297" s="177">
        <v>1.3373617691545401</v>
      </c>
      <c r="K297" s="177">
        <v>1.3373617691545401</v>
      </c>
      <c r="L297" s="177">
        <v>1.3373617691545401</v>
      </c>
      <c r="M297" s="177">
        <v>1.3373617691545401</v>
      </c>
      <c r="N297" s="177">
        <v>1.3373617691545401</v>
      </c>
      <c r="O297" s="177">
        <v>1.3373617691545401</v>
      </c>
      <c r="P297" s="177">
        <v>1.3373617691545401</v>
      </c>
      <c r="Q297" s="177">
        <v>1.3373617691545401</v>
      </c>
      <c r="R297" s="177">
        <v>1.3373617691545401</v>
      </c>
      <c r="S297" s="177">
        <v>1.3373617691545401</v>
      </c>
      <c r="T297" s="177">
        <v>1.3373617691545401</v>
      </c>
      <c r="U297" s="177">
        <v>1.3373617691545401</v>
      </c>
      <c r="V297" s="177">
        <v>1.3373617691545401</v>
      </c>
      <c r="W297" s="177">
        <v>1.3373617691545401</v>
      </c>
      <c r="X297" s="177">
        <v>1.3373617691545401</v>
      </c>
      <c r="Y297" s="177">
        <v>1.3373617691545401</v>
      </c>
      <c r="Z297" s="177">
        <v>1.3373617691545401</v>
      </c>
      <c r="AA297" s="177">
        <v>1.3373617691545401</v>
      </c>
      <c r="AB297" s="177">
        <v>1.3373617691545401</v>
      </c>
      <c r="AC297" s="177">
        <v>1.3373617691545401</v>
      </c>
      <c r="AD297" s="177">
        <v>1.3373617691545401</v>
      </c>
    </row>
    <row r="298" spans="2:30">
      <c r="B298" t="s">
        <v>321</v>
      </c>
      <c r="C298" t="s">
        <v>578</v>
      </c>
      <c r="D298" s="177">
        <v>1.4009525553811268</v>
      </c>
      <c r="E298" s="177">
        <v>1.4009525553811268</v>
      </c>
      <c r="F298" s="177">
        <v>1.4009525553811268</v>
      </c>
      <c r="G298" s="177">
        <v>1.4009525553811268</v>
      </c>
      <c r="H298" s="177">
        <v>1.4009525553811268</v>
      </c>
      <c r="I298" s="177">
        <v>1.4009525553811268</v>
      </c>
      <c r="J298" s="177">
        <v>1.4009525553811268</v>
      </c>
      <c r="K298" s="177">
        <v>1.4009525553811268</v>
      </c>
      <c r="L298" s="177">
        <v>1.4009525553811268</v>
      </c>
      <c r="M298" s="177">
        <v>1.4009525553811268</v>
      </c>
      <c r="N298" s="177">
        <v>1.4009525553811268</v>
      </c>
      <c r="O298" s="177">
        <v>1.4009525553811268</v>
      </c>
      <c r="P298" s="177">
        <v>1.4009525553811268</v>
      </c>
      <c r="Q298" s="177">
        <v>1.4009525553811268</v>
      </c>
      <c r="R298" s="177">
        <v>1.4009525553811268</v>
      </c>
      <c r="S298" s="177">
        <v>1.4009525553811268</v>
      </c>
      <c r="T298" s="177">
        <v>1.4009525553811268</v>
      </c>
      <c r="U298" s="177">
        <v>1.4009525553811268</v>
      </c>
      <c r="V298" s="177">
        <v>1.4009525553811268</v>
      </c>
      <c r="W298" s="177">
        <v>1.4009525553811268</v>
      </c>
      <c r="X298" s="177">
        <v>1.4009525553811268</v>
      </c>
      <c r="Y298" s="177">
        <v>1.4009525553811268</v>
      </c>
      <c r="Z298" s="177">
        <v>1.4009525553811268</v>
      </c>
      <c r="AA298" s="177">
        <v>1.4009525553811268</v>
      </c>
      <c r="AB298" s="177">
        <v>1.4009525553811268</v>
      </c>
      <c r="AC298" s="177">
        <v>1.4009525553811268</v>
      </c>
      <c r="AD298" s="177">
        <v>1.4009525553811268</v>
      </c>
    </row>
    <row r="299" spans="2:30">
      <c r="B299" t="s">
        <v>322</v>
      </c>
      <c r="C299" t="s">
        <v>578</v>
      </c>
      <c r="D299" s="177">
        <v>1.4082063462648766</v>
      </c>
      <c r="E299" s="177">
        <v>1.4082063462648766</v>
      </c>
      <c r="F299" s="177">
        <v>1.4082063462648766</v>
      </c>
      <c r="G299" s="177">
        <v>1.4082063462648766</v>
      </c>
      <c r="H299" s="177">
        <v>1.4082063462648766</v>
      </c>
      <c r="I299" s="177">
        <v>1.4082063462648766</v>
      </c>
      <c r="J299" s="177">
        <v>1.4082063462648766</v>
      </c>
      <c r="K299" s="177">
        <v>1.4082063462648766</v>
      </c>
      <c r="L299" s="177">
        <v>1.4082063462648766</v>
      </c>
      <c r="M299" s="177">
        <v>1.4082063462648766</v>
      </c>
      <c r="N299" s="177">
        <v>1.4082063462648766</v>
      </c>
      <c r="O299" s="177">
        <v>1.4082063462648766</v>
      </c>
      <c r="P299" s="177">
        <v>1.4082063462648766</v>
      </c>
      <c r="Q299" s="177">
        <v>1.4082063462648766</v>
      </c>
      <c r="R299" s="177">
        <v>1.4082063462648766</v>
      </c>
      <c r="S299" s="177">
        <v>1.4082063462648766</v>
      </c>
      <c r="T299" s="177">
        <v>1.4082063462648766</v>
      </c>
      <c r="U299" s="177">
        <v>1.4082063462648766</v>
      </c>
      <c r="V299" s="177">
        <v>1.4082063462648766</v>
      </c>
      <c r="W299" s="177">
        <v>1.4082063462648766</v>
      </c>
      <c r="X299" s="177">
        <v>1.4082063462648766</v>
      </c>
      <c r="Y299" s="177">
        <v>1.4082063462648766</v>
      </c>
      <c r="Z299" s="177">
        <v>1.4082063462648766</v>
      </c>
      <c r="AA299" s="177">
        <v>1.4082063462648766</v>
      </c>
      <c r="AB299" s="177">
        <v>1.4082063462648766</v>
      </c>
      <c r="AC299" s="177">
        <v>1.4082063462648766</v>
      </c>
      <c r="AD299" s="177">
        <v>1.4082063462648766</v>
      </c>
    </row>
    <row r="300" spans="2:30">
      <c r="B300" s="79" t="s">
        <v>323</v>
      </c>
      <c r="C300" s="79" t="s">
        <v>578</v>
      </c>
      <c r="D300" s="178">
        <v>1.5780931425905766</v>
      </c>
      <c r="E300" s="178">
        <v>1.5780931425905766</v>
      </c>
      <c r="F300" s="178">
        <v>1.5780931425905766</v>
      </c>
      <c r="G300" s="178">
        <v>1.5780931425905766</v>
      </c>
      <c r="H300" s="178">
        <v>1.5780931425905766</v>
      </c>
      <c r="I300" s="178">
        <v>1.5780931425905766</v>
      </c>
      <c r="J300" s="178">
        <v>1.5780931425905766</v>
      </c>
      <c r="K300" s="178">
        <v>1.5780931425905766</v>
      </c>
      <c r="L300" s="178">
        <v>1.5780931425905766</v>
      </c>
      <c r="M300" s="178">
        <v>1.5780931425905766</v>
      </c>
      <c r="N300" s="178">
        <v>1.5780931425905766</v>
      </c>
      <c r="O300" s="178">
        <v>1.5780931425905766</v>
      </c>
      <c r="P300" s="178">
        <v>1.5780931425905766</v>
      </c>
      <c r="Q300" s="178">
        <v>1.5780931425905766</v>
      </c>
      <c r="R300" s="178">
        <v>1.5780931425905766</v>
      </c>
      <c r="S300" s="178">
        <v>1.5780931425905766</v>
      </c>
      <c r="T300" s="178">
        <v>1.5780931425905766</v>
      </c>
      <c r="U300" s="178">
        <v>1.5780931425905766</v>
      </c>
      <c r="V300" s="178">
        <v>1.5780931425905766</v>
      </c>
      <c r="W300" s="178">
        <v>1.5780931425905766</v>
      </c>
      <c r="X300" s="178">
        <v>1.5780931425905766</v>
      </c>
      <c r="Y300" s="178">
        <v>1.5780931425905766</v>
      </c>
      <c r="Z300" s="178">
        <v>1.5780931425905766</v>
      </c>
      <c r="AA300" s="178">
        <v>1.5780931425905766</v>
      </c>
      <c r="AB300" s="178">
        <v>1.5780931425905766</v>
      </c>
      <c r="AC300" s="178">
        <v>1.5780931425905766</v>
      </c>
      <c r="AD300" s="178">
        <v>1.5780931425905766</v>
      </c>
    </row>
    <row r="301" spans="2:30">
      <c r="B301" t="s">
        <v>582</v>
      </c>
    </row>
    <row r="305" spans="2:30" ht="15.5">
      <c r="B305" s="101" t="s">
        <v>591</v>
      </c>
    </row>
    <row r="306" spans="2:30">
      <c r="B306" s="81" t="s">
        <v>573</v>
      </c>
      <c r="C306" s="81" t="s">
        <v>63</v>
      </c>
      <c r="D306" s="81" t="str">
        <f>D293</f>
        <v>IE</v>
      </c>
      <c r="E306" s="81" t="str">
        <f t="shared" ref="E306:AD306" si="197">E293</f>
        <v>IE-CW</v>
      </c>
      <c r="F306" s="81" t="str">
        <f t="shared" si="197"/>
        <v>IE-D</v>
      </c>
      <c r="G306" s="81" t="str">
        <f t="shared" si="197"/>
        <v>IE-KE</v>
      </c>
      <c r="H306" s="81" t="str">
        <f t="shared" si="197"/>
        <v>IE-KK</v>
      </c>
      <c r="I306" s="81" t="str">
        <f t="shared" si="197"/>
        <v>IE-LS</v>
      </c>
      <c r="J306" s="81" t="str">
        <f t="shared" si="197"/>
        <v>IE-LD</v>
      </c>
      <c r="K306" s="81" t="str">
        <f t="shared" si="197"/>
        <v>IE-LH</v>
      </c>
      <c r="L306" s="81" t="str">
        <f t="shared" si="197"/>
        <v>IE-MH</v>
      </c>
      <c r="M306" s="81" t="str">
        <f t="shared" si="197"/>
        <v>IE-OY</v>
      </c>
      <c r="N306" s="81" t="str">
        <f t="shared" si="197"/>
        <v>IE-WH</v>
      </c>
      <c r="O306" s="81" t="str">
        <f t="shared" si="197"/>
        <v>IE-WX</v>
      </c>
      <c r="P306" s="81" t="str">
        <f t="shared" si="197"/>
        <v>IE-WW</v>
      </c>
      <c r="Q306" s="81" t="str">
        <f t="shared" si="197"/>
        <v>IE-CE</v>
      </c>
      <c r="R306" s="81" t="str">
        <f t="shared" si="197"/>
        <v>IE-CO</v>
      </c>
      <c r="S306" s="81" t="str">
        <f t="shared" si="197"/>
        <v>IE-KY</v>
      </c>
      <c r="T306" s="81" t="str">
        <f t="shared" si="197"/>
        <v>IE-LK</v>
      </c>
      <c r="U306" s="81" t="str">
        <f t="shared" si="197"/>
        <v>IE-TA</v>
      </c>
      <c r="V306" s="81" t="str">
        <f t="shared" si="197"/>
        <v>IE-WD</v>
      </c>
      <c r="W306" s="81" t="str">
        <f t="shared" si="197"/>
        <v>IE-G</v>
      </c>
      <c r="X306" s="81" t="str">
        <f t="shared" si="197"/>
        <v>IE-LM</v>
      </c>
      <c r="Y306" s="81" t="str">
        <f t="shared" si="197"/>
        <v>IE-MO</v>
      </c>
      <c r="Z306" s="81" t="str">
        <f t="shared" si="197"/>
        <v>IE-RN</v>
      </c>
      <c r="AA306" s="81" t="str">
        <f t="shared" si="197"/>
        <v>IE-SO</v>
      </c>
      <c r="AB306" s="81" t="str">
        <f t="shared" si="197"/>
        <v>IE-CN</v>
      </c>
      <c r="AC306" s="81" t="str">
        <f t="shared" si="197"/>
        <v>IE-DL</v>
      </c>
      <c r="AD306" s="81" t="str">
        <f t="shared" si="197"/>
        <v>IE-MN</v>
      </c>
    </row>
    <row r="307" spans="2:30">
      <c r="B307" t="s">
        <v>594</v>
      </c>
      <c r="C307" t="s">
        <v>578</v>
      </c>
      <c r="D307" s="177">
        <f>SUMPRODUCT(D281:D287,D294:D300)</f>
        <v>1.415243477594188</v>
      </c>
      <c r="E307" s="177">
        <f>IF(E274&gt;1,SUMPRODUCT(E281:E287,E294:E300),$D$210)</f>
        <v>1.4132404850977942</v>
      </c>
      <c r="F307" s="177">
        <f t="shared" ref="F307:AD307" si="198">IF(F274&gt;1,SUMPRODUCT(F281:F287,F294:F300),$D$210)</f>
        <v>1.4121585244619679</v>
      </c>
      <c r="G307" s="177">
        <f t="shared" si="198"/>
        <v>1.4101384800844001</v>
      </c>
      <c r="H307" s="177">
        <f t="shared" si="198"/>
        <v>1.4083306140887928</v>
      </c>
      <c r="I307" s="177">
        <f t="shared" si="198"/>
        <v>1.3988182784722314</v>
      </c>
      <c r="J307" s="177">
        <f t="shared" si="198"/>
        <v>1.4042052783385763</v>
      </c>
      <c r="K307" s="177">
        <f t="shared" si="198"/>
        <v>1.4143105034398209</v>
      </c>
      <c r="L307" s="177">
        <f t="shared" si="198"/>
        <v>1.4196897338621113</v>
      </c>
      <c r="M307" s="177">
        <f t="shared" si="198"/>
        <v>1.4104645061332943</v>
      </c>
      <c r="N307" s="177">
        <f t="shared" si="198"/>
        <v>1.404434721935685</v>
      </c>
      <c r="O307" s="177">
        <f t="shared" si="198"/>
        <v>1.4035583585869964</v>
      </c>
      <c r="P307" s="177">
        <f t="shared" si="198"/>
        <v>1.400731446392756</v>
      </c>
      <c r="Q307" s="177">
        <f t="shared" si="198"/>
        <v>1.4060354775668111</v>
      </c>
      <c r="R307" s="177">
        <f t="shared" si="198"/>
        <v>1.4238256724575309</v>
      </c>
      <c r="S307" s="177">
        <f t="shared" si="198"/>
        <v>1.4256423025955085</v>
      </c>
      <c r="T307" s="177">
        <f t="shared" si="198"/>
        <v>1.4090097968076738</v>
      </c>
      <c r="U307" s="177">
        <f t="shared" si="198"/>
        <v>1.3896881220813402</v>
      </c>
      <c r="V307" s="177">
        <f t="shared" si="198"/>
        <v>1.4046835094796584</v>
      </c>
      <c r="W307" s="177">
        <f t="shared" si="198"/>
        <v>1.4189534480634474</v>
      </c>
      <c r="X307" s="177">
        <f t="shared" si="198"/>
        <v>1.3923344475681962</v>
      </c>
      <c r="Y307" s="177">
        <f t="shared" si="198"/>
        <v>1.3984045051111655</v>
      </c>
      <c r="Z307" s="177">
        <f t="shared" si="198"/>
        <v>1.4028667301014628</v>
      </c>
      <c r="AA307" s="177">
        <f t="shared" si="198"/>
        <v>1.4239456186936073</v>
      </c>
      <c r="AB307" s="177">
        <f t="shared" si="198"/>
        <v>1.4115999309980802</v>
      </c>
      <c r="AC307" s="177">
        <f t="shared" si="198"/>
        <v>1.4032700951958821</v>
      </c>
      <c r="AD307" s="177">
        <f t="shared" si="198"/>
        <v>1.4165517672510526</v>
      </c>
    </row>
    <row r="308" spans="2:30">
      <c r="B308" s="79"/>
      <c r="C308" s="79" t="s">
        <v>566</v>
      </c>
      <c r="D308" s="180">
        <f>1000/D307</f>
        <v>706.59219832613394</v>
      </c>
      <c r="E308" s="180">
        <f>1000/E307</f>
        <v>707.59365482711985</v>
      </c>
      <c r="F308" s="180">
        <f>1000/F307</f>
        <v>708.13579543486435</v>
      </c>
      <c r="G308" s="180">
        <f>1000/G307</f>
        <v>709.15021050992641</v>
      </c>
      <c r="H308" s="180">
        <f t="shared" ref="H308" si="199">1000/H307</f>
        <v>710.06054259994357</v>
      </c>
      <c r="I308" s="180">
        <f t="shared" ref="I308" si="200">1000/I307</f>
        <v>714.88914277856395</v>
      </c>
      <c r="J308" s="180">
        <f t="shared" ref="J308" si="201">1000/J307</f>
        <v>712.14658955218943</v>
      </c>
      <c r="K308" s="180">
        <f t="shared" ref="K308" si="202">1000/K307</f>
        <v>707.0583139754998</v>
      </c>
      <c r="L308" s="180">
        <f t="shared" ref="L308" si="203">1000/L307</f>
        <v>704.37925706457634</v>
      </c>
      <c r="M308" s="180">
        <f t="shared" ref="M308" si="204">1000/M307</f>
        <v>708.98629185745438</v>
      </c>
      <c r="N308" s="180">
        <f t="shared" ref="N308" si="205">1000/N307</f>
        <v>712.03024560780852</v>
      </c>
      <c r="O308" s="180">
        <f t="shared" ref="O308" si="206">1000/O307</f>
        <v>712.47482791291236</v>
      </c>
      <c r="P308" s="180">
        <f t="shared" ref="P308" si="207">1000/P307</f>
        <v>713.91272222470434</v>
      </c>
      <c r="Q308" s="180">
        <f t="shared" ref="Q308" si="208">1000/Q307</f>
        <v>711.21960715424598</v>
      </c>
      <c r="R308" s="180">
        <f t="shared" ref="R308" si="209">1000/R307</f>
        <v>702.33317135938034</v>
      </c>
      <c r="S308" s="180">
        <f t="shared" ref="S308" si="210">1000/S307</f>
        <v>701.43822063880339</v>
      </c>
      <c r="T308" s="180">
        <f t="shared" ref="T308" si="211">1000/T307</f>
        <v>709.71827326229538</v>
      </c>
      <c r="U308" s="180">
        <f t="shared" ref="U308" si="212">1000/U307</f>
        <v>719.58591579691779</v>
      </c>
      <c r="V308" s="180">
        <f t="shared" ref="V308" si="213">1000/V307</f>
        <v>711.90413587928674</v>
      </c>
      <c r="W308" s="180">
        <f t="shared" ref="W308" si="214">1000/W307</f>
        <v>704.74475492115357</v>
      </c>
      <c r="X308" s="180">
        <f t="shared" ref="X308" si="215">1000/X307</f>
        <v>718.2182425684905</v>
      </c>
      <c r="Y308" s="180">
        <f t="shared" ref="Y308" si="216">1000/Y307</f>
        <v>715.10067104689813</v>
      </c>
      <c r="Z308" s="180">
        <f t="shared" ref="Z308" si="217">1000/Z307</f>
        <v>712.8260857164064</v>
      </c>
      <c r="AA308" s="180">
        <f t="shared" ref="AA308" si="218">1000/AA307</f>
        <v>702.27401023744551</v>
      </c>
      <c r="AB308" s="180">
        <f t="shared" ref="AB308" si="219">1000/AB307</f>
        <v>708.41601649338702</v>
      </c>
      <c r="AC308" s="180">
        <f t="shared" ref="AC308" si="220">1000/AC307</f>
        <v>712.62118634432261</v>
      </c>
      <c r="AD308" s="180">
        <f t="shared" ref="AD308" si="221">1000/AD307</f>
        <v>705.93960850480664</v>
      </c>
    </row>
    <row r="312" spans="2:30">
      <c r="B312" s="182"/>
      <c r="C312" s="182"/>
      <c r="D312" s="182"/>
      <c r="E312" s="182"/>
      <c r="F312" s="182"/>
      <c r="G312" s="182"/>
      <c r="H312" s="182"/>
      <c r="I312" s="182"/>
      <c r="J312" s="182"/>
      <c r="K312" s="182"/>
      <c r="L312" s="182"/>
      <c r="M312" s="182"/>
      <c r="N312" s="182"/>
      <c r="O312" s="182"/>
      <c r="P312" s="182"/>
      <c r="Q312" s="182"/>
      <c r="R312" s="182"/>
      <c r="S312" s="182"/>
      <c r="T312" s="182"/>
      <c r="U312" s="182"/>
      <c r="V312" s="182"/>
      <c r="W312" s="182"/>
      <c r="X312" s="182"/>
      <c r="Y312" s="182"/>
      <c r="Z312" s="182"/>
      <c r="AA312" s="182"/>
      <c r="AB312" s="182"/>
      <c r="AC312" s="182"/>
      <c r="AD312" s="182"/>
    </row>
    <row r="313" spans="2:30" ht="15.5">
      <c r="B313" s="101" t="s">
        <v>595</v>
      </c>
    </row>
    <row r="314" spans="2:30">
      <c r="B314" s="81" t="s">
        <v>573</v>
      </c>
      <c r="C314" s="81" t="s">
        <v>63</v>
      </c>
      <c r="D314" s="81" t="str">
        <f t="shared" ref="D314:AD314" si="222">D306</f>
        <v>IE</v>
      </c>
      <c r="E314" s="81" t="str">
        <f t="shared" si="222"/>
        <v>IE-CW</v>
      </c>
      <c r="F314" s="81" t="str">
        <f t="shared" si="222"/>
        <v>IE-D</v>
      </c>
      <c r="G314" s="81" t="str">
        <f t="shared" si="222"/>
        <v>IE-KE</v>
      </c>
      <c r="H314" s="81" t="str">
        <f t="shared" si="222"/>
        <v>IE-KK</v>
      </c>
      <c r="I314" s="81" t="str">
        <f t="shared" si="222"/>
        <v>IE-LS</v>
      </c>
      <c r="J314" s="81" t="str">
        <f t="shared" si="222"/>
        <v>IE-LD</v>
      </c>
      <c r="K314" s="81" t="str">
        <f t="shared" si="222"/>
        <v>IE-LH</v>
      </c>
      <c r="L314" s="81" t="str">
        <f t="shared" si="222"/>
        <v>IE-MH</v>
      </c>
      <c r="M314" s="81" t="str">
        <f t="shared" si="222"/>
        <v>IE-OY</v>
      </c>
      <c r="N314" s="81" t="str">
        <f t="shared" si="222"/>
        <v>IE-WH</v>
      </c>
      <c r="O314" s="81" t="str">
        <f t="shared" si="222"/>
        <v>IE-WX</v>
      </c>
      <c r="P314" s="81" t="str">
        <f t="shared" si="222"/>
        <v>IE-WW</v>
      </c>
      <c r="Q314" s="81" t="str">
        <f t="shared" si="222"/>
        <v>IE-CE</v>
      </c>
      <c r="R314" s="81" t="str">
        <f t="shared" si="222"/>
        <v>IE-CO</v>
      </c>
      <c r="S314" s="81" t="str">
        <f t="shared" si="222"/>
        <v>IE-KY</v>
      </c>
      <c r="T314" s="81" t="str">
        <f t="shared" si="222"/>
        <v>IE-LK</v>
      </c>
      <c r="U314" s="81" t="str">
        <f t="shared" si="222"/>
        <v>IE-TA</v>
      </c>
      <c r="V314" s="81" t="str">
        <f t="shared" si="222"/>
        <v>IE-WD</v>
      </c>
      <c r="W314" s="81" t="str">
        <f t="shared" si="222"/>
        <v>IE-G</v>
      </c>
      <c r="X314" s="81" t="str">
        <f t="shared" si="222"/>
        <v>IE-LM</v>
      </c>
      <c r="Y314" s="81" t="str">
        <f t="shared" si="222"/>
        <v>IE-MO</v>
      </c>
      <c r="Z314" s="81" t="str">
        <f t="shared" si="222"/>
        <v>IE-RN</v>
      </c>
      <c r="AA314" s="81" t="str">
        <f t="shared" si="222"/>
        <v>IE-SO</v>
      </c>
      <c r="AB314" s="81" t="str">
        <f t="shared" si="222"/>
        <v>IE-CN</v>
      </c>
      <c r="AC314" s="81" t="str">
        <f t="shared" si="222"/>
        <v>IE-DL</v>
      </c>
      <c r="AD314" s="81" t="str">
        <f t="shared" si="222"/>
        <v>IE-MN</v>
      </c>
    </row>
    <row r="315" spans="2:30">
      <c r="B315" t="s">
        <v>317</v>
      </c>
      <c r="C315" t="s">
        <v>501</v>
      </c>
      <c r="D315" s="148">
        <f>SUM(E315:AD315)</f>
        <v>0</v>
      </c>
      <c r="E315" s="184">
        <v>0</v>
      </c>
      <c r="F315" s="184">
        <v>0</v>
      </c>
      <c r="G315" s="184">
        <v>0</v>
      </c>
      <c r="H315" s="184">
        <v>0</v>
      </c>
      <c r="I315" s="184">
        <v>0</v>
      </c>
      <c r="J315" s="184">
        <v>0</v>
      </c>
      <c r="K315" s="184">
        <v>0</v>
      </c>
      <c r="L315" s="184">
        <v>0</v>
      </c>
      <c r="M315" s="184">
        <v>0</v>
      </c>
      <c r="N315" s="184">
        <v>0</v>
      </c>
      <c r="O315" s="184">
        <v>0</v>
      </c>
      <c r="P315" s="184">
        <v>0</v>
      </c>
      <c r="Q315" s="184">
        <v>0</v>
      </c>
      <c r="R315" s="184">
        <v>0</v>
      </c>
      <c r="S315" s="184">
        <v>0</v>
      </c>
      <c r="T315" s="184">
        <v>0</v>
      </c>
      <c r="U315" s="184">
        <v>0</v>
      </c>
      <c r="V315" s="184">
        <v>0</v>
      </c>
      <c r="W315" s="184">
        <v>0</v>
      </c>
      <c r="X315" s="184">
        <v>0</v>
      </c>
      <c r="Y315" s="184">
        <v>0</v>
      </c>
      <c r="Z315" s="184">
        <v>0</v>
      </c>
      <c r="AA315" s="184">
        <v>0</v>
      </c>
      <c r="AB315" s="184">
        <v>0</v>
      </c>
      <c r="AC315" s="184">
        <v>0</v>
      </c>
      <c r="AD315" s="184">
        <v>0</v>
      </c>
    </row>
    <row r="316" spans="2:30">
      <c r="B316" t="s">
        <v>318</v>
      </c>
      <c r="C316" t="s">
        <v>501</v>
      </c>
      <c r="D316" s="148">
        <f t="shared" ref="D316:D321" si="223">SUM(E316:AD316)</f>
        <v>0</v>
      </c>
      <c r="E316" s="184">
        <v>0</v>
      </c>
      <c r="F316" s="184">
        <v>0</v>
      </c>
      <c r="G316" s="184">
        <v>0</v>
      </c>
      <c r="H316" s="184">
        <v>0</v>
      </c>
      <c r="I316" s="184">
        <v>0</v>
      </c>
      <c r="J316" s="184">
        <v>0</v>
      </c>
      <c r="K316" s="184">
        <v>0</v>
      </c>
      <c r="L316" s="184">
        <v>0</v>
      </c>
      <c r="M316" s="184">
        <v>0</v>
      </c>
      <c r="N316" s="184">
        <v>0</v>
      </c>
      <c r="O316" s="184">
        <v>0</v>
      </c>
      <c r="P316" s="184">
        <v>0</v>
      </c>
      <c r="Q316" s="184">
        <v>0</v>
      </c>
      <c r="R316" s="184">
        <v>0</v>
      </c>
      <c r="S316" s="184">
        <v>0</v>
      </c>
      <c r="T316" s="184">
        <v>0</v>
      </c>
      <c r="U316" s="184">
        <v>0</v>
      </c>
      <c r="V316" s="184">
        <v>0</v>
      </c>
      <c r="W316" s="184">
        <v>0</v>
      </c>
      <c r="X316" s="184">
        <v>0</v>
      </c>
      <c r="Y316" s="184">
        <v>0</v>
      </c>
      <c r="Z316" s="184">
        <v>0</v>
      </c>
      <c r="AA316" s="184">
        <v>0</v>
      </c>
      <c r="AB316" s="184">
        <v>0</v>
      </c>
      <c r="AC316" s="184">
        <v>0</v>
      </c>
      <c r="AD316" s="184">
        <v>0</v>
      </c>
    </row>
    <row r="317" spans="2:30">
      <c r="B317" t="s">
        <v>319</v>
      </c>
      <c r="C317" t="s">
        <v>501</v>
      </c>
      <c r="D317" s="148">
        <f t="shared" si="223"/>
        <v>1</v>
      </c>
      <c r="E317" s="184">
        <v>0</v>
      </c>
      <c r="F317" s="184">
        <v>0</v>
      </c>
      <c r="G317" s="184">
        <v>0</v>
      </c>
      <c r="H317" s="184">
        <v>0</v>
      </c>
      <c r="I317" s="184">
        <v>0</v>
      </c>
      <c r="J317" s="184">
        <v>0</v>
      </c>
      <c r="K317" s="184">
        <v>0</v>
      </c>
      <c r="L317" s="184">
        <v>0</v>
      </c>
      <c r="M317" s="184">
        <v>0</v>
      </c>
      <c r="N317" s="184">
        <v>1</v>
      </c>
      <c r="O317" s="184">
        <v>0</v>
      </c>
      <c r="P317" s="184">
        <v>0</v>
      </c>
      <c r="Q317" s="184">
        <v>0</v>
      </c>
      <c r="R317" s="184">
        <v>0</v>
      </c>
      <c r="S317" s="184">
        <v>0</v>
      </c>
      <c r="T317" s="184">
        <v>0</v>
      </c>
      <c r="U317" s="184">
        <v>0</v>
      </c>
      <c r="V317" s="184">
        <v>0</v>
      </c>
      <c r="W317" s="184">
        <v>0</v>
      </c>
      <c r="X317" s="184">
        <v>0</v>
      </c>
      <c r="Y317" s="184">
        <v>0</v>
      </c>
      <c r="Z317" s="184">
        <v>0</v>
      </c>
      <c r="AA317" s="184">
        <v>0</v>
      </c>
      <c r="AB317" s="184">
        <v>0</v>
      </c>
      <c r="AC317" s="184">
        <v>0</v>
      </c>
      <c r="AD317" s="184">
        <v>0</v>
      </c>
    </row>
    <row r="318" spans="2:30">
      <c r="B318" t="s">
        <v>320</v>
      </c>
      <c r="C318" t="s">
        <v>501</v>
      </c>
      <c r="D318" s="148">
        <f t="shared" si="223"/>
        <v>4</v>
      </c>
      <c r="E318" s="184">
        <v>0</v>
      </c>
      <c r="F318" s="184">
        <v>0</v>
      </c>
      <c r="G318" s="184">
        <v>1</v>
      </c>
      <c r="H318" s="184">
        <v>0</v>
      </c>
      <c r="I318" s="184">
        <v>0</v>
      </c>
      <c r="J318" s="184">
        <v>0</v>
      </c>
      <c r="K318" s="184">
        <v>0</v>
      </c>
      <c r="L318" s="184">
        <v>0</v>
      </c>
      <c r="M318" s="184">
        <v>0</v>
      </c>
      <c r="N318" s="184">
        <v>0</v>
      </c>
      <c r="O318" s="184">
        <v>0</v>
      </c>
      <c r="P318" s="184">
        <v>0</v>
      </c>
      <c r="Q318" s="184">
        <v>0</v>
      </c>
      <c r="R318" s="184">
        <v>0</v>
      </c>
      <c r="S318" s="184">
        <v>0</v>
      </c>
      <c r="T318" s="184">
        <v>0</v>
      </c>
      <c r="U318" s="184">
        <v>0</v>
      </c>
      <c r="V318" s="184">
        <v>0</v>
      </c>
      <c r="W318" s="184">
        <v>0</v>
      </c>
      <c r="X318" s="184">
        <v>0</v>
      </c>
      <c r="Y318" s="184">
        <v>0</v>
      </c>
      <c r="Z318" s="184">
        <v>0</v>
      </c>
      <c r="AA318" s="184">
        <v>1</v>
      </c>
      <c r="AB318" s="184">
        <v>1</v>
      </c>
      <c r="AC318" s="184">
        <v>1</v>
      </c>
      <c r="AD318" s="184">
        <v>0</v>
      </c>
    </row>
    <row r="319" spans="2:30">
      <c r="B319" t="s">
        <v>321</v>
      </c>
      <c r="C319" t="s">
        <v>501</v>
      </c>
      <c r="D319" s="148">
        <f t="shared" si="223"/>
        <v>0</v>
      </c>
      <c r="E319" s="184">
        <v>0</v>
      </c>
      <c r="F319" s="184">
        <v>0</v>
      </c>
      <c r="G319" s="184">
        <v>0</v>
      </c>
      <c r="H319" s="184">
        <v>0</v>
      </c>
      <c r="I319" s="184">
        <v>0</v>
      </c>
      <c r="J319" s="184">
        <v>0</v>
      </c>
      <c r="K319" s="184">
        <v>0</v>
      </c>
      <c r="L319" s="184">
        <v>0</v>
      </c>
      <c r="M319" s="184">
        <v>0</v>
      </c>
      <c r="N319" s="184">
        <v>0</v>
      </c>
      <c r="O319" s="184">
        <v>0</v>
      </c>
      <c r="P319" s="184">
        <v>0</v>
      </c>
      <c r="Q319" s="184">
        <v>0</v>
      </c>
      <c r="R319" s="184">
        <v>0</v>
      </c>
      <c r="S319" s="184">
        <v>0</v>
      </c>
      <c r="T319" s="184">
        <v>0</v>
      </c>
      <c r="U319" s="184">
        <v>0</v>
      </c>
      <c r="V319" s="184">
        <v>0</v>
      </c>
      <c r="W319" s="184">
        <v>0</v>
      </c>
      <c r="X319" s="184">
        <v>0</v>
      </c>
      <c r="Y319" s="184">
        <v>0</v>
      </c>
      <c r="Z319" s="184">
        <v>0</v>
      </c>
      <c r="AA319" s="184">
        <v>0</v>
      </c>
      <c r="AB319" s="184">
        <v>0</v>
      </c>
      <c r="AC319" s="184">
        <v>0</v>
      </c>
      <c r="AD319" s="184">
        <v>0</v>
      </c>
    </row>
    <row r="320" spans="2:30">
      <c r="B320" t="s">
        <v>322</v>
      </c>
      <c r="C320" t="s">
        <v>501</v>
      </c>
      <c r="D320" s="148">
        <f t="shared" si="223"/>
        <v>110</v>
      </c>
      <c r="E320" s="184">
        <v>2</v>
      </c>
      <c r="F320" s="184">
        <v>5</v>
      </c>
      <c r="G320" s="184">
        <v>3</v>
      </c>
      <c r="H320" s="184">
        <v>8</v>
      </c>
      <c r="I320" s="184">
        <v>2</v>
      </c>
      <c r="J320" s="184">
        <v>1</v>
      </c>
      <c r="K320" s="184">
        <v>1</v>
      </c>
      <c r="L320" s="184">
        <v>1</v>
      </c>
      <c r="M320" s="184">
        <v>0</v>
      </c>
      <c r="N320" s="184">
        <v>5</v>
      </c>
      <c r="O320" s="184">
        <v>3</v>
      </c>
      <c r="P320" s="184">
        <v>1</v>
      </c>
      <c r="Q320" s="184">
        <v>3</v>
      </c>
      <c r="R320" s="184">
        <v>15</v>
      </c>
      <c r="S320" s="184">
        <v>2</v>
      </c>
      <c r="T320" s="184">
        <v>0</v>
      </c>
      <c r="U320" s="184">
        <v>1</v>
      </c>
      <c r="V320" s="184">
        <v>3</v>
      </c>
      <c r="W320" s="184">
        <v>35</v>
      </c>
      <c r="X320" s="184">
        <v>1</v>
      </c>
      <c r="Y320" s="184">
        <v>0</v>
      </c>
      <c r="Z320" s="184">
        <v>3</v>
      </c>
      <c r="AA320" s="184">
        <v>0</v>
      </c>
      <c r="AB320" s="184">
        <v>3</v>
      </c>
      <c r="AC320" s="184">
        <v>6</v>
      </c>
      <c r="AD320" s="184">
        <v>6</v>
      </c>
    </row>
    <row r="321" spans="2:30">
      <c r="B321" t="s">
        <v>323</v>
      </c>
      <c r="C321" t="s">
        <v>501</v>
      </c>
      <c r="D321" s="148">
        <f t="shared" si="223"/>
        <v>658</v>
      </c>
      <c r="E321" s="184">
        <v>12</v>
      </c>
      <c r="F321" s="184">
        <v>28</v>
      </c>
      <c r="G321" s="184">
        <v>15</v>
      </c>
      <c r="H321" s="184">
        <v>35</v>
      </c>
      <c r="I321" s="184">
        <v>14</v>
      </c>
      <c r="J321" s="184">
        <v>23</v>
      </c>
      <c r="K321" s="184">
        <v>7</v>
      </c>
      <c r="L321" s="184">
        <v>12</v>
      </c>
      <c r="M321" s="184">
        <v>10</v>
      </c>
      <c r="N321" s="184">
        <v>17</v>
      </c>
      <c r="O321" s="184">
        <v>13</v>
      </c>
      <c r="P321" s="184">
        <v>16</v>
      </c>
      <c r="Q321" s="184">
        <v>10</v>
      </c>
      <c r="R321" s="184">
        <v>56</v>
      </c>
      <c r="S321" s="184">
        <v>30</v>
      </c>
      <c r="T321" s="184">
        <v>2</v>
      </c>
      <c r="U321" s="184">
        <v>3</v>
      </c>
      <c r="V321" s="184">
        <v>10</v>
      </c>
      <c r="W321" s="184">
        <v>252</v>
      </c>
      <c r="X321" s="184">
        <v>15</v>
      </c>
      <c r="Y321" s="184">
        <v>17</v>
      </c>
      <c r="Z321" s="184">
        <v>8</v>
      </c>
      <c r="AA321" s="184">
        <v>4</v>
      </c>
      <c r="AB321" s="184">
        <v>12</v>
      </c>
      <c r="AC321" s="184">
        <v>5</v>
      </c>
      <c r="AD321" s="184">
        <v>32</v>
      </c>
    </row>
    <row r="322" spans="2:30">
      <c r="B322" s="79" t="s">
        <v>16</v>
      </c>
      <c r="C322" s="79" t="s">
        <v>501</v>
      </c>
      <c r="D322" s="176">
        <f>SUM(D315:D321)</f>
        <v>773</v>
      </c>
      <c r="E322" s="176">
        <f>SUM(E315:E321)</f>
        <v>14</v>
      </c>
      <c r="F322" s="176">
        <f t="shared" ref="F322:AD322" si="224">SUM(F315:F321)</f>
        <v>33</v>
      </c>
      <c r="G322" s="176">
        <f t="shared" si="224"/>
        <v>19</v>
      </c>
      <c r="H322" s="176">
        <f t="shared" si="224"/>
        <v>43</v>
      </c>
      <c r="I322" s="176">
        <f t="shared" si="224"/>
        <v>16</v>
      </c>
      <c r="J322" s="176">
        <f t="shared" si="224"/>
        <v>24</v>
      </c>
      <c r="K322" s="176">
        <f t="shared" si="224"/>
        <v>8</v>
      </c>
      <c r="L322" s="176">
        <f t="shared" si="224"/>
        <v>13</v>
      </c>
      <c r="M322" s="176">
        <f t="shared" si="224"/>
        <v>10</v>
      </c>
      <c r="N322" s="176">
        <f t="shared" si="224"/>
        <v>23</v>
      </c>
      <c r="O322" s="176">
        <f t="shared" si="224"/>
        <v>16</v>
      </c>
      <c r="P322" s="176">
        <f t="shared" si="224"/>
        <v>17</v>
      </c>
      <c r="Q322" s="176">
        <f t="shared" si="224"/>
        <v>13</v>
      </c>
      <c r="R322" s="176">
        <f t="shared" si="224"/>
        <v>71</v>
      </c>
      <c r="S322" s="176">
        <f t="shared" si="224"/>
        <v>32</v>
      </c>
      <c r="T322" s="176">
        <f t="shared" si="224"/>
        <v>2</v>
      </c>
      <c r="U322" s="176">
        <f t="shared" si="224"/>
        <v>4</v>
      </c>
      <c r="V322" s="176">
        <f t="shared" si="224"/>
        <v>13</v>
      </c>
      <c r="W322" s="176">
        <f t="shared" si="224"/>
        <v>287</v>
      </c>
      <c r="X322" s="176">
        <f t="shared" si="224"/>
        <v>16</v>
      </c>
      <c r="Y322" s="176">
        <f t="shared" si="224"/>
        <v>17</v>
      </c>
      <c r="Z322" s="176">
        <f t="shared" si="224"/>
        <v>11</v>
      </c>
      <c r="AA322" s="176">
        <f t="shared" si="224"/>
        <v>5</v>
      </c>
      <c r="AB322" s="176">
        <f t="shared" si="224"/>
        <v>16</v>
      </c>
      <c r="AC322" s="176">
        <f t="shared" si="224"/>
        <v>12</v>
      </c>
      <c r="AD322" s="176">
        <f t="shared" si="224"/>
        <v>38</v>
      </c>
    </row>
    <row r="323" spans="2:30">
      <c r="B323" t="s">
        <v>584</v>
      </c>
    </row>
    <row r="327" spans="2:30" ht="15.5">
      <c r="B327" s="101" t="s">
        <v>596</v>
      </c>
    </row>
    <row r="328" spans="2:30">
      <c r="B328" s="81" t="s">
        <v>573</v>
      </c>
      <c r="C328" s="81" t="s">
        <v>63</v>
      </c>
      <c r="D328" s="81" t="str">
        <f>D314</f>
        <v>IE</v>
      </c>
      <c r="E328" s="81" t="str">
        <f t="shared" ref="E328:AD328" si="225">E314</f>
        <v>IE-CW</v>
      </c>
      <c r="F328" s="81" t="str">
        <f t="shared" si="225"/>
        <v>IE-D</v>
      </c>
      <c r="G328" s="81" t="str">
        <f t="shared" si="225"/>
        <v>IE-KE</v>
      </c>
      <c r="H328" s="81" t="str">
        <f t="shared" si="225"/>
        <v>IE-KK</v>
      </c>
      <c r="I328" s="81" t="str">
        <f t="shared" si="225"/>
        <v>IE-LS</v>
      </c>
      <c r="J328" s="81" t="str">
        <f t="shared" si="225"/>
        <v>IE-LD</v>
      </c>
      <c r="K328" s="81" t="str">
        <f t="shared" si="225"/>
        <v>IE-LH</v>
      </c>
      <c r="L328" s="81" t="str">
        <f t="shared" si="225"/>
        <v>IE-MH</v>
      </c>
      <c r="M328" s="81" t="str">
        <f t="shared" si="225"/>
        <v>IE-OY</v>
      </c>
      <c r="N328" s="81" t="str">
        <f t="shared" si="225"/>
        <v>IE-WH</v>
      </c>
      <c r="O328" s="81" t="str">
        <f t="shared" si="225"/>
        <v>IE-WX</v>
      </c>
      <c r="P328" s="81" t="str">
        <f t="shared" si="225"/>
        <v>IE-WW</v>
      </c>
      <c r="Q328" s="81" t="str">
        <f t="shared" si="225"/>
        <v>IE-CE</v>
      </c>
      <c r="R328" s="81" t="str">
        <f t="shared" si="225"/>
        <v>IE-CO</v>
      </c>
      <c r="S328" s="81" t="str">
        <f t="shared" si="225"/>
        <v>IE-KY</v>
      </c>
      <c r="T328" s="81" t="str">
        <f t="shared" si="225"/>
        <v>IE-LK</v>
      </c>
      <c r="U328" s="81" t="str">
        <f t="shared" si="225"/>
        <v>IE-TA</v>
      </c>
      <c r="V328" s="81" t="str">
        <f t="shared" si="225"/>
        <v>IE-WD</v>
      </c>
      <c r="W328" s="81" t="str">
        <f t="shared" si="225"/>
        <v>IE-G</v>
      </c>
      <c r="X328" s="81" t="str">
        <f t="shared" si="225"/>
        <v>IE-LM</v>
      </c>
      <c r="Y328" s="81" t="str">
        <f t="shared" si="225"/>
        <v>IE-MO</v>
      </c>
      <c r="Z328" s="81" t="str">
        <f t="shared" si="225"/>
        <v>IE-RN</v>
      </c>
      <c r="AA328" s="81" t="str">
        <f t="shared" si="225"/>
        <v>IE-SO</v>
      </c>
      <c r="AB328" s="81" t="str">
        <f t="shared" si="225"/>
        <v>IE-CN</v>
      </c>
      <c r="AC328" s="81" t="str">
        <f t="shared" si="225"/>
        <v>IE-DL</v>
      </c>
      <c r="AD328" s="81" t="str">
        <f t="shared" si="225"/>
        <v>IE-MN</v>
      </c>
    </row>
    <row r="329" spans="2:30">
      <c r="B329" t="s">
        <v>317</v>
      </c>
      <c r="C329" s="179" t="s">
        <v>577</v>
      </c>
      <c r="D329" s="29">
        <f>D315/D$322</f>
        <v>0</v>
      </c>
      <c r="E329" s="29">
        <f t="shared" ref="E329:AD335" si="226">E315/E$322</f>
        <v>0</v>
      </c>
      <c r="F329" s="29">
        <f t="shared" si="226"/>
        <v>0</v>
      </c>
      <c r="G329" s="29">
        <f t="shared" si="226"/>
        <v>0</v>
      </c>
      <c r="H329" s="29">
        <f t="shared" si="226"/>
        <v>0</v>
      </c>
      <c r="I329" s="29">
        <f t="shared" si="226"/>
        <v>0</v>
      </c>
      <c r="J329" s="29">
        <f t="shared" si="226"/>
        <v>0</v>
      </c>
      <c r="K329" s="29">
        <f t="shared" si="226"/>
        <v>0</v>
      </c>
      <c r="L329" s="29">
        <f t="shared" si="226"/>
        <v>0</v>
      </c>
      <c r="M329" s="29">
        <f t="shared" si="226"/>
        <v>0</v>
      </c>
      <c r="N329" s="29">
        <f t="shared" si="226"/>
        <v>0</v>
      </c>
      <c r="O329" s="29">
        <f t="shared" si="226"/>
        <v>0</v>
      </c>
      <c r="P329" s="29">
        <f t="shared" si="226"/>
        <v>0</v>
      </c>
      <c r="Q329" s="29">
        <f t="shared" si="226"/>
        <v>0</v>
      </c>
      <c r="R329" s="29">
        <f t="shared" si="226"/>
        <v>0</v>
      </c>
      <c r="S329" s="29">
        <f t="shared" si="226"/>
        <v>0</v>
      </c>
      <c r="T329" s="29">
        <f t="shared" si="226"/>
        <v>0</v>
      </c>
      <c r="U329" s="29">
        <f t="shared" si="226"/>
        <v>0</v>
      </c>
      <c r="V329" s="29">
        <f t="shared" si="226"/>
        <v>0</v>
      </c>
      <c r="W329" s="29">
        <f t="shared" si="226"/>
        <v>0</v>
      </c>
      <c r="X329" s="29">
        <f t="shared" si="226"/>
        <v>0</v>
      </c>
      <c r="Y329" s="29">
        <f t="shared" si="226"/>
        <v>0</v>
      </c>
      <c r="Z329" s="29">
        <f t="shared" si="226"/>
        <v>0</v>
      </c>
      <c r="AA329" s="29">
        <f t="shared" si="226"/>
        <v>0</v>
      </c>
      <c r="AB329" s="29">
        <f t="shared" si="226"/>
        <v>0</v>
      </c>
      <c r="AC329" s="29">
        <f t="shared" si="226"/>
        <v>0</v>
      </c>
      <c r="AD329" s="29">
        <f t="shared" si="226"/>
        <v>0</v>
      </c>
    </row>
    <row r="330" spans="2:30">
      <c r="B330" t="s">
        <v>318</v>
      </c>
      <c r="C330" t="s">
        <v>577</v>
      </c>
      <c r="D330" s="29">
        <f t="shared" ref="D330:S335" si="227">D316/D$322</f>
        <v>0</v>
      </c>
      <c r="E330" s="29">
        <f t="shared" si="227"/>
        <v>0</v>
      </c>
      <c r="F330" s="29">
        <f t="shared" si="227"/>
        <v>0</v>
      </c>
      <c r="G330" s="29">
        <f t="shared" si="227"/>
        <v>0</v>
      </c>
      <c r="H330" s="29">
        <f t="shared" si="227"/>
        <v>0</v>
      </c>
      <c r="I330" s="29">
        <f t="shared" si="227"/>
        <v>0</v>
      </c>
      <c r="J330" s="29">
        <f t="shared" si="227"/>
        <v>0</v>
      </c>
      <c r="K330" s="29">
        <f t="shared" si="227"/>
        <v>0</v>
      </c>
      <c r="L330" s="29">
        <f t="shared" si="227"/>
        <v>0</v>
      </c>
      <c r="M330" s="29">
        <f t="shared" si="227"/>
        <v>0</v>
      </c>
      <c r="N330" s="29">
        <f t="shared" si="227"/>
        <v>0</v>
      </c>
      <c r="O330" s="29">
        <f t="shared" si="227"/>
        <v>0</v>
      </c>
      <c r="P330" s="29">
        <f t="shared" si="227"/>
        <v>0</v>
      </c>
      <c r="Q330" s="29">
        <f t="shared" si="227"/>
        <v>0</v>
      </c>
      <c r="R330" s="29">
        <f t="shared" si="227"/>
        <v>0</v>
      </c>
      <c r="S330" s="29">
        <f t="shared" si="227"/>
        <v>0</v>
      </c>
      <c r="T330" s="29">
        <f t="shared" si="226"/>
        <v>0</v>
      </c>
      <c r="U330" s="29">
        <f t="shared" si="226"/>
        <v>0</v>
      </c>
      <c r="V330" s="29">
        <f t="shared" si="226"/>
        <v>0</v>
      </c>
      <c r="W330" s="29">
        <f t="shared" si="226"/>
        <v>0</v>
      </c>
      <c r="X330" s="29">
        <f t="shared" si="226"/>
        <v>0</v>
      </c>
      <c r="Y330" s="29">
        <f t="shared" si="226"/>
        <v>0</v>
      </c>
      <c r="Z330" s="29">
        <f t="shared" si="226"/>
        <v>0</v>
      </c>
      <c r="AA330" s="29">
        <f t="shared" si="226"/>
        <v>0</v>
      </c>
      <c r="AB330" s="29">
        <f t="shared" si="226"/>
        <v>0</v>
      </c>
      <c r="AC330" s="29">
        <f t="shared" si="226"/>
        <v>0</v>
      </c>
      <c r="AD330" s="29">
        <f t="shared" si="226"/>
        <v>0</v>
      </c>
    </row>
    <row r="331" spans="2:30">
      <c r="B331" t="s">
        <v>319</v>
      </c>
      <c r="C331" t="s">
        <v>577</v>
      </c>
      <c r="D331" s="29">
        <f t="shared" si="227"/>
        <v>1.29366106080207E-3</v>
      </c>
      <c r="E331" s="29">
        <f t="shared" si="226"/>
        <v>0</v>
      </c>
      <c r="F331" s="29">
        <f t="shared" si="226"/>
        <v>0</v>
      </c>
      <c r="G331" s="29">
        <f t="shared" si="226"/>
        <v>0</v>
      </c>
      <c r="H331" s="29">
        <f t="shared" si="226"/>
        <v>0</v>
      </c>
      <c r="I331" s="29">
        <f t="shared" si="226"/>
        <v>0</v>
      </c>
      <c r="J331" s="29">
        <f t="shared" si="226"/>
        <v>0</v>
      </c>
      <c r="K331" s="29">
        <f t="shared" si="226"/>
        <v>0</v>
      </c>
      <c r="L331" s="29">
        <f t="shared" si="226"/>
        <v>0</v>
      </c>
      <c r="M331" s="29">
        <f t="shared" si="226"/>
        <v>0</v>
      </c>
      <c r="N331" s="29">
        <f t="shared" si="226"/>
        <v>4.3478260869565216E-2</v>
      </c>
      <c r="O331" s="29">
        <f t="shared" si="226"/>
        <v>0</v>
      </c>
      <c r="P331" s="29">
        <f t="shared" si="226"/>
        <v>0</v>
      </c>
      <c r="Q331" s="29">
        <f t="shared" si="226"/>
        <v>0</v>
      </c>
      <c r="R331" s="29">
        <f t="shared" si="226"/>
        <v>0</v>
      </c>
      <c r="S331" s="29">
        <f t="shared" si="226"/>
        <v>0</v>
      </c>
      <c r="T331" s="29">
        <f t="shared" si="226"/>
        <v>0</v>
      </c>
      <c r="U331" s="29">
        <f t="shared" si="226"/>
        <v>0</v>
      </c>
      <c r="V331" s="29">
        <f t="shared" si="226"/>
        <v>0</v>
      </c>
      <c r="W331" s="29">
        <f t="shared" si="226"/>
        <v>0</v>
      </c>
      <c r="X331" s="29">
        <f t="shared" si="226"/>
        <v>0</v>
      </c>
      <c r="Y331" s="29">
        <f t="shared" si="226"/>
        <v>0</v>
      </c>
      <c r="Z331" s="29">
        <f t="shared" si="226"/>
        <v>0</v>
      </c>
      <c r="AA331" s="29">
        <f t="shared" si="226"/>
        <v>0</v>
      </c>
      <c r="AB331" s="29">
        <f t="shared" si="226"/>
        <v>0</v>
      </c>
      <c r="AC331" s="29">
        <f t="shared" si="226"/>
        <v>0</v>
      </c>
      <c r="AD331" s="29">
        <f t="shared" si="226"/>
        <v>0</v>
      </c>
    </row>
    <row r="332" spans="2:30">
      <c r="B332" t="s">
        <v>320</v>
      </c>
      <c r="C332" t="s">
        <v>577</v>
      </c>
      <c r="D332" s="29">
        <f t="shared" si="227"/>
        <v>5.1746442432082798E-3</v>
      </c>
      <c r="E332" s="29">
        <f t="shared" si="226"/>
        <v>0</v>
      </c>
      <c r="F332" s="29">
        <f t="shared" si="226"/>
        <v>0</v>
      </c>
      <c r="G332" s="29">
        <f t="shared" si="226"/>
        <v>5.2631578947368418E-2</v>
      </c>
      <c r="H332" s="29">
        <f t="shared" si="226"/>
        <v>0</v>
      </c>
      <c r="I332" s="29">
        <f t="shared" si="226"/>
        <v>0</v>
      </c>
      <c r="J332" s="29">
        <f t="shared" si="226"/>
        <v>0</v>
      </c>
      <c r="K332" s="29">
        <f t="shared" si="226"/>
        <v>0</v>
      </c>
      <c r="L332" s="29">
        <f t="shared" si="226"/>
        <v>0</v>
      </c>
      <c r="M332" s="29">
        <f t="shared" si="226"/>
        <v>0</v>
      </c>
      <c r="N332" s="29">
        <f t="shared" si="226"/>
        <v>0</v>
      </c>
      <c r="O332" s="29">
        <f t="shared" si="226"/>
        <v>0</v>
      </c>
      <c r="P332" s="29">
        <f t="shared" si="226"/>
        <v>0</v>
      </c>
      <c r="Q332" s="29">
        <f t="shared" si="226"/>
        <v>0</v>
      </c>
      <c r="R332" s="29">
        <f t="shared" si="226"/>
        <v>0</v>
      </c>
      <c r="S332" s="29">
        <f t="shared" si="226"/>
        <v>0</v>
      </c>
      <c r="T332" s="29">
        <f t="shared" si="226"/>
        <v>0</v>
      </c>
      <c r="U332" s="29">
        <f t="shared" si="226"/>
        <v>0</v>
      </c>
      <c r="V332" s="29">
        <f t="shared" si="226"/>
        <v>0</v>
      </c>
      <c r="W332" s="29">
        <f t="shared" si="226"/>
        <v>0</v>
      </c>
      <c r="X332" s="29">
        <f t="shared" si="226"/>
        <v>0</v>
      </c>
      <c r="Y332" s="29">
        <f t="shared" si="226"/>
        <v>0</v>
      </c>
      <c r="Z332" s="29">
        <f t="shared" si="226"/>
        <v>0</v>
      </c>
      <c r="AA332" s="29">
        <f t="shared" si="226"/>
        <v>0.2</v>
      </c>
      <c r="AB332" s="29">
        <f t="shared" si="226"/>
        <v>6.25E-2</v>
      </c>
      <c r="AC332" s="29">
        <f t="shared" si="226"/>
        <v>8.3333333333333329E-2</v>
      </c>
      <c r="AD332" s="29">
        <f t="shared" si="226"/>
        <v>0</v>
      </c>
    </row>
    <row r="333" spans="2:30">
      <c r="B333" t="s">
        <v>321</v>
      </c>
      <c r="C333" t="s">
        <v>577</v>
      </c>
      <c r="D333" s="29">
        <f t="shared" si="227"/>
        <v>0</v>
      </c>
      <c r="E333" s="29">
        <f t="shared" si="226"/>
        <v>0</v>
      </c>
      <c r="F333" s="29">
        <f t="shared" si="226"/>
        <v>0</v>
      </c>
      <c r="G333" s="29">
        <f t="shared" si="226"/>
        <v>0</v>
      </c>
      <c r="H333" s="29">
        <f t="shared" si="226"/>
        <v>0</v>
      </c>
      <c r="I333" s="29">
        <f t="shared" si="226"/>
        <v>0</v>
      </c>
      <c r="J333" s="29">
        <f t="shared" si="226"/>
        <v>0</v>
      </c>
      <c r="K333" s="29">
        <f t="shared" si="226"/>
        <v>0</v>
      </c>
      <c r="L333" s="29">
        <f t="shared" si="226"/>
        <v>0</v>
      </c>
      <c r="M333" s="29">
        <f t="shared" si="226"/>
        <v>0</v>
      </c>
      <c r="N333" s="29">
        <f t="shared" si="226"/>
        <v>0</v>
      </c>
      <c r="O333" s="29">
        <f t="shared" si="226"/>
        <v>0</v>
      </c>
      <c r="P333" s="29">
        <f t="shared" si="226"/>
        <v>0</v>
      </c>
      <c r="Q333" s="29">
        <f t="shared" si="226"/>
        <v>0</v>
      </c>
      <c r="R333" s="29">
        <f t="shared" si="226"/>
        <v>0</v>
      </c>
      <c r="S333" s="29">
        <f t="shared" si="226"/>
        <v>0</v>
      </c>
      <c r="T333" s="29">
        <f t="shared" si="226"/>
        <v>0</v>
      </c>
      <c r="U333" s="29">
        <f t="shared" si="226"/>
        <v>0</v>
      </c>
      <c r="V333" s="29">
        <f t="shared" si="226"/>
        <v>0</v>
      </c>
      <c r="W333" s="29">
        <f t="shared" si="226"/>
        <v>0</v>
      </c>
      <c r="X333" s="29">
        <f t="shared" si="226"/>
        <v>0</v>
      </c>
      <c r="Y333" s="29">
        <f t="shared" si="226"/>
        <v>0</v>
      </c>
      <c r="Z333" s="29">
        <f t="shared" si="226"/>
        <v>0</v>
      </c>
      <c r="AA333" s="29">
        <f t="shared" si="226"/>
        <v>0</v>
      </c>
      <c r="AB333" s="29">
        <f t="shared" si="226"/>
        <v>0</v>
      </c>
      <c r="AC333" s="29">
        <f t="shared" si="226"/>
        <v>0</v>
      </c>
      <c r="AD333" s="29">
        <f t="shared" si="226"/>
        <v>0</v>
      </c>
    </row>
    <row r="334" spans="2:30">
      <c r="B334" t="s">
        <v>322</v>
      </c>
      <c r="C334" t="s">
        <v>577</v>
      </c>
      <c r="D334" s="29">
        <f t="shared" si="227"/>
        <v>0.14230271668822769</v>
      </c>
      <c r="E334" s="29">
        <f t="shared" si="226"/>
        <v>0.14285714285714285</v>
      </c>
      <c r="F334" s="29">
        <f t="shared" si="226"/>
        <v>0.15151515151515152</v>
      </c>
      <c r="G334" s="29">
        <f t="shared" si="226"/>
        <v>0.15789473684210525</v>
      </c>
      <c r="H334" s="29">
        <f t="shared" si="226"/>
        <v>0.18604651162790697</v>
      </c>
      <c r="I334" s="29">
        <f t="shared" si="226"/>
        <v>0.125</v>
      </c>
      <c r="J334" s="29">
        <f t="shared" si="226"/>
        <v>4.1666666666666664E-2</v>
      </c>
      <c r="K334" s="29">
        <f t="shared" si="226"/>
        <v>0.125</v>
      </c>
      <c r="L334" s="29">
        <f t="shared" si="226"/>
        <v>7.6923076923076927E-2</v>
      </c>
      <c r="M334" s="29">
        <f t="shared" si="226"/>
        <v>0</v>
      </c>
      <c r="N334" s="29">
        <f t="shared" si="226"/>
        <v>0.21739130434782608</v>
      </c>
      <c r="O334" s="29">
        <f t="shared" si="226"/>
        <v>0.1875</v>
      </c>
      <c r="P334" s="29">
        <f t="shared" si="226"/>
        <v>5.8823529411764705E-2</v>
      </c>
      <c r="Q334" s="29">
        <f t="shared" si="226"/>
        <v>0.23076923076923078</v>
      </c>
      <c r="R334" s="29">
        <f t="shared" si="226"/>
        <v>0.21126760563380281</v>
      </c>
      <c r="S334" s="29">
        <f t="shared" si="226"/>
        <v>6.25E-2</v>
      </c>
      <c r="T334" s="29">
        <f t="shared" si="226"/>
        <v>0</v>
      </c>
      <c r="U334" s="29">
        <f t="shared" si="226"/>
        <v>0.25</v>
      </c>
      <c r="V334" s="29">
        <f t="shared" si="226"/>
        <v>0.23076923076923078</v>
      </c>
      <c r="W334" s="29">
        <f t="shared" si="226"/>
        <v>0.12195121951219512</v>
      </c>
      <c r="X334" s="29">
        <f t="shared" si="226"/>
        <v>6.25E-2</v>
      </c>
      <c r="Y334" s="29">
        <f t="shared" si="226"/>
        <v>0</v>
      </c>
      <c r="Z334" s="29">
        <f t="shared" si="226"/>
        <v>0.27272727272727271</v>
      </c>
      <c r="AA334" s="29">
        <f t="shared" si="226"/>
        <v>0</v>
      </c>
      <c r="AB334" s="29">
        <f t="shared" si="226"/>
        <v>0.1875</v>
      </c>
      <c r="AC334" s="29">
        <f t="shared" si="226"/>
        <v>0.5</v>
      </c>
      <c r="AD334" s="29">
        <f t="shared" si="226"/>
        <v>0.15789473684210525</v>
      </c>
    </row>
    <row r="335" spans="2:30">
      <c r="B335" t="s">
        <v>323</v>
      </c>
      <c r="C335" t="s">
        <v>577</v>
      </c>
      <c r="D335" s="29">
        <f t="shared" si="227"/>
        <v>0.85122897800776198</v>
      </c>
      <c r="E335" s="29">
        <f t="shared" si="226"/>
        <v>0.8571428571428571</v>
      </c>
      <c r="F335" s="29">
        <f t="shared" si="226"/>
        <v>0.84848484848484851</v>
      </c>
      <c r="G335" s="29">
        <f t="shared" si="226"/>
        <v>0.78947368421052633</v>
      </c>
      <c r="H335" s="29">
        <f t="shared" si="226"/>
        <v>0.81395348837209303</v>
      </c>
      <c r="I335" s="29">
        <f t="shared" si="226"/>
        <v>0.875</v>
      </c>
      <c r="J335" s="29">
        <f t="shared" si="226"/>
        <v>0.95833333333333337</v>
      </c>
      <c r="K335" s="29">
        <f t="shared" si="226"/>
        <v>0.875</v>
      </c>
      <c r="L335" s="29">
        <f t="shared" si="226"/>
        <v>0.92307692307692313</v>
      </c>
      <c r="M335" s="29">
        <f t="shared" si="226"/>
        <v>1</v>
      </c>
      <c r="N335" s="29">
        <f t="shared" si="226"/>
        <v>0.73913043478260865</v>
      </c>
      <c r="O335" s="29">
        <f t="shared" si="226"/>
        <v>0.8125</v>
      </c>
      <c r="P335" s="29">
        <f t="shared" si="226"/>
        <v>0.94117647058823528</v>
      </c>
      <c r="Q335" s="29">
        <f t="shared" si="226"/>
        <v>0.76923076923076927</v>
      </c>
      <c r="R335" s="29">
        <f t="shared" si="226"/>
        <v>0.78873239436619713</v>
      </c>
      <c r="S335" s="29">
        <f t="shared" si="226"/>
        <v>0.9375</v>
      </c>
      <c r="T335" s="29">
        <f t="shared" si="226"/>
        <v>1</v>
      </c>
      <c r="U335" s="29">
        <f t="shared" si="226"/>
        <v>0.75</v>
      </c>
      <c r="V335" s="29">
        <f t="shared" si="226"/>
        <v>0.76923076923076927</v>
      </c>
      <c r="W335" s="29">
        <f t="shared" si="226"/>
        <v>0.87804878048780488</v>
      </c>
      <c r="X335" s="29">
        <f t="shared" si="226"/>
        <v>0.9375</v>
      </c>
      <c r="Y335" s="29">
        <f t="shared" si="226"/>
        <v>1</v>
      </c>
      <c r="Z335" s="29">
        <f t="shared" si="226"/>
        <v>0.72727272727272729</v>
      </c>
      <c r="AA335" s="29">
        <f t="shared" si="226"/>
        <v>0.8</v>
      </c>
      <c r="AB335" s="29">
        <f t="shared" si="226"/>
        <v>0.75</v>
      </c>
      <c r="AC335" s="29">
        <f t="shared" si="226"/>
        <v>0.41666666666666669</v>
      </c>
      <c r="AD335" s="29">
        <f t="shared" si="226"/>
        <v>0.84210526315789469</v>
      </c>
    </row>
    <row r="336" spans="2:30">
      <c r="B336" s="79" t="s">
        <v>16</v>
      </c>
      <c r="C336" s="79" t="s">
        <v>577</v>
      </c>
      <c r="D336" s="102">
        <f t="shared" ref="D336:AD336" si="228">SUM(D329:D335)</f>
        <v>1</v>
      </c>
      <c r="E336" s="102">
        <f t="shared" si="228"/>
        <v>1</v>
      </c>
      <c r="F336" s="102">
        <f t="shared" si="228"/>
        <v>1</v>
      </c>
      <c r="G336" s="102">
        <f t="shared" si="228"/>
        <v>1</v>
      </c>
      <c r="H336" s="102">
        <f t="shared" si="228"/>
        <v>1</v>
      </c>
      <c r="I336" s="102">
        <f t="shared" si="228"/>
        <v>1</v>
      </c>
      <c r="J336" s="102">
        <f t="shared" si="228"/>
        <v>1</v>
      </c>
      <c r="K336" s="102">
        <f t="shared" si="228"/>
        <v>1</v>
      </c>
      <c r="L336" s="102">
        <f t="shared" si="228"/>
        <v>1</v>
      </c>
      <c r="M336" s="102">
        <f t="shared" si="228"/>
        <v>1</v>
      </c>
      <c r="N336" s="102">
        <f t="shared" si="228"/>
        <v>1</v>
      </c>
      <c r="O336" s="102">
        <f t="shared" si="228"/>
        <v>1</v>
      </c>
      <c r="P336" s="102">
        <f t="shared" si="228"/>
        <v>1</v>
      </c>
      <c r="Q336" s="102">
        <f t="shared" si="228"/>
        <v>1</v>
      </c>
      <c r="R336" s="102">
        <f t="shared" si="228"/>
        <v>1</v>
      </c>
      <c r="S336" s="102">
        <f t="shared" si="228"/>
        <v>1</v>
      </c>
      <c r="T336" s="102">
        <f t="shared" si="228"/>
        <v>1</v>
      </c>
      <c r="U336" s="102">
        <f t="shared" si="228"/>
        <v>1</v>
      </c>
      <c r="V336" s="102">
        <f t="shared" si="228"/>
        <v>1</v>
      </c>
      <c r="W336" s="102">
        <f t="shared" si="228"/>
        <v>1</v>
      </c>
      <c r="X336" s="102">
        <f t="shared" si="228"/>
        <v>1</v>
      </c>
      <c r="Y336" s="102">
        <f t="shared" si="228"/>
        <v>1</v>
      </c>
      <c r="Z336" s="102">
        <f t="shared" si="228"/>
        <v>1</v>
      </c>
      <c r="AA336" s="102">
        <f t="shared" si="228"/>
        <v>1</v>
      </c>
      <c r="AB336" s="102">
        <f t="shared" si="228"/>
        <v>1</v>
      </c>
      <c r="AC336" s="102">
        <f t="shared" si="228"/>
        <v>1</v>
      </c>
      <c r="AD336" s="102">
        <f t="shared" si="228"/>
        <v>1</v>
      </c>
    </row>
    <row r="340" spans="2:30" ht="15.5">
      <c r="B340" s="101" t="s">
        <v>597</v>
      </c>
    </row>
    <row r="341" spans="2:30">
      <c r="B341" s="81" t="s">
        <v>573</v>
      </c>
      <c r="C341" s="81" t="s">
        <v>63</v>
      </c>
      <c r="D341" s="81" t="str">
        <f>D328</f>
        <v>IE</v>
      </c>
      <c r="E341" s="81" t="str">
        <f t="shared" ref="E341:AD341" si="229">E328</f>
        <v>IE-CW</v>
      </c>
      <c r="F341" s="81" t="str">
        <f t="shared" si="229"/>
        <v>IE-D</v>
      </c>
      <c r="G341" s="81" t="str">
        <f t="shared" si="229"/>
        <v>IE-KE</v>
      </c>
      <c r="H341" s="81" t="str">
        <f t="shared" si="229"/>
        <v>IE-KK</v>
      </c>
      <c r="I341" s="81" t="str">
        <f t="shared" si="229"/>
        <v>IE-LS</v>
      </c>
      <c r="J341" s="81" t="str">
        <f t="shared" si="229"/>
        <v>IE-LD</v>
      </c>
      <c r="K341" s="81" t="str">
        <f t="shared" si="229"/>
        <v>IE-LH</v>
      </c>
      <c r="L341" s="81" t="str">
        <f t="shared" si="229"/>
        <v>IE-MH</v>
      </c>
      <c r="M341" s="81" t="str">
        <f t="shared" si="229"/>
        <v>IE-OY</v>
      </c>
      <c r="N341" s="81" t="str">
        <f t="shared" si="229"/>
        <v>IE-WH</v>
      </c>
      <c r="O341" s="81" t="str">
        <f t="shared" si="229"/>
        <v>IE-WX</v>
      </c>
      <c r="P341" s="81" t="str">
        <f t="shared" si="229"/>
        <v>IE-WW</v>
      </c>
      <c r="Q341" s="81" t="str">
        <f t="shared" si="229"/>
        <v>IE-CE</v>
      </c>
      <c r="R341" s="81" t="str">
        <f t="shared" si="229"/>
        <v>IE-CO</v>
      </c>
      <c r="S341" s="81" t="str">
        <f t="shared" si="229"/>
        <v>IE-KY</v>
      </c>
      <c r="T341" s="81" t="str">
        <f t="shared" si="229"/>
        <v>IE-LK</v>
      </c>
      <c r="U341" s="81" t="str">
        <f t="shared" si="229"/>
        <v>IE-TA</v>
      </c>
      <c r="V341" s="81" t="str">
        <f t="shared" si="229"/>
        <v>IE-WD</v>
      </c>
      <c r="W341" s="81" t="str">
        <f t="shared" si="229"/>
        <v>IE-G</v>
      </c>
      <c r="X341" s="81" t="str">
        <f t="shared" si="229"/>
        <v>IE-LM</v>
      </c>
      <c r="Y341" s="81" t="str">
        <f t="shared" si="229"/>
        <v>IE-MO</v>
      </c>
      <c r="Z341" s="81" t="str">
        <f t="shared" si="229"/>
        <v>IE-RN</v>
      </c>
      <c r="AA341" s="81" t="str">
        <f t="shared" si="229"/>
        <v>IE-SO</v>
      </c>
      <c r="AB341" s="81" t="str">
        <f t="shared" si="229"/>
        <v>IE-CN</v>
      </c>
      <c r="AC341" s="81" t="str">
        <f t="shared" si="229"/>
        <v>IE-DL</v>
      </c>
      <c r="AD341" s="81" t="str">
        <f t="shared" si="229"/>
        <v>IE-MN</v>
      </c>
    </row>
    <row r="342" spans="2:30">
      <c r="B342" t="s">
        <v>317</v>
      </c>
      <c r="C342" t="s">
        <v>578</v>
      </c>
      <c r="D342" s="181">
        <v>1.0462382065888809</v>
      </c>
      <c r="E342" s="181">
        <v>1.0462382065888809</v>
      </c>
      <c r="F342" s="181">
        <v>1.0462382065888809</v>
      </c>
      <c r="G342" s="181">
        <v>1.0462382065888809</v>
      </c>
      <c r="H342" s="181">
        <v>1.0462382065888809</v>
      </c>
      <c r="I342" s="181">
        <v>1.0462382065888809</v>
      </c>
      <c r="J342" s="181">
        <v>1.0462382065888809</v>
      </c>
      <c r="K342" s="181">
        <v>1.0462382065888809</v>
      </c>
      <c r="L342" s="181">
        <v>1.0462382065888809</v>
      </c>
      <c r="M342" s="181">
        <v>1.0462382065888809</v>
      </c>
      <c r="N342" s="181">
        <v>1.0462382065888809</v>
      </c>
      <c r="O342" s="181">
        <v>1.0462382065888809</v>
      </c>
      <c r="P342" s="181">
        <v>1.0462382065888809</v>
      </c>
      <c r="Q342" s="181">
        <v>1.0462382065888809</v>
      </c>
      <c r="R342" s="181">
        <v>1.0462382065888809</v>
      </c>
      <c r="S342" s="181">
        <v>1.0462382065888809</v>
      </c>
      <c r="T342" s="181">
        <v>1.0462382065888809</v>
      </c>
      <c r="U342" s="181">
        <v>1.0462382065888809</v>
      </c>
      <c r="V342" s="181">
        <v>1.0462382065888809</v>
      </c>
      <c r="W342" s="181">
        <v>1.0462382065888809</v>
      </c>
      <c r="X342" s="181">
        <v>1.0462382065888809</v>
      </c>
      <c r="Y342" s="181">
        <v>1.0462382065888809</v>
      </c>
      <c r="Z342" s="181">
        <v>1.0462382065888809</v>
      </c>
      <c r="AA342" s="181">
        <v>1.0462382065888809</v>
      </c>
      <c r="AB342" s="181">
        <v>1.0462382065888809</v>
      </c>
      <c r="AC342" s="181">
        <v>1.0462382065888809</v>
      </c>
      <c r="AD342" s="181">
        <v>1.0462382065888809</v>
      </c>
    </row>
    <row r="343" spans="2:30">
      <c r="B343" t="s">
        <v>318</v>
      </c>
      <c r="C343" t="s">
        <v>578</v>
      </c>
      <c r="D343" s="181">
        <v>1.0486844669655038</v>
      </c>
      <c r="E343" s="181">
        <v>1.0486844669655038</v>
      </c>
      <c r="F343" s="181">
        <v>1.0486844669655038</v>
      </c>
      <c r="G343" s="181">
        <v>1.0486844669655038</v>
      </c>
      <c r="H343" s="181">
        <v>1.0486844669655038</v>
      </c>
      <c r="I343" s="181">
        <v>1.0486844669655038</v>
      </c>
      <c r="J343" s="181">
        <v>1.0486844669655038</v>
      </c>
      <c r="K343" s="181">
        <v>1.0486844669655038</v>
      </c>
      <c r="L343" s="181">
        <v>1.0486844669655038</v>
      </c>
      <c r="M343" s="181">
        <v>1.0486844669655038</v>
      </c>
      <c r="N343" s="181">
        <v>1.0486844669655038</v>
      </c>
      <c r="O343" s="181">
        <v>1.0486844669655038</v>
      </c>
      <c r="P343" s="181">
        <v>1.0486844669655038</v>
      </c>
      <c r="Q343" s="181">
        <v>1.0486844669655038</v>
      </c>
      <c r="R343" s="181">
        <v>1.0486844669655038</v>
      </c>
      <c r="S343" s="181">
        <v>1.0486844669655038</v>
      </c>
      <c r="T343" s="181">
        <v>1.0486844669655038</v>
      </c>
      <c r="U343" s="181">
        <v>1.0486844669655038</v>
      </c>
      <c r="V343" s="181">
        <v>1.0486844669655038</v>
      </c>
      <c r="W343" s="181">
        <v>1.0486844669655038</v>
      </c>
      <c r="X343" s="181">
        <v>1.0486844669655038</v>
      </c>
      <c r="Y343" s="181">
        <v>1.0486844669655038</v>
      </c>
      <c r="Z343" s="181">
        <v>1.0486844669655038</v>
      </c>
      <c r="AA343" s="181">
        <v>1.0486844669655038</v>
      </c>
      <c r="AB343" s="181">
        <v>1.0486844669655038</v>
      </c>
      <c r="AC343" s="181">
        <v>1.0486844669655038</v>
      </c>
      <c r="AD343" s="181">
        <v>1.0486844669655038</v>
      </c>
    </row>
    <row r="344" spans="2:30">
      <c r="B344" t="s">
        <v>319</v>
      </c>
      <c r="C344" t="s">
        <v>578</v>
      </c>
      <c r="D344" s="181">
        <v>1.0796552350700317</v>
      </c>
      <c r="E344" s="181">
        <v>1.0796552350700317</v>
      </c>
      <c r="F344" s="181">
        <v>1.0796552350700317</v>
      </c>
      <c r="G344" s="181">
        <v>1.0796552350700317</v>
      </c>
      <c r="H344" s="181">
        <v>1.0796552350700317</v>
      </c>
      <c r="I344" s="181">
        <v>1.0796552350700317</v>
      </c>
      <c r="J344" s="181">
        <v>1.0796552350700317</v>
      </c>
      <c r="K344" s="181">
        <v>1.0796552350700317</v>
      </c>
      <c r="L344" s="181">
        <v>1.0796552350700317</v>
      </c>
      <c r="M344" s="181">
        <v>1.0796552350700317</v>
      </c>
      <c r="N344" s="181">
        <v>1.0796552350700317</v>
      </c>
      <c r="O344" s="181">
        <v>1.0796552350700317</v>
      </c>
      <c r="P344" s="181">
        <v>1.0796552350700317</v>
      </c>
      <c r="Q344" s="181">
        <v>1.0796552350700317</v>
      </c>
      <c r="R344" s="181">
        <v>1.0796552350700317</v>
      </c>
      <c r="S344" s="181">
        <v>1.0796552350700317</v>
      </c>
      <c r="T344" s="181">
        <v>1.0796552350700317</v>
      </c>
      <c r="U344" s="181">
        <v>1.0796552350700317</v>
      </c>
      <c r="V344" s="181">
        <v>1.0796552350700317</v>
      </c>
      <c r="W344" s="181">
        <v>1.0796552350700317</v>
      </c>
      <c r="X344" s="181">
        <v>1.0796552350700317</v>
      </c>
      <c r="Y344" s="181">
        <v>1.0796552350700317</v>
      </c>
      <c r="Z344" s="181">
        <v>1.0796552350700317</v>
      </c>
      <c r="AA344" s="181">
        <v>1.0796552350700317</v>
      </c>
      <c r="AB344" s="181">
        <v>1.0796552350700317</v>
      </c>
      <c r="AC344" s="181">
        <v>1.0796552350700317</v>
      </c>
      <c r="AD344" s="181">
        <v>1.0796552350700317</v>
      </c>
    </row>
    <row r="345" spans="2:30">
      <c r="B345" t="s">
        <v>320</v>
      </c>
      <c r="C345" t="s">
        <v>578</v>
      </c>
      <c r="D345" s="181">
        <v>1.0860441592549372</v>
      </c>
      <c r="E345" s="181">
        <v>1.0860441592549372</v>
      </c>
      <c r="F345" s="181">
        <v>1.0860441592549372</v>
      </c>
      <c r="G345" s="181">
        <v>1.0860441592549372</v>
      </c>
      <c r="H345" s="181">
        <v>1.0860441592549372</v>
      </c>
      <c r="I345" s="181">
        <v>1.0860441592549372</v>
      </c>
      <c r="J345" s="181">
        <v>1.0860441592549372</v>
      </c>
      <c r="K345" s="181">
        <v>1.0860441592549372</v>
      </c>
      <c r="L345" s="181">
        <v>1.0860441592549372</v>
      </c>
      <c r="M345" s="181">
        <v>1.0860441592549372</v>
      </c>
      <c r="N345" s="181">
        <v>1.0860441592549372</v>
      </c>
      <c r="O345" s="181">
        <v>1.0860441592549372</v>
      </c>
      <c r="P345" s="181">
        <v>1.0860441592549372</v>
      </c>
      <c r="Q345" s="181">
        <v>1.0860441592549372</v>
      </c>
      <c r="R345" s="181">
        <v>1.0860441592549372</v>
      </c>
      <c r="S345" s="181">
        <v>1.0860441592549372</v>
      </c>
      <c r="T345" s="181">
        <v>1.0860441592549372</v>
      </c>
      <c r="U345" s="181">
        <v>1.0860441592549372</v>
      </c>
      <c r="V345" s="181">
        <v>1.0860441592549372</v>
      </c>
      <c r="W345" s="181">
        <v>1.0860441592549372</v>
      </c>
      <c r="X345" s="181">
        <v>1.0860441592549372</v>
      </c>
      <c r="Y345" s="181">
        <v>1.0860441592549372</v>
      </c>
      <c r="Z345" s="181">
        <v>1.0860441592549372</v>
      </c>
      <c r="AA345" s="181">
        <v>1.0860441592549372</v>
      </c>
      <c r="AB345" s="181">
        <v>1.0860441592549372</v>
      </c>
      <c r="AC345" s="181">
        <v>1.0860441592549372</v>
      </c>
      <c r="AD345" s="181">
        <v>1.0860441592549372</v>
      </c>
    </row>
    <row r="346" spans="2:30">
      <c r="B346" t="s">
        <v>321</v>
      </c>
      <c r="C346" t="s">
        <v>578</v>
      </c>
      <c r="D346" s="181">
        <v>1.2322848620544717</v>
      </c>
      <c r="E346" s="181">
        <v>1.2322848620544717</v>
      </c>
      <c r="F346" s="181">
        <v>1.2322848620544717</v>
      </c>
      <c r="G346" s="181">
        <v>1.2322848620544717</v>
      </c>
      <c r="H346" s="181">
        <v>1.2322848620544717</v>
      </c>
      <c r="I346" s="181">
        <v>1.2322848620544717</v>
      </c>
      <c r="J346" s="181">
        <v>1.2322848620544717</v>
      </c>
      <c r="K346" s="181">
        <v>1.2322848620544717</v>
      </c>
      <c r="L346" s="181">
        <v>1.2322848620544717</v>
      </c>
      <c r="M346" s="181">
        <v>1.2322848620544717</v>
      </c>
      <c r="N346" s="181">
        <v>1.2322848620544717</v>
      </c>
      <c r="O346" s="181">
        <v>1.2322848620544717</v>
      </c>
      <c r="P346" s="181">
        <v>1.2322848620544717</v>
      </c>
      <c r="Q346" s="181">
        <v>1.2322848620544717</v>
      </c>
      <c r="R346" s="181">
        <v>1.2322848620544717</v>
      </c>
      <c r="S346" s="181">
        <v>1.2322848620544717</v>
      </c>
      <c r="T346" s="181">
        <v>1.2322848620544717</v>
      </c>
      <c r="U346" s="181">
        <v>1.2322848620544717</v>
      </c>
      <c r="V346" s="181">
        <v>1.2322848620544717</v>
      </c>
      <c r="W346" s="181">
        <v>1.2322848620544717</v>
      </c>
      <c r="X346" s="181">
        <v>1.2322848620544717</v>
      </c>
      <c r="Y346" s="181">
        <v>1.2322848620544717</v>
      </c>
      <c r="Z346" s="181">
        <v>1.2322848620544717</v>
      </c>
      <c r="AA346" s="181">
        <v>1.2322848620544717</v>
      </c>
      <c r="AB346" s="181">
        <v>1.2322848620544717</v>
      </c>
      <c r="AC346" s="181">
        <v>1.2322848620544717</v>
      </c>
      <c r="AD346" s="181">
        <v>1.2322848620544717</v>
      </c>
    </row>
    <row r="347" spans="2:30">
      <c r="B347" t="s">
        <v>322</v>
      </c>
      <c r="C347" t="s">
        <v>578</v>
      </c>
      <c r="D347" s="181">
        <v>1.2277213214286919</v>
      </c>
      <c r="E347" s="181">
        <v>1.2277213214286919</v>
      </c>
      <c r="F347" s="181">
        <v>1.2277213214286919</v>
      </c>
      <c r="G347" s="181">
        <v>1.2277213214286919</v>
      </c>
      <c r="H347" s="181">
        <v>1.2277213214286919</v>
      </c>
      <c r="I347" s="181">
        <v>1.2277213214286919</v>
      </c>
      <c r="J347" s="181">
        <v>1.2277213214286919</v>
      </c>
      <c r="K347" s="181">
        <v>1.2277213214286919</v>
      </c>
      <c r="L347" s="181">
        <v>1.2277213214286919</v>
      </c>
      <c r="M347" s="181">
        <v>1.2277213214286919</v>
      </c>
      <c r="N347" s="181">
        <v>1.2277213214286919</v>
      </c>
      <c r="O347" s="181">
        <v>1.2277213214286919</v>
      </c>
      <c r="P347" s="181">
        <v>1.2277213214286919</v>
      </c>
      <c r="Q347" s="181">
        <v>1.2277213214286919</v>
      </c>
      <c r="R347" s="181">
        <v>1.2277213214286919</v>
      </c>
      <c r="S347" s="181">
        <v>1.2277213214286919</v>
      </c>
      <c r="T347" s="181">
        <v>1.2277213214286919</v>
      </c>
      <c r="U347" s="181">
        <v>1.2277213214286919</v>
      </c>
      <c r="V347" s="181">
        <v>1.2277213214286919</v>
      </c>
      <c r="W347" s="181">
        <v>1.2277213214286919</v>
      </c>
      <c r="X347" s="181">
        <v>1.2277213214286919</v>
      </c>
      <c r="Y347" s="181">
        <v>1.2277213214286919</v>
      </c>
      <c r="Z347" s="181">
        <v>1.2277213214286919</v>
      </c>
      <c r="AA347" s="181">
        <v>1.2277213214286919</v>
      </c>
      <c r="AB347" s="181">
        <v>1.2277213214286919</v>
      </c>
      <c r="AC347" s="181">
        <v>1.2277213214286919</v>
      </c>
      <c r="AD347" s="181">
        <v>1.2277213214286919</v>
      </c>
    </row>
    <row r="348" spans="2:30">
      <c r="B348" s="79" t="s">
        <v>323</v>
      </c>
      <c r="C348" s="79" t="s">
        <v>578</v>
      </c>
      <c r="D348" s="185">
        <v>1.4313823860112316</v>
      </c>
      <c r="E348" s="185">
        <v>1.4313823860112316</v>
      </c>
      <c r="F348" s="185">
        <v>1.4313823860112316</v>
      </c>
      <c r="G348" s="185">
        <v>1.4313823860112316</v>
      </c>
      <c r="H348" s="185">
        <v>1.4313823860112316</v>
      </c>
      <c r="I348" s="185">
        <v>1.4313823860112316</v>
      </c>
      <c r="J348" s="185">
        <v>1.4313823860112316</v>
      </c>
      <c r="K348" s="185">
        <v>1.4313823860112316</v>
      </c>
      <c r="L348" s="185">
        <v>1.4313823860112316</v>
      </c>
      <c r="M348" s="185">
        <v>1.4313823860112316</v>
      </c>
      <c r="N348" s="185">
        <v>1.4313823860112316</v>
      </c>
      <c r="O348" s="185">
        <v>1.4313823860112316</v>
      </c>
      <c r="P348" s="185">
        <v>1.4313823860112316</v>
      </c>
      <c r="Q348" s="185">
        <v>1.4313823860112316</v>
      </c>
      <c r="R348" s="185">
        <v>1.4313823860112316</v>
      </c>
      <c r="S348" s="185">
        <v>1.4313823860112316</v>
      </c>
      <c r="T348" s="185">
        <v>1.4313823860112316</v>
      </c>
      <c r="U348" s="185">
        <v>1.4313823860112316</v>
      </c>
      <c r="V348" s="185">
        <v>1.4313823860112316</v>
      </c>
      <c r="W348" s="185">
        <v>1.4313823860112316</v>
      </c>
      <c r="X348" s="185">
        <v>1.4313823860112316</v>
      </c>
      <c r="Y348" s="185">
        <v>1.4313823860112316</v>
      </c>
      <c r="Z348" s="185">
        <v>1.4313823860112316</v>
      </c>
      <c r="AA348" s="185">
        <v>1.4313823860112316</v>
      </c>
      <c r="AB348" s="185">
        <v>1.4313823860112316</v>
      </c>
      <c r="AC348" s="185">
        <v>1.4313823860112316</v>
      </c>
      <c r="AD348" s="185">
        <v>1.4313823860112316</v>
      </c>
    </row>
    <row r="349" spans="2:30">
      <c r="B349" t="s">
        <v>582</v>
      </c>
    </row>
    <row r="353" spans="2:30" ht="15.5">
      <c r="B353" s="101" t="s">
        <v>597</v>
      </c>
    </row>
    <row r="354" spans="2:30">
      <c r="B354" s="81" t="s">
        <v>573</v>
      </c>
      <c r="C354" s="81" t="s">
        <v>63</v>
      </c>
      <c r="D354" s="81" t="str">
        <f>D341</f>
        <v>IE</v>
      </c>
      <c r="E354" s="81" t="str">
        <f t="shared" ref="E354:AD354" si="230">E341</f>
        <v>IE-CW</v>
      </c>
      <c r="F354" s="81" t="str">
        <f t="shared" si="230"/>
        <v>IE-D</v>
      </c>
      <c r="G354" s="81" t="str">
        <f t="shared" si="230"/>
        <v>IE-KE</v>
      </c>
      <c r="H354" s="81" t="str">
        <f t="shared" si="230"/>
        <v>IE-KK</v>
      </c>
      <c r="I354" s="81" t="str">
        <f t="shared" si="230"/>
        <v>IE-LS</v>
      </c>
      <c r="J354" s="81" t="str">
        <f t="shared" si="230"/>
        <v>IE-LD</v>
      </c>
      <c r="K354" s="81" t="str">
        <f t="shared" si="230"/>
        <v>IE-LH</v>
      </c>
      <c r="L354" s="81" t="str">
        <f t="shared" si="230"/>
        <v>IE-MH</v>
      </c>
      <c r="M354" s="81" t="str">
        <f t="shared" si="230"/>
        <v>IE-OY</v>
      </c>
      <c r="N354" s="81" t="str">
        <f t="shared" si="230"/>
        <v>IE-WH</v>
      </c>
      <c r="O354" s="81" t="str">
        <f t="shared" si="230"/>
        <v>IE-WX</v>
      </c>
      <c r="P354" s="81" t="str">
        <f t="shared" si="230"/>
        <v>IE-WW</v>
      </c>
      <c r="Q354" s="81" t="str">
        <f t="shared" si="230"/>
        <v>IE-CE</v>
      </c>
      <c r="R354" s="81" t="str">
        <f t="shared" si="230"/>
        <v>IE-CO</v>
      </c>
      <c r="S354" s="81" t="str">
        <f t="shared" si="230"/>
        <v>IE-KY</v>
      </c>
      <c r="T354" s="81" t="str">
        <f t="shared" si="230"/>
        <v>IE-LK</v>
      </c>
      <c r="U354" s="81" t="str">
        <f t="shared" si="230"/>
        <v>IE-TA</v>
      </c>
      <c r="V354" s="81" t="str">
        <f t="shared" si="230"/>
        <v>IE-WD</v>
      </c>
      <c r="W354" s="81" t="str">
        <f t="shared" si="230"/>
        <v>IE-G</v>
      </c>
      <c r="X354" s="81" t="str">
        <f t="shared" si="230"/>
        <v>IE-LM</v>
      </c>
      <c r="Y354" s="81" t="str">
        <f t="shared" si="230"/>
        <v>IE-MO</v>
      </c>
      <c r="Z354" s="81" t="str">
        <f t="shared" si="230"/>
        <v>IE-RN</v>
      </c>
      <c r="AA354" s="81" t="str">
        <f t="shared" si="230"/>
        <v>IE-SO</v>
      </c>
      <c r="AB354" s="81" t="str">
        <f t="shared" si="230"/>
        <v>IE-CN</v>
      </c>
      <c r="AC354" s="81" t="str">
        <f t="shared" si="230"/>
        <v>IE-DL</v>
      </c>
      <c r="AD354" s="81" t="str">
        <f t="shared" si="230"/>
        <v>IE-MN</v>
      </c>
    </row>
    <row r="355" spans="2:30">
      <c r="B355" t="s">
        <v>594</v>
      </c>
      <c r="C355" t="s">
        <v>578</v>
      </c>
      <c r="D355" s="177">
        <f>SUMPRODUCT(D329:D335,D342:D348)</f>
        <v>1.4001588450512759</v>
      </c>
      <c r="E355" s="177">
        <f>IF(E322&gt;1,SUMPRODUCT(E329:E335,E342:E348),$D$210)</f>
        <v>1.4022879482137258</v>
      </c>
      <c r="F355" s="177">
        <f t="shared" ref="F355:AD355" si="231">IF(F322&gt;1,SUMPRODUCT(F329:F335,F342:F348),$D$210)</f>
        <v>1.4005246489532712</v>
      </c>
      <c r="G355" s="177">
        <f t="shared" si="231"/>
        <v>1.3810496796689202</v>
      </c>
      <c r="H355" s="177">
        <f t="shared" si="231"/>
        <v>1.3934919553912242</v>
      </c>
      <c r="I355" s="177">
        <f t="shared" si="231"/>
        <v>1.4059247529384142</v>
      </c>
      <c r="J355" s="177">
        <f t="shared" si="231"/>
        <v>1.4228965083202925</v>
      </c>
      <c r="K355" s="177">
        <f t="shared" si="231"/>
        <v>1.4059247529384142</v>
      </c>
      <c r="L355" s="177">
        <f t="shared" si="231"/>
        <v>1.4157161502741131</v>
      </c>
      <c r="M355" s="177">
        <f t="shared" si="231"/>
        <v>1.4313823860112316</v>
      </c>
      <c r="N355" s="177">
        <f t="shared" si="231"/>
        <v>1.3718157567132359</v>
      </c>
      <c r="O355" s="177">
        <f t="shared" si="231"/>
        <v>1.3931959364020055</v>
      </c>
      <c r="P355" s="177">
        <f t="shared" si="231"/>
        <v>1.4194023233887292</v>
      </c>
      <c r="Q355" s="177">
        <f t="shared" si="231"/>
        <v>1.3843836787998764</v>
      </c>
      <c r="R355" s="177">
        <f t="shared" si="231"/>
        <v>1.388355400536047</v>
      </c>
      <c r="S355" s="177">
        <f t="shared" si="231"/>
        <v>1.4186535694748228</v>
      </c>
      <c r="T355" s="177">
        <f t="shared" si="231"/>
        <v>1.4313823860112316</v>
      </c>
      <c r="U355" s="177">
        <f t="shared" si="231"/>
        <v>1.3804671198655969</v>
      </c>
      <c r="V355" s="177">
        <f t="shared" si="231"/>
        <v>1.3843836787998764</v>
      </c>
      <c r="W355" s="177">
        <f t="shared" si="231"/>
        <v>1.4065456708182389</v>
      </c>
      <c r="X355" s="177">
        <f t="shared" si="231"/>
        <v>1.4186535694748228</v>
      </c>
      <c r="Y355" s="177">
        <f t="shared" si="231"/>
        <v>1.4313823860112316</v>
      </c>
      <c r="Z355" s="177">
        <f t="shared" si="231"/>
        <v>1.3758384593069026</v>
      </c>
      <c r="AA355" s="177">
        <f t="shared" si="231"/>
        <v>1.3623147406599727</v>
      </c>
      <c r="AB355" s="177">
        <f t="shared" si="231"/>
        <v>1.3716122972297371</v>
      </c>
      <c r="AC355" s="177">
        <f t="shared" si="231"/>
        <v>1.3007736681569373</v>
      </c>
      <c r="AD355" s="177">
        <f t="shared" si="231"/>
        <v>1.3992253758139883</v>
      </c>
    </row>
    <row r="356" spans="2:30">
      <c r="B356" s="79"/>
      <c r="C356" s="79" t="s">
        <v>566</v>
      </c>
      <c r="D356" s="180">
        <f>1000/D355</f>
        <v>714.20468008640728</v>
      </c>
      <c r="E356" s="180">
        <f>1000/E355</f>
        <v>713.12029834801649</v>
      </c>
      <c r="F356" s="180">
        <f>1000/F355</f>
        <v>714.01813652289752</v>
      </c>
      <c r="G356" s="180">
        <f>1000/G355</f>
        <v>724.08691354226335</v>
      </c>
      <c r="H356" s="180">
        <f t="shared" ref="H356" si="232">1000/H355</f>
        <v>717.62165266268016</v>
      </c>
      <c r="I356" s="180">
        <f t="shared" ref="I356" si="233">1000/I355</f>
        <v>711.27561977266396</v>
      </c>
      <c r="J356" s="180">
        <f t="shared" ref="J356" si="234">1000/J355</f>
        <v>702.79180119746354</v>
      </c>
      <c r="K356" s="180">
        <f t="shared" ref="K356" si="235">1000/K355</f>
        <v>711.27561977266396</v>
      </c>
      <c r="L356" s="180">
        <f t="shared" ref="L356" si="236">1000/L355</f>
        <v>706.35628463119428</v>
      </c>
      <c r="M356" s="180">
        <f t="shared" ref="M356" si="237">1000/M355</f>
        <v>698.62533574040594</v>
      </c>
      <c r="N356" s="180">
        <f t="shared" ref="N356" si="238">1000/N355</f>
        <v>728.96086453761291</v>
      </c>
      <c r="O356" s="180">
        <f t="shared" ref="O356" si="239">1000/O355</f>
        <v>717.77412915985633</v>
      </c>
      <c r="P356" s="180">
        <f t="shared" ref="P356" si="240">1000/P355</f>
        <v>704.52188468493284</v>
      </c>
      <c r="Q356" s="180">
        <f t="shared" ref="Q356" si="241">1000/Q355</f>
        <v>722.3431013481038</v>
      </c>
      <c r="R356" s="180">
        <f t="shared" ref="R356" si="242">1000/R355</f>
        <v>720.27666663298021</v>
      </c>
      <c r="S356" s="180">
        <f t="shared" ref="S356" si="243">1000/S355</f>
        <v>704.89372565438521</v>
      </c>
      <c r="T356" s="180">
        <f t="shared" ref="T356" si="244">1000/T355</f>
        <v>698.62533574040594</v>
      </c>
      <c r="U356" s="180">
        <f t="shared" ref="U356" si="245">1000/U355</f>
        <v>724.39247962483932</v>
      </c>
      <c r="V356" s="180">
        <f t="shared" ref="V356" si="246">1000/V355</f>
        <v>722.3431013481038</v>
      </c>
      <c r="W356" s="180">
        <f t="shared" ref="W356" si="247">1000/W355</f>
        <v>710.96162801330411</v>
      </c>
      <c r="X356" s="180">
        <f t="shared" ref="X356" si="248">1000/X355</f>
        <v>704.89372565438521</v>
      </c>
      <c r="Y356" s="180">
        <f t="shared" ref="Y356" si="249">1000/Y355</f>
        <v>698.62533574040594</v>
      </c>
      <c r="Z356" s="180">
        <f t="shared" ref="Z356" si="250">1000/Z355</f>
        <v>726.82951492994584</v>
      </c>
      <c r="AA356" s="180">
        <f t="shared" ref="AA356" si="251">1000/AA355</f>
        <v>734.04476231061733</v>
      </c>
      <c r="AB356" s="180">
        <f t="shared" ref="AB356" si="252">1000/AB355</f>
        <v>729.06899567735923</v>
      </c>
      <c r="AC356" s="180">
        <f t="shared" ref="AC356" si="253">1000/AC355</f>
        <v>768.77324970522909</v>
      </c>
      <c r="AD356" s="180">
        <f t="shared" ref="AD356" si="254">1000/AD355</f>
        <v>714.68114950263669</v>
      </c>
    </row>
    <row r="360" spans="2:30">
      <c r="B360" s="182"/>
      <c r="C360" s="182"/>
      <c r="D360" s="182"/>
      <c r="E360" s="182"/>
      <c r="F360" s="182"/>
      <c r="G360" s="182"/>
      <c r="H360" s="182"/>
      <c r="I360" s="182"/>
      <c r="J360" s="182"/>
      <c r="K360" s="182"/>
      <c r="L360" s="182"/>
      <c r="M360" s="182"/>
      <c r="N360" s="182"/>
      <c r="O360" s="182"/>
      <c r="P360" s="182"/>
      <c r="Q360" s="182"/>
      <c r="R360" s="182"/>
      <c r="S360" s="182"/>
      <c r="T360" s="182"/>
      <c r="U360" s="182"/>
      <c r="V360" s="182"/>
      <c r="W360" s="182"/>
      <c r="X360" s="182"/>
      <c r="Y360" s="182"/>
      <c r="Z360" s="182"/>
      <c r="AA360" s="182"/>
      <c r="AB360" s="182"/>
      <c r="AC360" s="182"/>
      <c r="AD360" s="182"/>
    </row>
    <row r="361" spans="2:30" ht="15.5">
      <c r="B361" s="101" t="s">
        <v>599</v>
      </c>
    </row>
    <row r="362" spans="2:30">
      <c r="B362" s="81" t="s">
        <v>573</v>
      </c>
      <c r="C362" s="81" t="s">
        <v>63</v>
      </c>
      <c r="D362" s="81" t="str">
        <f t="shared" ref="D362:AD362" si="255">D354</f>
        <v>IE</v>
      </c>
      <c r="E362" s="81" t="str">
        <f t="shared" si="255"/>
        <v>IE-CW</v>
      </c>
      <c r="F362" s="81" t="str">
        <f t="shared" si="255"/>
        <v>IE-D</v>
      </c>
      <c r="G362" s="81" t="str">
        <f t="shared" si="255"/>
        <v>IE-KE</v>
      </c>
      <c r="H362" s="81" t="str">
        <f t="shared" si="255"/>
        <v>IE-KK</v>
      </c>
      <c r="I362" s="81" t="str">
        <f t="shared" si="255"/>
        <v>IE-LS</v>
      </c>
      <c r="J362" s="81" t="str">
        <f t="shared" si="255"/>
        <v>IE-LD</v>
      </c>
      <c r="K362" s="81" t="str">
        <f t="shared" si="255"/>
        <v>IE-LH</v>
      </c>
      <c r="L362" s="81" t="str">
        <f t="shared" si="255"/>
        <v>IE-MH</v>
      </c>
      <c r="M362" s="81" t="str">
        <f t="shared" si="255"/>
        <v>IE-OY</v>
      </c>
      <c r="N362" s="81" t="str">
        <f t="shared" si="255"/>
        <v>IE-WH</v>
      </c>
      <c r="O362" s="81" t="str">
        <f t="shared" si="255"/>
        <v>IE-WX</v>
      </c>
      <c r="P362" s="81" t="str">
        <f t="shared" si="255"/>
        <v>IE-WW</v>
      </c>
      <c r="Q362" s="81" t="str">
        <f t="shared" si="255"/>
        <v>IE-CE</v>
      </c>
      <c r="R362" s="81" t="str">
        <f t="shared" si="255"/>
        <v>IE-CO</v>
      </c>
      <c r="S362" s="81" t="str">
        <f t="shared" si="255"/>
        <v>IE-KY</v>
      </c>
      <c r="T362" s="81" t="str">
        <f t="shared" si="255"/>
        <v>IE-LK</v>
      </c>
      <c r="U362" s="81" t="str">
        <f t="shared" si="255"/>
        <v>IE-TA</v>
      </c>
      <c r="V362" s="81" t="str">
        <f t="shared" si="255"/>
        <v>IE-WD</v>
      </c>
      <c r="W362" s="81" t="str">
        <f t="shared" si="255"/>
        <v>IE-G</v>
      </c>
      <c r="X362" s="81" t="str">
        <f t="shared" si="255"/>
        <v>IE-LM</v>
      </c>
      <c r="Y362" s="81" t="str">
        <f t="shared" si="255"/>
        <v>IE-MO</v>
      </c>
      <c r="Z362" s="81" t="str">
        <f t="shared" si="255"/>
        <v>IE-RN</v>
      </c>
      <c r="AA362" s="81" t="str">
        <f t="shared" si="255"/>
        <v>IE-SO</v>
      </c>
      <c r="AB362" s="81" t="str">
        <f t="shared" si="255"/>
        <v>IE-CN</v>
      </c>
      <c r="AC362" s="81" t="str">
        <f t="shared" si="255"/>
        <v>IE-DL</v>
      </c>
      <c r="AD362" s="81" t="str">
        <f t="shared" si="255"/>
        <v>IE-MN</v>
      </c>
    </row>
    <row r="363" spans="2:30">
      <c r="B363" t="s">
        <v>317</v>
      </c>
      <c r="C363" t="s">
        <v>501</v>
      </c>
      <c r="D363" s="9">
        <f>SUM(E363:AD363)</f>
        <v>141</v>
      </c>
      <c r="E363" s="183">
        <v>2</v>
      </c>
      <c r="F363" s="183">
        <v>4</v>
      </c>
      <c r="G363" s="183">
        <v>3</v>
      </c>
      <c r="H363" s="183">
        <v>3</v>
      </c>
      <c r="I363" s="183">
        <v>1</v>
      </c>
      <c r="J363" s="183">
        <v>5</v>
      </c>
      <c r="K363" s="183">
        <v>1</v>
      </c>
      <c r="L363" s="183">
        <v>4</v>
      </c>
      <c r="M363" s="183">
        <v>1</v>
      </c>
      <c r="N363" s="183">
        <v>3</v>
      </c>
      <c r="O363" s="183">
        <v>0</v>
      </c>
      <c r="P363" s="183">
        <v>2</v>
      </c>
      <c r="Q363" s="183">
        <v>2</v>
      </c>
      <c r="R363" s="183">
        <v>18</v>
      </c>
      <c r="S363" s="183">
        <v>5</v>
      </c>
      <c r="T363" s="183">
        <v>0</v>
      </c>
      <c r="U363" s="183">
        <v>1</v>
      </c>
      <c r="V363" s="183">
        <v>1</v>
      </c>
      <c r="W363" s="183">
        <v>71</v>
      </c>
      <c r="X363" s="183">
        <v>2</v>
      </c>
      <c r="Y363" s="183">
        <v>2</v>
      </c>
      <c r="Z363" s="183">
        <v>1</v>
      </c>
      <c r="AA363" s="183">
        <v>0</v>
      </c>
      <c r="AB363" s="183">
        <v>1</v>
      </c>
      <c r="AC363" s="183">
        <v>2</v>
      </c>
      <c r="AD363" s="183">
        <v>6</v>
      </c>
    </row>
    <row r="364" spans="2:30">
      <c r="B364" t="s">
        <v>318</v>
      </c>
      <c r="C364" t="s">
        <v>501</v>
      </c>
      <c r="D364" s="9">
        <f t="shared" ref="D364:D369" si="256">SUM(E364:AD364)</f>
        <v>1</v>
      </c>
      <c r="E364" s="183">
        <v>0</v>
      </c>
      <c r="F364" s="183">
        <v>0</v>
      </c>
      <c r="G364" s="183">
        <v>0</v>
      </c>
      <c r="H364" s="183">
        <v>0</v>
      </c>
      <c r="I364" s="183">
        <v>0</v>
      </c>
      <c r="J364" s="183">
        <v>0</v>
      </c>
      <c r="K364" s="183">
        <v>0</v>
      </c>
      <c r="L364" s="183">
        <v>0</v>
      </c>
      <c r="M364" s="183">
        <v>0</v>
      </c>
      <c r="N364" s="183">
        <v>0</v>
      </c>
      <c r="O364" s="183">
        <v>0</v>
      </c>
      <c r="P364" s="183">
        <v>0</v>
      </c>
      <c r="Q364" s="183">
        <v>0</v>
      </c>
      <c r="R364" s="183">
        <v>0</v>
      </c>
      <c r="S364" s="183">
        <v>0</v>
      </c>
      <c r="T364" s="183">
        <v>0</v>
      </c>
      <c r="U364" s="183">
        <v>0</v>
      </c>
      <c r="V364" s="183">
        <v>0</v>
      </c>
      <c r="W364" s="183">
        <v>1</v>
      </c>
      <c r="X364" s="183">
        <v>0</v>
      </c>
      <c r="Y364" s="183">
        <v>0</v>
      </c>
      <c r="Z364" s="183">
        <v>0</v>
      </c>
      <c r="AA364" s="183">
        <v>0</v>
      </c>
      <c r="AB364" s="183">
        <v>0</v>
      </c>
      <c r="AC364" s="183">
        <v>0</v>
      </c>
      <c r="AD364" s="183">
        <v>0</v>
      </c>
    </row>
    <row r="365" spans="2:30">
      <c r="B365" t="s">
        <v>319</v>
      </c>
      <c r="C365" t="s">
        <v>501</v>
      </c>
      <c r="D365" s="9">
        <f t="shared" si="256"/>
        <v>168</v>
      </c>
      <c r="E365" s="183">
        <v>2</v>
      </c>
      <c r="F365" s="183">
        <v>6</v>
      </c>
      <c r="G365" s="183">
        <v>0</v>
      </c>
      <c r="H365" s="183">
        <v>15</v>
      </c>
      <c r="I365" s="183">
        <v>2</v>
      </c>
      <c r="J365" s="183">
        <v>6</v>
      </c>
      <c r="K365" s="183">
        <v>4</v>
      </c>
      <c r="L365" s="183">
        <v>3</v>
      </c>
      <c r="M365" s="183">
        <v>1</v>
      </c>
      <c r="N365" s="183">
        <v>3</v>
      </c>
      <c r="O365" s="183">
        <v>1</v>
      </c>
      <c r="P365" s="183">
        <v>6</v>
      </c>
      <c r="Q365" s="183">
        <v>1</v>
      </c>
      <c r="R365" s="183">
        <v>20</v>
      </c>
      <c r="S365" s="183">
        <v>4</v>
      </c>
      <c r="T365" s="183">
        <v>0</v>
      </c>
      <c r="U365" s="183">
        <v>3</v>
      </c>
      <c r="V365" s="183">
        <v>2</v>
      </c>
      <c r="W365" s="183">
        <v>69</v>
      </c>
      <c r="X365" s="183">
        <v>1</v>
      </c>
      <c r="Y365" s="183">
        <v>6</v>
      </c>
      <c r="Z365" s="183">
        <v>0</v>
      </c>
      <c r="AA365" s="183">
        <v>1</v>
      </c>
      <c r="AB365" s="183">
        <v>1</v>
      </c>
      <c r="AC365" s="183">
        <v>3</v>
      </c>
      <c r="AD365" s="183">
        <v>8</v>
      </c>
    </row>
    <row r="366" spans="2:30">
      <c r="B366" t="s">
        <v>320</v>
      </c>
      <c r="C366" t="s">
        <v>501</v>
      </c>
      <c r="D366" s="9">
        <f t="shared" si="256"/>
        <v>302</v>
      </c>
      <c r="E366" s="183">
        <v>3</v>
      </c>
      <c r="F366" s="183">
        <v>16</v>
      </c>
      <c r="G366" s="183">
        <v>9</v>
      </c>
      <c r="H366" s="183">
        <v>15</v>
      </c>
      <c r="I366" s="183">
        <v>1</v>
      </c>
      <c r="J366" s="183">
        <v>4</v>
      </c>
      <c r="K366" s="183">
        <v>0</v>
      </c>
      <c r="L366" s="183">
        <v>1</v>
      </c>
      <c r="M366" s="183">
        <v>0</v>
      </c>
      <c r="N366" s="183">
        <v>3</v>
      </c>
      <c r="O366" s="183">
        <v>6</v>
      </c>
      <c r="P366" s="183">
        <v>4</v>
      </c>
      <c r="Q366" s="183">
        <v>7</v>
      </c>
      <c r="R366" s="183">
        <v>19</v>
      </c>
      <c r="S366" s="183">
        <v>10</v>
      </c>
      <c r="T366" s="183">
        <v>0</v>
      </c>
      <c r="U366" s="183">
        <v>5</v>
      </c>
      <c r="V366" s="183">
        <v>5</v>
      </c>
      <c r="W366" s="183">
        <v>153</v>
      </c>
      <c r="X366" s="183">
        <v>7</v>
      </c>
      <c r="Y366" s="183">
        <v>3</v>
      </c>
      <c r="Z366" s="183">
        <v>4</v>
      </c>
      <c r="AA366" s="183">
        <v>2</v>
      </c>
      <c r="AB366" s="183">
        <v>4</v>
      </c>
      <c r="AC366" s="183">
        <v>10</v>
      </c>
      <c r="AD366" s="183">
        <v>11</v>
      </c>
    </row>
    <row r="367" spans="2:30">
      <c r="B367" t="s">
        <v>321</v>
      </c>
      <c r="C367" t="s">
        <v>501</v>
      </c>
      <c r="D367" s="9">
        <f t="shared" si="256"/>
        <v>62</v>
      </c>
      <c r="E367" s="183">
        <v>1</v>
      </c>
      <c r="F367" s="183">
        <v>2</v>
      </c>
      <c r="G367" s="183">
        <v>0</v>
      </c>
      <c r="H367" s="183">
        <v>1</v>
      </c>
      <c r="I367" s="183">
        <v>1</v>
      </c>
      <c r="J367" s="183">
        <v>2</v>
      </c>
      <c r="K367" s="183">
        <v>1</v>
      </c>
      <c r="L367" s="183">
        <v>1</v>
      </c>
      <c r="M367" s="183">
        <v>0</v>
      </c>
      <c r="N367" s="183">
        <v>2</v>
      </c>
      <c r="O367" s="183">
        <v>0</v>
      </c>
      <c r="P367" s="183">
        <v>0</v>
      </c>
      <c r="Q367" s="183">
        <v>1</v>
      </c>
      <c r="R367" s="183">
        <v>11</v>
      </c>
      <c r="S367" s="183">
        <v>4</v>
      </c>
      <c r="T367" s="183">
        <v>0</v>
      </c>
      <c r="U367" s="183">
        <v>1</v>
      </c>
      <c r="V367" s="183">
        <v>1</v>
      </c>
      <c r="W367" s="183">
        <v>20</v>
      </c>
      <c r="X367" s="183">
        <v>0</v>
      </c>
      <c r="Y367" s="183">
        <v>4</v>
      </c>
      <c r="Z367" s="183">
        <v>2</v>
      </c>
      <c r="AA367" s="183">
        <v>1</v>
      </c>
      <c r="AB367" s="183">
        <v>1</v>
      </c>
      <c r="AC367" s="183">
        <v>2</v>
      </c>
      <c r="AD367" s="183">
        <v>3</v>
      </c>
    </row>
    <row r="368" spans="2:30">
      <c r="B368" t="s">
        <v>322</v>
      </c>
      <c r="C368" t="s">
        <v>501</v>
      </c>
      <c r="D368" s="9">
        <f t="shared" si="256"/>
        <v>1926</v>
      </c>
      <c r="E368" s="183">
        <v>7</v>
      </c>
      <c r="F368" s="183">
        <v>75</v>
      </c>
      <c r="G368" s="183">
        <v>21</v>
      </c>
      <c r="H368" s="183">
        <v>110</v>
      </c>
      <c r="I368" s="183">
        <v>17</v>
      </c>
      <c r="J368" s="183">
        <v>36</v>
      </c>
      <c r="K368" s="183">
        <v>10</v>
      </c>
      <c r="L368" s="183">
        <v>13</v>
      </c>
      <c r="M368" s="183">
        <v>7</v>
      </c>
      <c r="N368" s="183">
        <v>19</v>
      </c>
      <c r="O368" s="183">
        <v>28</v>
      </c>
      <c r="P368" s="183">
        <v>29</v>
      </c>
      <c r="Q368" s="183">
        <v>24</v>
      </c>
      <c r="R368" s="183">
        <v>188</v>
      </c>
      <c r="S368" s="183">
        <v>129</v>
      </c>
      <c r="T368" s="183">
        <v>2</v>
      </c>
      <c r="U368" s="183">
        <v>13</v>
      </c>
      <c r="V368" s="183">
        <v>28</v>
      </c>
      <c r="W368" s="183">
        <v>1001</v>
      </c>
      <c r="X368" s="183">
        <v>7</v>
      </c>
      <c r="Y368" s="183">
        <v>31</v>
      </c>
      <c r="Z368" s="183">
        <v>10</v>
      </c>
      <c r="AA368" s="183">
        <v>11</v>
      </c>
      <c r="AB368" s="183">
        <v>17</v>
      </c>
      <c r="AC368" s="183">
        <v>19</v>
      </c>
      <c r="AD368" s="183">
        <v>74</v>
      </c>
    </row>
    <row r="369" spans="2:30">
      <c r="B369" t="s">
        <v>323</v>
      </c>
      <c r="C369" t="s">
        <v>501</v>
      </c>
      <c r="D369" s="9">
        <f t="shared" si="256"/>
        <v>159</v>
      </c>
      <c r="E369" s="183">
        <v>0</v>
      </c>
      <c r="F369" s="183">
        <v>6</v>
      </c>
      <c r="G369" s="183">
        <v>0</v>
      </c>
      <c r="H369" s="183">
        <v>6</v>
      </c>
      <c r="I369" s="183">
        <v>2</v>
      </c>
      <c r="J369" s="183">
        <v>1</v>
      </c>
      <c r="K369" s="183">
        <v>2</v>
      </c>
      <c r="L369" s="183">
        <v>1</v>
      </c>
      <c r="M369" s="183">
        <v>1</v>
      </c>
      <c r="N369" s="183">
        <v>2</v>
      </c>
      <c r="O369" s="183">
        <v>0</v>
      </c>
      <c r="P369" s="183">
        <v>1</v>
      </c>
      <c r="Q369" s="183">
        <v>2</v>
      </c>
      <c r="R369" s="183">
        <v>6</v>
      </c>
      <c r="S369" s="183">
        <v>0</v>
      </c>
      <c r="T369" s="183">
        <v>1</v>
      </c>
      <c r="U369" s="183">
        <v>0</v>
      </c>
      <c r="V369" s="183">
        <v>3</v>
      </c>
      <c r="W369" s="183">
        <v>115</v>
      </c>
      <c r="X369" s="183">
        <v>0</v>
      </c>
      <c r="Y369" s="183">
        <v>1</v>
      </c>
      <c r="Z369" s="183">
        <v>1</v>
      </c>
      <c r="AA369" s="183">
        <v>1</v>
      </c>
      <c r="AB369" s="183">
        <v>0</v>
      </c>
      <c r="AC369" s="183">
        <v>1</v>
      </c>
      <c r="AD369" s="183">
        <v>6</v>
      </c>
    </row>
    <row r="370" spans="2:30">
      <c r="B370" s="79" t="s">
        <v>16</v>
      </c>
      <c r="C370" s="79" t="s">
        <v>501</v>
      </c>
      <c r="D370" s="176">
        <f>SUM(D363:D369)</f>
        <v>2759</v>
      </c>
      <c r="E370" s="176">
        <f>SUM(E363:E369)</f>
        <v>15</v>
      </c>
      <c r="F370" s="176">
        <f t="shared" ref="F370" si="257">SUM(F363:F369)</f>
        <v>109</v>
      </c>
      <c r="G370" s="176">
        <f t="shared" ref="G370" si="258">SUM(G363:G369)</f>
        <v>33</v>
      </c>
      <c r="H370" s="176">
        <f t="shared" ref="H370" si="259">SUM(H363:H369)</f>
        <v>150</v>
      </c>
      <c r="I370" s="176">
        <f t="shared" ref="I370" si="260">SUM(I363:I369)</f>
        <v>24</v>
      </c>
      <c r="J370" s="176">
        <f t="shared" ref="J370" si="261">SUM(J363:J369)</f>
        <v>54</v>
      </c>
      <c r="K370" s="176">
        <f t="shared" ref="K370" si="262">SUM(K363:K369)</f>
        <v>18</v>
      </c>
      <c r="L370" s="176">
        <f t="shared" ref="L370" si="263">SUM(L363:L369)</f>
        <v>23</v>
      </c>
      <c r="M370" s="176">
        <f t="shared" ref="M370" si="264">SUM(M363:M369)</f>
        <v>10</v>
      </c>
      <c r="N370" s="176">
        <f t="shared" ref="N370" si="265">SUM(N363:N369)</f>
        <v>32</v>
      </c>
      <c r="O370" s="176">
        <f t="shared" ref="O370" si="266">SUM(O363:O369)</f>
        <v>35</v>
      </c>
      <c r="P370" s="176">
        <f t="shared" ref="P370" si="267">SUM(P363:P369)</f>
        <v>42</v>
      </c>
      <c r="Q370" s="176">
        <f t="shared" ref="Q370" si="268">SUM(Q363:Q369)</f>
        <v>37</v>
      </c>
      <c r="R370" s="176">
        <f t="shared" ref="R370" si="269">SUM(R363:R369)</f>
        <v>262</v>
      </c>
      <c r="S370" s="176">
        <f t="shared" ref="S370" si="270">SUM(S363:S369)</f>
        <v>152</v>
      </c>
      <c r="T370" s="176">
        <f t="shared" ref="T370" si="271">SUM(T363:T369)</f>
        <v>3</v>
      </c>
      <c r="U370" s="176">
        <f t="shared" ref="U370" si="272">SUM(U363:U369)</f>
        <v>23</v>
      </c>
      <c r="V370" s="176">
        <f t="shared" ref="V370" si="273">SUM(V363:V369)</f>
        <v>40</v>
      </c>
      <c r="W370" s="176">
        <f t="shared" ref="W370" si="274">SUM(W363:W369)</f>
        <v>1430</v>
      </c>
      <c r="X370" s="176">
        <f t="shared" ref="X370" si="275">SUM(X363:X369)</f>
        <v>17</v>
      </c>
      <c r="Y370" s="176">
        <f t="shared" ref="Y370" si="276">SUM(Y363:Y369)</f>
        <v>47</v>
      </c>
      <c r="Z370" s="176">
        <f t="shared" ref="Z370" si="277">SUM(Z363:Z369)</f>
        <v>18</v>
      </c>
      <c r="AA370" s="176">
        <f t="shared" ref="AA370" si="278">SUM(AA363:AA369)</f>
        <v>16</v>
      </c>
      <c r="AB370" s="176">
        <f t="shared" ref="AB370" si="279">SUM(AB363:AB369)</f>
        <v>24</v>
      </c>
      <c r="AC370" s="176">
        <f t="shared" ref="AC370" si="280">SUM(AC363:AC369)</f>
        <v>37</v>
      </c>
      <c r="AD370" s="176">
        <f t="shared" ref="AD370" si="281">SUM(AD363:AD369)</f>
        <v>108</v>
      </c>
    </row>
    <row r="371" spans="2:30">
      <c r="B371" t="s">
        <v>584</v>
      </c>
    </row>
    <row r="375" spans="2:30" ht="15.5">
      <c r="B375" s="101" t="s">
        <v>600</v>
      </c>
    </row>
    <row r="376" spans="2:30">
      <c r="B376" s="81" t="s">
        <v>573</v>
      </c>
      <c r="C376" s="81" t="s">
        <v>63</v>
      </c>
      <c r="D376" s="81" t="str">
        <f>D362</f>
        <v>IE</v>
      </c>
      <c r="E376" s="81" t="str">
        <f t="shared" ref="E376:AD376" si="282">E362</f>
        <v>IE-CW</v>
      </c>
      <c r="F376" s="81" t="str">
        <f t="shared" si="282"/>
        <v>IE-D</v>
      </c>
      <c r="G376" s="81" t="str">
        <f t="shared" si="282"/>
        <v>IE-KE</v>
      </c>
      <c r="H376" s="81" t="str">
        <f t="shared" si="282"/>
        <v>IE-KK</v>
      </c>
      <c r="I376" s="81" t="str">
        <f t="shared" si="282"/>
        <v>IE-LS</v>
      </c>
      <c r="J376" s="81" t="str">
        <f t="shared" si="282"/>
        <v>IE-LD</v>
      </c>
      <c r="K376" s="81" t="str">
        <f t="shared" si="282"/>
        <v>IE-LH</v>
      </c>
      <c r="L376" s="81" t="str">
        <f t="shared" si="282"/>
        <v>IE-MH</v>
      </c>
      <c r="M376" s="81" t="str">
        <f t="shared" si="282"/>
        <v>IE-OY</v>
      </c>
      <c r="N376" s="81" t="str">
        <f t="shared" si="282"/>
        <v>IE-WH</v>
      </c>
      <c r="O376" s="81" t="str">
        <f t="shared" si="282"/>
        <v>IE-WX</v>
      </c>
      <c r="P376" s="81" t="str">
        <f t="shared" si="282"/>
        <v>IE-WW</v>
      </c>
      <c r="Q376" s="81" t="str">
        <f t="shared" si="282"/>
        <v>IE-CE</v>
      </c>
      <c r="R376" s="81" t="str">
        <f t="shared" si="282"/>
        <v>IE-CO</v>
      </c>
      <c r="S376" s="81" t="str">
        <f t="shared" si="282"/>
        <v>IE-KY</v>
      </c>
      <c r="T376" s="81" t="str">
        <f t="shared" si="282"/>
        <v>IE-LK</v>
      </c>
      <c r="U376" s="81" t="str">
        <f t="shared" si="282"/>
        <v>IE-TA</v>
      </c>
      <c r="V376" s="81" t="str">
        <f t="shared" si="282"/>
        <v>IE-WD</v>
      </c>
      <c r="W376" s="81" t="str">
        <f t="shared" si="282"/>
        <v>IE-G</v>
      </c>
      <c r="X376" s="81" t="str">
        <f t="shared" si="282"/>
        <v>IE-LM</v>
      </c>
      <c r="Y376" s="81" t="str">
        <f t="shared" si="282"/>
        <v>IE-MO</v>
      </c>
      <c r="Z376" s="81" t="str">
        <f t="shared" si="282"/>
        <v>IE-RN</v>
      </c>
      <c r="AA376" s="81" t="str">
        <f t="shared" si="282"/>
        <v>IE-SO</v>
      </c>
      <c r="AB376" s="81" t="str">
        <f t="shared" si="282"/>
        <v>IE-CN</v>
      </c>
      <c r="AC376" s="81" t="str">
        <f t="shared" si="282"/>
        <v>IE-DL</v>
      </c>
      <c r="AD376" s="81" t="str">
        <f t="shared" si="282"/>
        <v>IE-MN</v>
      </c>
    </row>
    <row r="377" spans="2:30">
      <c r="B377" t="s">
        <v>317</v>
      </c>
      <c r="C377" s="179" t="s">
        <v>577</v>
      </c>
      <c r="D377" s="29">
        <f>D363/D$370</f>
        <v>5.1105472997462847E-2</v>
      </c>
      <c r="E377" s="29">
        <f t="shared" ref="E377:AD383" si="283">E363/E$370</f>
        <v>0.13333333333333333</v>
      </c>
      <c r="F377" s="29">
        <f t="shared" si="283"/>
        <v>3.669724770642202E-2</v>
      </c>
      <c r="G377" s="29">
        <f t="shared" si="283"/>
        <v>9.0909090909090912E-2</v>
      </c>
      <c r="H377" s="29">
        <f t="shared" si="283"/>
        <v>0.02</v>
      </c>
      <c r="I377" s="29">
        <f t="shared" si="283"/>
        <v>4.1666666666666664E-2</v>
      </c>
      <c r="J377" s="29">
        <f t="shared" si="283"/>
        <v>9.2592592592592587E-2</v>
      </c>
      <c r="K377" s="29">
        <f t="shared" si="283"/>
        <v>5.5555555555555552E-2</v>
      </c>
      <c r="L377" s="29">
        <f t="shared" si="283"/>
        <v>0.17391304347826086</v>
      </c>
      <c r="M377" s="29">
        <f t="shared" si="283"/>
        <v>0.1</v>
      </c>
      <c r="N377" s="29">
        <f t="shared" si="283"/>
        <v>9.375E-2</v>
      </c>
      <c r="O377" s="29">
        <f t="shared" si="283"/>
        <v>0</v>
      </c>
      <c r="P377" s="29">
        <f t="shared" si="283"/>
        <v>4.7619047619047616E-2</v>
      </c>
      <c r="Q377" s="29">
        <f t="shared" si="283"/>
        <v>5.4054054054054057E-2</v>
      </c>
      <c r="R377" s="29">
        <f t="shared" si="283"/>
        <v>6.8702290076335881E-2</v>
      </c>
      <c r="S377" s="29">
        <f t="shared" si="283"/>
        <v>3.2894736842105261E-2</v>
      </c>
      <c r="T377" s="29">
        <f t="shared" si="283"/>
        <v>0</v>
      </c>
      <c r="U377" s="29">
        <f t="shared" si="283"/>
        <v>4.3478260869565216E-2</v>
      </c>
      <c r="V377" s="29">
        <f t="shared" si="283"/>
        <v>2.5000000000000001E-2</v>
      </c>
      <c r="W377" s="29">
        <f t="shared" si="283"/>
        <v>4.9650349650349652E-2</v>
      </c>
      <c r="X377" s="29">
        <f t="shared" si="283"/>
        <v>0.11764705882352941</v>
      </c>
      <c r="Y377" s="29">
        <f t="shared" si="283"/>
        <v>4.2553191489361701E-2</v>
      </c>
      <c r="Z377" s="29">
        <f t="shared" si="283"/>
        <v>5.5555555555555552E-2</v>
      </c>
      <c r="AA377" s="29">
        <f t="shared" si="283"/>
        <v>0</v>
      </c>
      <c r="AB377" s="29">
        <f t="shared" si="283"/>
        <v>4.1666666666666664E-2</v>
      </c>
      <c r="AC377" s="29">
        <f t="shared" si="283"/>
        <v>5.4054054054054057E-2</v>
      </c>
      <c r="AD377" s="29">
        <f t="shared" si="283"/>
        <v>5.5555555555555552E-2</v>
      </c>
    </row>
    <row r="378" spans="2:30">
      <c r="B378" t="s">
        <v>318</v>
      </c>
      <c r="C378" t="s">
        <v>577</v>
      </c>
      <c r="D378" s="29">
        <f t="shared" ref="D378:S383" si="284">D364/D$370</f>
        <v>3.6245016310257339E-4</v>
      </c>
      <c r="E378" s="29">
        <f t="shared" si="284"/>
        <v>0</v>
      </c>
      <c r="F378" s="29">
        <f t="shared" si="284"/>
        <v>0</v>
      </c>
      <c r="G378" s="29">
        <f t="shared" si="284"/>
        <v>0</v>
      </c>
      <c r="H378" s="29">
        <f t="shared" si="284"/>
        <v>0</v>
      </c>
      <c r="I378" s="29">
        <f t="shared" si="284"/>
        <v>0</v>
      </c>
      <c r="J378" s="29">
        <f t="shared" si="284"/>
        <v>0</v>
      </c>
      <c r="K378" s="29">
        <f t="shared" si="284"/>
        <v>0</v>
      </c>
      <c r="L378" s="29">
        <f t="shared" si="284"/>
        <v>0</v>
      </c>
      <c r="M378" s="29">
        <f t="shared" si="284"/>
        <v>0</v>
      </c>
      <c r="N378" s="29">
        <f t="shared" si="284"/>
        <v>0</v>
      </c>
      <c r="O378" s="29">
        <f t="shared" si="284"/>
        <v>0</v>
      </c>
      <c r="P378" s="29">
        <f t="shared" si="284"/>
        <v>0</v>
      </c>
      <c r="Q378" s="29">
        <f t="shared" si="284"/>
        <v>0</v>
      </c>
      <c r="R378" s="29">
        <f t="shared" si="284"/>
        <v>0</v>
      </c>
      <c r="S378" s="29">
        <f t="shared" si="284"/>
        <v>0</v>
      </c>
      <c r="T378" s="29">
        <f t="shared" si="283"/>
        <v>0</v>
      </c>
      <c r="U378" s="29">
        <f t="shared" si="283"/>
        <v>0</v>
      </c>
      <c r="V378" s="29">
        <f t="shared" si="283"/>
        <v>0</v>
      </c>
      <c r="W378" s="29">
        <f t="shared" si="283"/>
        <v>6.993006993006993E-4</v>
      </c>
      <c r="X378" s="29">
        <f t="shared" si="283"/>
        <v>0</v>
      </c>
      <c r="Y378" s="29">
        <f t="shared" si="283"/>
        <v>0</v>
      </c>
      <c r="Z378" s="29">
        <f t="shared" si="283"/>
        <v>0</v>
      </c>
      <c r="AA378" s="29">
        <f t="shared" si="283"/>
        <v>0</v>
      </c>
      <c r="AB378" s="29">
        <f t="shared" si="283"/>
        <v>0</v>
      </c>
      <c r="AC378" s="29">
        <f t="shared" si="283"/>
        <v>0</v>
      </c>
      <c r="AD378" s="29">
        <f t="shared" si="283"/>
        <v>0</v>
      </c>
    </row>
    <row r="379" spans="2:30">
      <c r="B379" t="s">
        <v>319</v>
      </c>
      <c r="C379" t="s">
        <v>577</v>
      </c>
      <c r="D379" s="29">
        <f t="shared" si="284"/>
        <v>6.0891627401232329E-2</v>
      </c>
      <c r="E379" s="29">
        <f t="shared" si="283"/>
        <v>0.13333333333333333</v>
      </c>
      <c r="F379" s="29">
        <f t="shared" si="283"/>
        <v>5.5045871559633031E-2</v>
      </c>
      <c r="G379" s="29">
        <f t="shared" si="283"/>
        <v>0</v>
      </c>
      <c r="H379" s="29">
        <f t="shared" si="283"/>
        <v>0.1</v>
      </c>
      <c r="I379" s="29">
        <f t="shared" si="283"/>
        <v>8.3333333333333329E-2</v>
      </c>
      <c r="J379" s="29">
        <f t="shared" si="283"/>
        <v>0.1111111111111111</v>
      </c>
      <c r="K379" s="29">
        <f t="shared" si="283"/>
        <v>0.22222222222222221</v>
      </c>
      <c r="L379" s="29">
        <f t="shared" si="283"/>
        <v>0.13043478260869565</v>
      </c>
      <c r="M379" s="29">
        <f t="shared" si="283"/>
        <v>0.1</v>
      </c>
      <c r="N379" s="29">
        <f t="shared" si="283"/>
        <v>9.375E-2</v>
      </c>
      <c r="O379" s="29">
        <f t="shared" si="283"/>
        <v>2.8571428571428571E-2</v>
      </c>
      <c r="P379" s="29">
        <f t="shared" si="283"/>
        <v>0.14285714285714285</v>
      </c>
      <c r="Q379" s="29">
        <f t="shared" si="283"/>
        <v>2.7027027027027029E-2</v>
      </c>
      <c r="R379" s="29">
        <f t="shared" si="283"/>
        <v>7.6335877862595422E-2</v>
      </c>
      <c r="S379" s="29">
        <f t="shared" si="283"/>
        <v>2.6315789473684209E-2</v>
      </c>
      <c r="T379" s="29">
        <f t="shared" si="283"/>
        <v>0</v>
      </c>
      <c r="U379" s="29">
        <f t="shared" si="283"/>
        <v>0.13043478260869565</v>
      </c>
      <c r="V379" s="29">
        <f t="shared" si="283"/>
        <v>0.05</v>
      </c>
      <c r="W379" s="29">
        <f t="shared" si="283"/>
        <v>4.8251748251748251E-2</v>
      </c>
      <c r="X379" s="29">
        <f t="shared" si="283"/>
        <v>5.8823529411764705E-2</v>
      </c>
      <c r="Y379" s="29">
        <f t="shared" si="283"/>
        <v>0.1276595744680851</v>
      </c>
      <c r="Z379" s="29">
        <f t="shared" si="283"/>
        <v>0</v>
      </c>
      <c r="AA379" s="29">
        <f t="shared" si="283"/>
        <v>6.25E-2</v>
      </c>
      <c r="AB379" s="29">
        <f t="shared" si="283"/>
        <v>4.1666666666666664E-2</v>
      </c>
      <c r="AC379" s="29">
        <f t="shared" si="283"/>
        <v>8.1081081081081086E-2</v>
      </c>
      <c r="AD379" s="29">
        <f t="shared" si="283"/>
        <v>7.407407407407407E-2</v>
      </c>
    </row>
    <row r="380" spans="2:30">
      <c r="B380" t="s">
        <v>320</v>
      </c>
      <c r="C380" t="s">
        <v>577</v>
      </c>
      <c r="D380" s="29">
        <f t="shared" si="284"/>
        <v>0.10945994925697716</v>
      </c>
      <c r="E380" s="29">
        <f t="shared" si="283"/>
        <v>0.2</v>
      </c>
      <c r="F380" s="29">
        <f t="shared" si="283"/>
        <v>0.14678899082568808</v>
      </c>
      <c r="G380" s="29">
        <f t="shared" si="283"/>
        <v>0.27272727272727271</v>
      </c>
      <c r="H380" s="29">
        <f t="shared" si="283"/>
        <v>0.1</v>
      </c>
      <c r="I380" s="29">
        <f t="shared" si="283"/>
        <v>4.1666666666666664E-2</v>
      </c>
      <c r="J380" s="29">
        <f t="shared" si="283"/>
        <v>7.407407407407407E-2</v>
      </c>
      <c r="K380" s="29">
        <f t="shared" si="283"/>
        <v>0</v>
      </c>
      <c r="L380" s="29">
        <f t="shared" si="283"/>
        <v>4.3478260869565216E-2</v>
      </c>
      <c r="M380" s="29">
        <f t="shared" si="283"/>
        <v>0</v>
      </c>
      <c r="N380" s="29">
        <f t="shared" si="283"/>
        <v>9.375E-2</v>
      </c>
      <c r="O380" s="29">
        <f t="shared" si="283"/>
        <v>0.17142857142857143</v>
      </c>
      <c r="P380" s="29">
        <f t="shared" si="283"/>
        <v>9.5238095238095233E-2</v>
      </c>
      <c r="Q380" s="29">
        <f t="shared" si="283"/>
        <v>0.1891891891891892</v>
      </c>
      <c r="R380" s="29">
        <f t="shared" si="283"/>
        <v>7.2519083969465645E-2</v>
      </c>
      <c r="S380" s="29">
        <f t="shared" si="283"/>
        <v>6.5789473684210523E-2</v>
      </c>
      <c r="T380" s="29">
        <f t="shared" si="283"/>
        <v>0</v>
      </c>
      <c r="U380" s="29">
        <f t="shared" si="283"/>
        <v>0.21739130434782608</v>
      </c>
      <c r="V380" s="29">
        <f t="shared" si="283"/>
        <v>0.125</v>
      </c>
      <c r="W380" s="29">
        <f t="shared" si="283"/>
        <v>0.106993006993007</v>
      </c>
      <c r="X380" s="29">
        <f t="shared" si="283"/>
        <v>0.41176470588235292</v>
      </c>
      <c r="Y380" s="29">
        <f t="shared" si="283"/>
        <v>6.3829787234042548E-2</v>
      </c>
      <c r="Z380" s="29">
        <f t="shared" si="283"/>
        <v>0.22222222222222221</v>
      </c>
      <c r="AA380" s="29">
        <f t="shared" si="283"/>
        <v>0.125</v>
      </c>
      <c r="AB380" s="29">
        <f t="shared" si="283"/>
        <v>0.16666666666666666</v>
      </c>
      <c r="AC380" s="29">
        <f t="shared" si="283"/>
        <v>0.27027027027027029</v>
      </c>
      <c r="AD380" s="29">
        <f t="shared" si="283"/>
        <v>0.10185185185185185</v>
      </c>
    </row>
    <row r="381" spans="2:30">
      <c r="B381" t="s">
        <v>321</v>
      </c>
      <c r="C381" t="s">
        <v>577</v>
      </c>
      <c r="D381" s="29">
        <f t="shared" si="284"/>
        <v>2.247191011235955E-2</v>
      </c>
      <c r="E381" s="29">
        <f t="shared" si="283"/>
        <v>6.6666666666666666E-2</v>
      </c>
      <c r="F381" s="29">
        <f t="shared" si="283"/>
        <v>1.834862385321101E-2</v>
      </c>
      <c r="G381" s="29">
        <f t="shared" si="283"/>
        <v>0</v>
      </c>
      <c r="H381" s="29">
        <f t="shared" si="283"/>
        <v>6.6666666666666671E-3</v>
      </c>
      <c r="I381" s="29">
        <f t="shared" si="283"/>
        <v>4.1666666666666664E-2</v>
      </c>
      <c r="J381" s="29">
        <f t="shared" si="283"/>
        <v>3.7037037037037035E-2</v>
      </c>
      <c r="K381" s="29">
        <f t="shared" si="283"/>
        <v>5.5555555555555552E-2</v>
      </c>
      <c r="L381" s="29">
        <f t="shared" si="283"/>
        <v>4.3478260869565216E-2</v>
      </c>
      <c r="M381" s="29">
        <f t="shared" si="283"/>
        <v>0</v>
      </c>
      <c r="N381" s="29">
        <f t="shared" si="283"/>
        <v>6.25E-2</v>
      </c>
      <c r="O381" s="29">
        <f t="shared" si="283"/>
        <v>0</v>
      </c>
      <c r="P381" s="29">
        <f t="shared" si="283"/>
        <v>0</v>
      </c>
      <c r="Q381" s="29">
        <f t="shared" si="283"/>
        <v>2.7027027027027029E-2</v>
      </c>
      <c r="R381" s="29">
        <f t="shared" si="283"/>
        <v>4.1984732824427481E-2</v>
      </c>
      <c r="S381" s="29">
        <f t="shared" si="283"/>
        <v>2.6315789473684209E-2</v>
      </c>
      <c r="T381" s="29">
        <f t="shared" si="283"/>
        <v>0</v>
      </c>
      <c r="U381" s="29">
        <f t="shared" si="283"/>
        <v>4.3478260869565216E-2</v>
      </c>
      <c r="V381" s="29">
        <f t="shared" si="283"/>
        <v>2.5000000000000001E-2</v>
      </c>
      <c r="W381" s="29">
        <f t="shared" si="283"/>
        <v>1.3986013986013986E-2</v>
      </c>
      <c r="X381" s="29">
        <f t="shared" si="283"/>
        <v>0</v>
      </c>
      <c r="Y381" s="29">
        <f t="shared" si="283"/>
        <v>8.5106382978723402E-2</v>
      </c>
      <c r="Z381" s="29">
        <f t="shared" si="283"/>
        <v>0.1111111111111111</v>
      </c>
      <c r="AA381" s="29">
        <f t="shared" si="283"/>
        <v>6.25E-2</v>
      </c>
      <c r="AB381" s="29">
        <f t="shared" si="283"/>
        <v>4.1666666666666664E-2</v>
      </c>
      <c r="AC381" s="29">
        <f t="shared" si="283"/>
        <v>5.4054054054054057E-2</v>
      </c>
      <c r="AD381" s="29">
        <f t="shared" si="283"/>
        <v>2.7777777777777776E-2</v>
      </c>
    </row>
    <row r="382" spans="2:30">
      <c r="B382" t="s">
        <v>322</v>
      </c>
      <c r="C382" t="s">
        <v>577</v>
      </c>
      <c r="D382" s="29">
        <f t="shared" si="284"/>
        <v>0.6980790141355564</v>
      </c>
      <c r="E382" s="29">
        <f t="shared" si="283"/>
        <v>0.46666666666666667</v>
      </c>
      <c r="F382" s="29">
        <f t="shared" si="283"/>
        <v>0.68807339449541283</v>
      </c>
      <c r="G382" s="29">
        <f t="shared" si="283"/>
        <v>0.63636363636363635</v>
      </c>
      <c r="H382" s="29">
        <f t="shared" si="283"/>
        <v>0.73333333333333328</v>
      </c>
      <c r="I382" s="29">
        <f t="shared" si="283"/>
        <v>0.70833333333333337</v>
      </c>
      <c r="J382" s="29">
        <f t="shared" si="283"/>
        <v>0.66666666666666663</v>
      </c>
      <c r="K382" s="29">
        <f t="shared" si="283"/>
        <v>0.55555555555555558</v>
      </c>
      <c r="L382" s="29">
        <f t="shared" si="283"/>
        <v>0.56521739130434778</v>
      </c>
      <c r="M382" s="29">
        <f t="shared" si="283"/>
        <v>0.7</v>
      </c>
      <c r="N382" s="29">
        <f t="shared" si="283"/>
        <v>0.59375</v>
      </c>
      <c r="O382" s="29">
        <f t="shared" si="283"/>
        <v>0.8</v>
      </c>
      <c r="P382" s="29">
        <f t="shared" si="283"/>
        <v>0.69047619047619047</v>
      </c>
      <c r="Q382" s="29">
        <f t="shared" si="283"/>
        <v>0.64864864864864868</v>
      </c>
      <c r="R382" s="29">
        <f t="shared" si="283"/>
        <v>0.71755725190839692</v>
      </c>
      <c r="S382" s="29">
        <f t="shared" si="283"/>
        <v>0.84868421052631582</v>
      </c>
      <c r="T382" s="29">
        <f t="shared" si="283"/>
        <v>0.66666666666666663</v>
      </c>
      <c r="U382" s="29">
        <f t="shared" si="283"/>
        <v>0.56521739130434778</v>
      </c>
      <c r="V382" s="29">
        <f t="shared" si="283"/>
        <v>0.7</v>
      </c>
      <c r="W382" s="29">
        <f t="shared" si="283"/>
        <v>0.7</v>
      </c>
      <c r="X382" s="29">
        <f t="shared" si="283"/>
        <v>0.41176470588235292</v>
      </c>
      <c r="Y382" s="29">
        <f t="shared" si="283"/>
        <v>0.65957446808510634</v>
      </c>
      <c r="Z382" s="29">
        <f t="shared" si="283"/>
        <v>0.55555555555555558</v>
      </c>
      <c r="AA382" s="29">
        <f t="shared" si="283"/>
        <v>0.6875</v>
      </c>
      <c r="AB382" s="29">
        <f t="shared" si="283"/>
        <v>0.70833333333333337</v>
      </c>
      <c r="AC382" s="29">
        <f t="shared" si="283"/>
        <v>0.51351351351351349</v>
      </c>
      <c r="AD382" s="29">
        <f t="shared" si="283"/>
        <v>0.68518518518518523</v>
      </c>
    </row>
    <row r="383" spans="2:30">
      <c r="B383" t="s">
        <v>323</v>
      </c>
      <c r="C383" t="s">
        <v>577</v>
      </c>
      <c r="D383" s="29">
        <f t="shared" si="284"/>
        <v>5.7629575933309168E-2</v>
      </c>
      <c r="E383" s="29">
        <f t="shared" si="283"/>
        <v>0</v>
      </c>
      <c r="F383" s="29">
        <f t="shared" si="283"/>
        <v>5.5045871559633031E-2</v>
      </c>
      <c r="G383" s="29">
        <f t="shared" si="283"/>
        <v>0</v>
      </c>
      <c r="H383" s="29">
        <f t="shared" si="283"/>
        <v>0.04</v>
      </c>
      <c r="I383" s="29">
        <f t="shared" si="283"/>
        <v>8.3333333333333329E-2</v>
      </c>
      <c r="J383" s="29">
        <f t="shared" si="283"/>
        <v>1.8518518518518517E-2</v>
      </c>
      <c r="K383" s="29">
        <f t="shared" si="283"/>
        <v>0.1111111111111111</v>
      </c>
      <c r="L383" s="29">
        <f t="shared" si="283"/>
        <v>4.3478260869565216E-2</v>
      </c>
      <c r="M383" s="29">
        <f t="shared" si="283"/>
        <v>0.1</v>
      </c>
      <c r="N383" s="29">
        <f t="shared" si="283"/>
        <v>6.25E-2</v>
      </c>
      <c r="O383" s="29">
        <f t="shared" si="283"/>
        <v>0</v>
      </c>
      <c r="P383" s="29">
        <f t="shared" si="283"/>
        <v>2.3809523809523808E-2</v>
      </c>
      <c r="Q383" s="29">
        <f t="shared" si="283"/>
        <v>5.4054054054054057E-2</v>
      </c>
      <c r="R383" s="29">
        <f t="shared" si="283"/>
        <v>2.2900763358778626E-2</v>
      </c>
      <c r="S383" s="29">
        <f t="shared" si="283"/>
        <v>0</v>
      </c>
      <c r="T383" s="29">
        <f t="shared" si="283"/>
        <v>0.33333333333333331</v>
      </c>
      <c r="U383" s="29">
        <f t="shared" si="283"/>
        <v>0</v>
      </c>
      <c r="V383" s="29">
        <f t="shared" si="283"/>
        <v>7.4999999999999997E-2</v>
      </c>
      <c r="W383" s="29">
        <f t="shared" si="283"/>
        <v>8.0419580419580416E-2</v>
      </c>
      <c r="X383" s="29">
        <f t="shared" si="283"/>
        <v>0</v>
      </c>
      <c r="Y383" s="29">
        <f t="shared" si="283"/>
        <v>2.1276595744680851E-2</v>
      </c>
      <c r="Z383" s="29">
        <f t="shared" si="283"/>
        <v>5.5555555555555552E-2</v>
      </c>
      <c r="AA383" s="29">
        <f t="shared" si="283"/>
        <v>6.25E-2</v>
      </c>
      <c r="AB383" s="29">
        <f t="shared" si="283"/>
        <v>0</v>
      </c>
      <c r="AC383" s="29">
        <f t="shared" si="283"/>
        <v>2.7027027027027029E-2</v>
      </c>
      <c r="AD383" s="29">
        <f t="shared" si="283"/>
        <v>5.5555555555555552E-2</v>
      </c>
    </row>
    <row r="384" spans="2:30">
      <c r="B384" s="79" t="s">
        <v>16</v>
      </c>
      <c r="C384" s="79" t="s">
        <v>577</v>
      </c>
      <c r="D384" s="102">
        <f t="shared" ref="D384:AD384" si="285">SUM(D377:D383)</f>
        <v>1</v>
      </c>
      <c r="E384" s="102">
        <f t="shared" si="285"/>
        <v>1</v>
      </c>
      <c r="F384" s="102">
        <f t="shared" si="285"/>
        <v>1</v>
      </c>
      <c r="G384" s="102">
        <f t="shared" si="285"/>
        <v>1</v>
      </c>
      <c r="H384" s="102">
        <f t="shared" si="285"/>
        <v>1</v>
      </c>
      <c r="I384" s="102">
        <f t="shared" si="285"/>
        <v>1</v>
      </c>
      <c r="J384" s="102">
        <f t="shared" si="285"/>
        <v>0.99999999999999989</v>
      </c>
      <c r="K384" s="102">
        <f t="shared" si="285"/>
        <v>1</v>
      </c>
      <c r="L384" s="102">
        <f t="shared" si="285"/>
        <v>0.99999999999999989</v>
      </c>
      <c r="M384" s="102">
        <f t="shared" si="285"/>
        <v>0.99999999999999989</v>
      </c>
      <c r="N384" s="102">
        <f t="shared" si="285"/>
        <v>1</v>
      </c>
      <c r="O384" s="102">
        <f t="shared" si="285"/>
        <v>1</v>
      </c>
      <c r="P384" s="102">
        <f t="shared" si="285"/>
        <v>1</v>
      </c>
      <c r="Q384" s="102">
        <f t="shared" si="285"/>
        <v>1</v>
      </c>
      <c r="R384" s="102">
        <f t="shared" si="285"/>
        <v>1</v>
      </c>
      <c r="S384" s="102">
        <f t="shared" si="285"/>
        <v>1</v>
      </c>
      <c r="T384" s="102">
        <f t="shared" si="285"/>
        <v>1</v>
      </c>
      <c r="U384" s="102">
        <f t="shared" si="285"/>
        <v>0.99999999999999989</v>
      </c>
      <c r="V384" s="102">
        <f t="shared" si="285"/>
        <v>0.99999999999999989</v>
      </c>
      <c r="W384" s="102">
        <f t="shared" si="285"/>
        <v>1</v>
      </c>
      <c r="X384" s="102">
        <f t="shared" si="285"/>
        <v>0.99999999999999989</v>
      </c>
      <c r="Y384" s="102">
        <f t="shared" si="285"/>
        <v>1</v>
      </c>
      <c r="Z384" s="102">
        <f t="shared" si="285"/>
        <v>1</v>
      </c>
      <c r="AA384" s="102">
        <f t="shared" si="285"/>
        <v>1</v>
      </c>
      <c r="AB384" s="102">
        <f t="shared" si="285"/>
        <v>1</v>
      </c>
      <c r="AC384" s="102">
        <f t="shared" si="285"/>
        <v>1</v>
      </c>
      <c r="AD384" s="102">
        <f t="shared" si="285"/>
        <v>1</v>
      </c>
    </row>
    <row r="388" spans="2:30" ht="15.5">
      <c r="B388" s="101" t="s">
        <v>601</v>
      </c>
    </row>
    <row r="389" spans="2:30">
      <c r="B389" s="81" t="s">
        <v>573</v>
      </c>
      <c r="C389" s="81" t="s">
        <v>63</v>
      </c>
      <c r="D389" s="81" t="str">
        <f>D376</f>
        <v>IE</v>
      </c>
      <c r="E389" s="81" t="str">
        <f t="shared" ref="E389:AD389" si="286">E376</f>
        <v>IE-CW</v>
      </c>
      <c r="F389" s="81" t="str">
        <f t="shared" si="286"/>
        <v>IE-D</v>
      </c>
      <c r="G389" s="81" t="str">
        <f t="shared" si="286"/>
        <v>IE-KE</v>
      </c>
      <c r="H389" s="81" t="str">
        <f t="shared" si="286"/>
        <v>IE-KK</v>
      </c>
      <c r="I389" s="81" t="str">
        <f t="shared" si="286"/>
        <v>IE-LS</v>
      </c>
      <c r="J389" s="81" t="str">
        <f t="shared" si="286"/>
        <v>IE-LD</v>
      </c>
      <c r="K389" s="81" t="str">
        <f t="shared" si="286"/>
        <v>IE-LH</v>
      </c>
      <c r="L389" s="81" t="str">
        <f t="shared" si="286"/>
        <v>IE-MH</v>
      </c>
      <c r="M389" s="81" t="str">
        <f t="shared" si="286"/>
        <v>IE-OY</v>
      </c>
      <c r="N389" s="81" t="str">
        <f t="shared" si="286"/>
        <v>IE-WH</v>
      </c>
      <c r="O389" s="81" t="str">
        <f t="shared" si="286"/>
        <v>IE-WX</v>
      </c>
      <c r="P389" s="81" t="str">
        <f t="shared" si="286"/>
        <v>IE-WW</v>
      </c>
      <c r="Q389" s="81" t="str">
        <f t="shared" si="286"/>
        <v>IE-CE</v>
      </c>
      <c r="R389" s="81" t="str">
        <f t="shared" si="286"/>
        <v>IE-CO</v>
      </c>
      <c r="S389" s="81" t="str">
        <f t="shared" si="286"/>
        <v>IE-KY</v>
      </c>
      <c r="T389" s="81" t="str">
        <f t="shared" si="286"/>
        <v>IE-LK</v>
      </c>
      <c r="U389" s="81" t="str">
        <f t="shared" si="286"/>
        <v>IE-TA</v>
      </c>
      <c r="V389" s="81" t="str">
        <f t="shared" si="286"/>
        <v>IE-WD</v>
      </c>
      <c r="W389" s="81" t="str">
        <f t="shared" si="286"/>
        <v>IE-G</v>
      </c>
      <c r="X389" s="81" t="str">
        <f t="shared" si="286"/>
        <v>IE-LM</v>
      </c>
      <c r="Y389" s="81" t="str">
        <f t="shared" si="286"/>
        <v>IE-MO</v>
      </c>
      <c r="Z389" s="81" t="str">
        <f t="shared" si="286"/>
        <v>IE-RN</v>
      </c>
      <c r="AA389" s="81" t="str">
        <f t="shared" si="286"/>
        <v>IE-SO</v>
      </c>
      <c r="AB389" s="81" t="str">
        <f t="shared" si="286"/>
        <v>IE-CN</v>
      </c>
      <c r="AC389" s="81" t="str">
        <f t="shared" si="286"/>
        <v>IE-DL</v>
      </c>
      <c r="AD389" s="81" t="str">
        <f t="shared" si="286"/>
        <v>IE-MN</v>
      </c>
    </row>
    <row r="390" spans="2:30">
      <c r="B390" t="s">
        <v>317</v>
      </c>
      <c r="C390" t="s">
        <v>578</v>
      </c>
      <c r="D390" s="181">
        <v>0.95996773943746105</v>
      </c>
      <c r="E390" s="181">
        <v>0.95996773943746105</v>
      </c>
      <c r="F390" s="181">
        <v>0.95996773943746105</v>
      </c>
      <c r="G390" s="181">
        <v>0.95996773943746105</v>
      </c>
      <c r="H390" s="181">
        <v>0.95996773943746105</v>
      </c>
      <c r="I390" s="181">
        <v>0.95996773943746105</v>
      </c>
      <c r="J390" s="181">
        <v>0.95996773943746105</v>
      </c>
      <c r="K390" s="181">
        <v>0.95996773943746105</v>
      </c>
      <c r="L390" s="181">
        <v>0.95996773943746105</v>
      </c>
      <c r="M390" s="181">
        <v>0.95996773943746105</v>
      </c>
      <c r="N390" s="181">
        <v>0.95996773943746105</v>
      </c>
      <c r="O390" s="181">
        <v>0.95996773943746105</v>
      </c>
      <c r="P390" s="181">
        <v>0.95996773943746105</v>
      </c>
      <c r="Q390" s="181">
        <v>0.95996773943746105</v>
      </c>
      <c r="R390" s="181">
        <v>0.95996773943746105</v>
      </c>
      <c r="S390" s="181">
        <v>0.95996773943746105</v>
      </c>
      <c r="T390" s="181">
        <v>0.95996773943746105</v>
      </c>
      <c r="U390" s="181">
        <v>0.95996773943746105</v>
      </c>
      <c r="V390" s="181">
        <v>0.95996773943746105</v>
      </c>
      <c r="W390" s="181">
        <v>0.95996773943746105</v>
      </c>
      <c r="X390" s="181">
        <v>0.95996773943746105</v>
      </c>
      <c r="Y390" s="181">
        <v>0.95996773943746105</v>
      </c>
      <c r="Z390" s="181">
        <v>0.95996773943746105</v>
      </c>
      <c r="AA390" s="181">
        <v>0.95996773943746105</v>
      </c>
      <c r="AB390" s="181">
        <v>0.95996773943746105</v>
      </c>
      <c r="AC390" s="181">
        <v>0.95996773943746105</v>
      </c>
      <c r="AD390" s="181">
        <v>0.95996773943746105</v>
      </c>
    </row>
    <row r="391" spans="2:30">
      <c r="B391" t="s">
        <v>318</v>
      </c>
      <c r="C391" t="s">
        <v>578</v>
      </c>
      <c r="D391" s="181">
        <v>0.97113990697512087</v>
      </c>
      <c r="E391" s="181">
        <v>0.97113990697512087</v>
      </c>
      <c r="F391" s="181">
        <v>0.97113990697512087</v>
      </c>
      <c r="G391" s="181">
        <v>0.97113990697512087</v>
      </c>
      <c r="H391" s="181">
        <v>0.97113990697512087</v>
      </c>
      <c r="I391" s="181">
        <v>0.97113990697512087</v>
      </c>
      <c r="J391" s="181">
        <v>0.97113990697512087</v>
      </c>
      <c r="K391" s="181">
        <v>0.97113990697512087</v>
      </c>
      <c r="L391" s="181">
        <v>0.97113990697512087</v>
      </c>
      <c r="M391" s="181">
        <v>0.97113990697512087</v>
      </c>
      <c r="N391" s="181">
        <v>0.97113990697512087</v>
      </c>
      <c r="O391" s="181">
        <v>0.97113990697512087</v>
      </c>
      <c r="P391" s="181">
        <v>0.97113990697512087</v>
      </c>
      <c r="Q391" s="181">
        <v>0.97113990697512087</v>
      </c>
      <c r="R391" s="181">
        <v>0.97113990697512087</v>
      </c>
      <c r="S391" s="181">
        <v>0.97113990697512087</v>
      </c>
      <c r="T391" s="181">
        <v>0.97113990697512087</v>
      </c>
      <c r="U391" s="181">
        <v>0.97113990697512087</v>
      </c>
      <c r="V391" s="181">
        <v>0.97113990697512087</v>
      </c>
      <c r="W391" s="181">
        <v>0.97113990697512087</v>
      </c>
      <c r="X391" s="181">
        <v>0.97113990697512087</v>
      </c>
      <c r="Y391" s="181">
        <v>0.97113990697512087</v>
      </c>
      <c r="Z391" s="181">
        <v>0.97113990697512087</v>
      </c>
      <c r="AA391" s="181">
        <v>0.97113990697512087</v>
      </c>
      <c r="AB391" s="181">
        <v>0.97113990697512087</v>
      </c>
      <c r="AC391" s="181">
        <v>0.97113990697512087</v>
      </c>
      <c r="AD391" s="181">
        <v>0.97113990697512087</v>
      </c>
    </row>
    <row r="392" spans="2:30">
      <c r="B392" t="s">
        <v>319</v>
      </c>
      <c r="C392" t="s">
        <v>578</v>
      </c>
      <c r="D392" s="181">
        <v>1.0401672361147916</v>
      </c>
      <c r="E392" s="181">
        <v>1.0401672361147916</v>
      </c>
      <c r="F392" s="181">
        <v>1.0401672361147916</v>
      </c>
      <c r="G392" s="181">
        <v>1.0401672361147916</v>
      </c>
      <c r="H392" s="181">
        <v>1.0401672361147916</v>
      </c>
      <c r="I392" s="181">
        <v>1.0401672361147916</v>
      </c>
      <c r="J392" s="181">
        <v>1.0401672361147916</v>
      </c>
      <c r="K392" s="181">
        <v>1.0401672361147916</v>
      </c>
      <c r="L392" s="181">
        <v>1.0401672361147916</v>
      </c>
      <c r="M392" s="181">
        <v>1.0401672361147916</v>
      </c>
      <c r="N392" s="181">
        <v>1.0401672361147916</v>
      </c>
      <c r="O392" s="181">
        <v>1.0401672361147916</v>
      </c>
      <c r="P392" s="181">
        <v>1.0401672361147916</v>
      </c>
      <c r="Q392" s="181">
        <v>1.0401672361147916</v>
      </c>
      <c r="R392" s="181">
        <v>1.0401672361147916</v>
      </c>
      <c r="S392" s="181">
        <v>1.0401672361147916</v>
      </c>
      <c r="T392" s="181">
        <v>1.0401672361147916</v>
      </c>
      <c r="U392" s="181">
        <v>1.0401672361147916</v>
      </c>
      <c r="V392" s="181">
        <v>1.0401672361147916</v>
      </c>
      <c r="W392" s="181">
        <v>1.0401672361147916</v>
      </c>
      <c r="X392" s="181">
        <v>1.0401672361147916</v>
      </c>
      <c r="Y392" s="181">
        <v>1.0401672361147916</v>
      </c>
      <c r="Z392" s="181">
        <v>1.0401672361147916</v>
      </c>
      <c r="AA392" s="181">
        <v>1.0401672361147916</v>
      </c>
      <c r="AB392" s="181">
        <v>1.0401672361147916</v>
      </c>
      <c r="AC392" s="181">
        <v>1.0401672361147916</v>
      </c>
      <c r="AD392" s="181">
        <v>1.0401672361147916</v>
      </c>
    </row>
    <row r="393" spans="2:30">
      <c r="B393" t="s">
        <v>320</v>
      </c>
      <c r="C393" t="s">
        <v>578</v>
      </c>
      <c r="D393" s="181">
        <v>1.0474275590661064</v>
      </c>
      <c r="E393" s="181">
        <v>1.0474275590661064</v>
      </c>
      <c r="F393" s="181">
        <v>1.0474275590661064</v>
      </c>
      <c r="G393" s="181">
        <v>1.0474275590661064</v>
      </c>
      <c r="H393" s="181">
        <v>1.0474275590661064</v>
      </c>
      <c r="I393" s="181">
        <v>1.0474275590661064</v>
      </c>
      <c r="J393" s="181">
        <v>1.0474275590661064</v>
      </c>
      <c r="K393" s="181">
        <v>1.0474275590661064</v>
      </c>
      <c r="L393" s="181">
        <v>1.0474275590661064</v>
      </c>
      <c r="M393" s="181">
        <v>1.0474275590661064</v>
      </c>
      <c r="N393" s="181">
        <v>1.0474275590661064</v>
      </c>
      <c r="O393" s="181">
        <v>1.0474275590661064</v>
      </c>
      <c r="P393" s="181">
        <v>1.0474275590661064</v>
      </c>
      <c r="Q393" s="181">
        <v>1.0474275590661064</v>
      </c>
      <c r="R393" s="181">
        <v>1.0474275590661064</v>
      </c>
      <c r="S393" s="181">
        <v>1.0474275590661064</v>
      </c>
      <c r="T393" s="181">
        <v>1.0474275590661064</v>
      </c>
      <c r="U393" s="181">
        <v>1.0474275590661064</v>
      </c>
      <c r="V393" s="181">
        <v>1.0474275590661064</v>
      </c>
      <c r="W393" s="181">
        <v>1.0474275590661064</v>
      </c>
      <c r="X393" s="181">
        <v>1.0474275590661064</v>
      </c>
      <c r="Y393" s="181">
        <v>1.0474275590661064</v>
      </c>
      <c r="Z393" s="181">
        <v>1.0474275590661064</v>
      </c>
      <c r="AA393" s="181">
        <v>1.0474275590661064</v>
      </c>
      <c r="AB393" s="181">
        <v>1.0474275590661064</v>
      </c>
      <c r="AC393" s="181">
        <v>1.0474275590661064</v>
      </c>
      <c r="AD393" s="181">
        <v>1.0474275590661064</v>
      </c>
    </row>
    <row r="394" spans="2:30">
      <c r="B394" t="s">
        <v>321</v>
      </c>
      <c r="C394" t="s">
        <v>578</v>
      </c>
      <c r="D394" s="181">
        <v>1.0808963939222047</v>
      </c>
      <c r="E394" s="181">
        <v>1.0808963939222047</v>
      </c>
      <c r="F394" s="181">
        <v>1.0808963939222047</v>
      </c>
      <c r="G394" s="181">
        <v>1.0808963939222047</v>
      </c>
      <c r="H394" s="181">
        <v>1.0808963939222047</v>
      </c>
      <c r="I394" s="181">
        <v>1.0808963939222047</v>
      </c>
      <c r="J394" s="181">
        <v>1.0808963939222047</v>
      </c>
      <c r="K394" s="181">
        <v>1.0808963939222047</v>
      </c>
      <c r="L394" s="181">
        <v>1.0808963939222047</v>
      </c>
      <c r="M394" s="181">
        <v>1.0808963939222047</v>
      </c>
      <c r="N394" s="181">
        <v>1.0808963939222047</v>
      </c>
      <c r="O394" s="181">
        <v>1.0808963939222047</v>
      </c>
      <c r="P394" s="181">
        <v>1.0808963939222047</v>
      </c>
      <c r="Q394" s="181">
        <v>1.0808963939222047</v>
      </c>
      <c r="R394" s="181">
        <v>1.0808963939222047</v>
      </c>
      <c r="S394" s="181">
        <v>1.0808963939222047</v>
      </c>
      <c r="T394" s="181">
        <v>1.0808963939222047</v>
      </c>
      <c r="U394" s="181">
        <v>1.0808963939222047</v>
      </c>
      <c r="V394" s="181">
        <v>1.0808963939222047</v>
      </c>
      <c r="W394" s="181">
        <v>1.0808963939222047</v>
      </c>
      <c r="X394" s="181">
        <v>1.0808963939222047</v>
      </c>
      <c r="Y394" s="181">
        <v>1.0808963939222047</v>
      </c>
      <c r="Z394" s="181">
        <v>1.0808963939222047</v>
      </c>
      <c r="AA394" s="181">
        <v>1.0808963939222047</v>
      </c>
      <c r="AB394" s="181">
        <v>1.0808963939222047</v>
      </c>
      <c r="AC394" s="181">
        <v>1.0808963939222047</v>
      </c>
      <c r="AD394" s="181">
        <v>1.0808963939222047</v>
      </c>
    </row>
    <row r="395" spans="2:30">
      <c r="B395" t="s">
        <v>322</v>
      </c>
      <c r="C395" t="s">
        <v>578</v>
      </c>
      <c r="D395" s="181">
        <v>1.0847141785978622</v>
      </c>
      <c r="E395" s="181">
        <v>1.0847141785978622</v>
      </c>
      <c r="F395" s="181">
        <v>1.0847141785978622</v>
      </c>
      <c r="G395" s="181">
        <v>1.0847141785978622</v>
      </c>
      <c r="H395" s="181">
        <v>1.0847141785978622</v>
      </c>
      <c r="I395" s="181">
        <v>1.0847141785978622</v>
      </c>
      <c r="J395" s="181">
        <v>1.0847141785978622</v>
      </c>
      <c r="K395" s="181">
        <v>1.0847141785978622</v>
      </c>
      <c r="L395" s="181">
        <v>1.0847141785978622</v>
      </c>
      <c r="M395" s="181">
        <v>1.0847141785978622</v>
      </c>
      <c r="N395" s="181">
        <v>1.0847141785978622</v>
      </c>
      <c r="O395" s="181">
        <v>1.0847141785978622</v>
      </c>
      <c r="P395" s="181">
        <v>1.0847141785978622</v>
      </c>
      <c r="Q395" s="181">
        <v>1.0847141785978622</v>
      </c>
      <c r="R395" s="181">
        <v>1.0847141785978622</v>
      </c>
      <c r="S395" s="181">
        <v>1.0847141785978622</v>
      </c>
      <c r="T395" s="181">
        <v>1.0847141785978622</v>
      </c>
      <c r="U395" s="181">
        <v>1.0847141785978622</v>
      </c>
      <c r="V395" s="181">
        <v>1.0847141785978622</v>
      </c>
      <c r="W395" s="181">
        <v>1.0847141785978622</v>
      </c>
      <c r="X395" s="181">
        <v>1.0847141785978622</v>
      </c>
      <c r="Y395" s="181">
        <v>1.0847141785978622</v>
      </c>
      <c r="Z395" s="181">
        <v>1.0847141785978622</v>
      </c>
      <c r="AA395" s="181">
        <v>1.0847141785978622</v>
      </c>
      <c r="AB395" s="181">
        <v>1.0847141785978622</v>
      </c>
      <c r="AC395" s="181">
        <v>1.0847141785978622</v>
      </c>
      <c r="AD395" s="181">
        <v>1.0847141785978622</v>
      </c>
    </row>
    <row r="396" spans="2:30">
      <c r="B396" s="79" t="s">
        <v>323</v>
      </c>
      <c r="C396" s="79" t="s">
        <v>578</v>
      </c>
      <c r="D396" s="185">
        <v>1.1741282819271783</v>
      </c>
      <c r="E396" s="185">
        <v>1.1741282819271783</v>
      </c>
      <c r="F396" s="185">
        <v>1.1741282819271783</v>
      </c>
      <c r="G396" s="185">
        <v>1.1741282819271783</v>
      </c>
      <c r="H396" s="185">
        <v>1.1741282819271783</v>
      </c>
      <c r="I396" s="185">
        <v>1.1741282819271783</v>
      </c>
      <c r="J396" s="185">
        <v>1.1741282819271783</v>
      </c>
      <c r="K396" s="185">
        <v>1.1741282819271783</v>
      </c>
      <c r="L396" s="185">
        <v>1.1741282819271783</v>
      </c>
      <c r="M396" s="185">
        <v>1.1741282819271783</v>
      </c>
      <c r="N396" s="185">
        <v>1.1741282819271783</v>
      </c>
      <c r="O396" s="185">
        <v>1.1741282819271783</v>
      </c>
      <c r="P396" s="185">
        <v>1.1741282819271783</v>
      </c>
      <c r="Q396" s="185">
        <v>1.1741282819271783</v>
      </c>
      <c r="R396" s="185">
        <v>1.1741282819271783</v>
      </c>
      <c r="S396" s="185">
        <v>1.1741282819271783</v>
      </c>
      <c r="T396" s="185">
        <v>1.1741282819271783</v>
      </c>
      <c r="U396" s="185">
        <v>1.1741282819271783</v>
      </c>
      <c r="V396" s="185">
        <v>1.1741282819271783</v>
      </c>
      <c r="W396" s="185">
        <v>1.1741282819271783</v>
      </c>
      <c r="X396" s="185">
        <v>1.1741282819271783</v>
      </c>
      <c r="Y396" s="185">
        <v>1.1741282819271783</v>
      </c>
      <c r="Z396" s="185">
        <v>1.1741282819271783</v>
      </c>
      <c r="AA396" s="185">
        <v>1.1741282819271783</v>
      </c>
      <c r="AB396" s="185">
        <v>1.1741282819271783</v>
      </c>
      <c r="AC396" s="185">
        <v>1.1741282819271783</v>
      </c>
      <c r="AD396" s="185">
        <v>1.1741282819271783</v>
      </c>
    </row>
    <row r="397" spans="2:30">
      <c r="B397" t="s">
        <v>582</v>
      </c>
    </row>
    <row r="401" spans="2:30" ht="15.5">
      <c r="B401" s="101" t="s">
        <v>601</v>
      </c>
    </row>
    <row r="402" spans="2:30">
      <c r="B402" s="81" t="s">
        <v>573</v>
      </c>
      <c r="C402" s="81" t="s">
        <v>63</v>
      </c>
      <c r="D402" s="81" t="str">
        <f>D389</f>
        <v>IE</v>
      </c>
      <c r="E402" s="81" t="str">
        <f t="shared" ref="E402:AD402" si="287">E389</f>
        <v>IE-CW</v>
      </c>
      <c r="F402" s="81" t="str">
        <f t="shared" si="287"/>
        <v>IE-D</v>
      </c>
      <c r="G402" s="81" t="str">
        <f t="shared" si="287"/>
        <v>IE-KE</v>
      </c>
      <c r="H402" s="81" t="str">
        <f t="shared" si="287"/>
        <v>IE-KK</v>
      </c>
      <c r="I402" s="81" t="str">
        <f t="shared" si="287"/>
        <v>IE-LS</v>
      </c>
      <c r="J402" s="81" t="str">
        <f t="shared" si="287"/>
        <v>IE-LD</v>
      </c>
      <c r="K402" s="81" t="str">
        <f t="shared" si="287"/>
        <v>IE-LH</v>
      </c>
      <c r="L402" s="81" t="str">
        <f t="shared" si="287"/>
        <v>IE-MH</v>
      </c>
      <c r="M402" s="81" t="str">
        <f t="shared" si="287"/>
        <v>IE-OY</v>
      </c>
      <c r="N402" s="81" t="str">
        <f t="shared" si="287"/>
        <v>IE-WH</v>
      </c>
      <c r="O402" s="81" t="str">
        <f t="shared" si="287"/>
        <v>IE-WX</v>
      </c>
      <c r="P402" s="81" t="str">
        <f t="shared" si="287"/>
        <v>IE-WW</v>
      </c>
      <c r="Q402" s="81" t="str">
        <f t="shared" si="287"/>
        <v>IE-CE</v>
      </c>
      <c r="R402" s="81" t="str">
        <f t="shared" si="287"/>
        <v>IE-CO</v>
      </c>
      <c r="S402" s="81" t="str">
        <f t="shared" si="287"/>
        <v>IE-KY</v>
      </c>
      <c r="T402" s="81" t="str">
        <f t="shared" si="287"/>
        <v>IE-LK</v>
      </c>
      <c r="U402" s="81" t="str">
        <f t="shared" si="287"/>
        <v>IE-TA</v>
      </c>
      <c r="V402" s="81" t="str">
        <f t="shared" si="287"/>
        <v>IE-WD</v>
      </c>
      <c r="W402" s="81" t="str">
        <f t="shared" si="287"/>
        <v>IE-G</v>
      </c>
      <c r="X402" s="81" t="str">
        <f t="shared" si="287"/>
        <v>IE-LM</v>
      </c>
      <c r="Y402" s="81" t="str">
        <f t="shared" si="287"/>
        <v>IE-MO</v>
      </c>
      <c r="Z402" s="81" t="str">
        <f t="shared" si="287"/>
        <v>IE-RN</v>
      </c>
      <c r="AA402" s="81" t="str">
        <f t="shared" si="287"/>
        <v>IE-SO</v>
      </c>
      <c r="AB402" s="81" t="str">
        <f t="shared" si="287"/>
        <v>IE-CN</v>
      </c>
      <c r="AC402" s="81" t="str">
        <f t="shared" si="287"/>
        <v>IE-DL</v>
      </c>
      <c r="AD402" s="81" t="str">
        <f t="shared" si="287"/>
        <v>IE-MN</v>
      </c>
    </row>
    <row r="403" spans="2:30">
      <c r="B403" t="s">
        <v>594</v>
      </c>
      <c r="C403" t="s">
        <v>578</v>
      </c>
      <c r="D403" s="177">
        <f>SUMPRODUCT(D377:D383,D390:D396)</f>
        <v>1.0765709644443593</v>
      </c>
      <c r="E403" s="177">
        <f>IF(E370&gt;1,SUMPRODUCT(E377:E383,E390:E396),$D$210)</f>
        <v>1.0544298848273377</v>
      </c>
      <c r="F403" s="177">
        <f t="shared" ref="F403:AD403" si="288">IF(F370&gt;1,SUMPRODUCT(F377:F383,F390:F396),$D$210)</f>
        <v>1.0770627632453529</v>
      </c>
      <c r="G403" s="177">
        <f t="shared" si="288"/>
        <v>1.0632045151655287</v>
      </c>
      <c r="H403" s="177">
        <f t="shared" si="288"/>
        <v>1.0775870058485064</v>
      </c>
      <c r="I403" s="177">
        <f t="shared" si="288"/>
        <v>1.0815426568613904</v>
      </c>
      <c r="J403" s="177">
        <f t="shared" si="288"/>
        <v>1.0669663675821317</v>
      </c>
      <c r="K403" s="177">
        <f t="shared" si="288"/>
        <v>1.0776073015362118</v>
      </c>
      <c r="L403" s="177">
        <f t="shared" si="288"/>
        <v>1.0593090966426919</v>
      </c>
      <c r="M403" s="177">
        <f t="shared" si="288"/>
        <v>1.0767262507664466</v>
      </c>
      <c r="N403" s="177">
        <f t="shared" si="288"/>
        <v>1.0706970734035384</v>
      </c>
      <c r="O403" s="177">
        <f t="shared" si="288"/>
        <v>1.0770494168929021</v>
      </c>
      <c r="P403" s="177">
        <f t="shared" si="288"/>
        <v>1.0709878236450781</v>
      </c>
      <c r="Q403" s="177">
        <f t="shared" si="288"/>
        <v>1.0744429425021005</v>
      </c>
      <c r="R403" s="177">
        <f t="shared" si="288"/>
        <v>1.0719266536470671</v>
      </c>
      <c r="S403" s="177">
        <f t="shared" si="288"/>
        <v>1.0768848542573723</v>
      </c>
      <c r="T403" s="177">
        <f t="shared" si="288"/>
        <v>1.1145188797076342</v>
      </c>
      <c r="U403" s="177">
        <f t="shared" si="288"/>
        <v>1.0652081721220339</v>
      </c>
      <c r="V403" s="177">
        <f t="shared" si="288"/>
        <v>1.0813179561860364</v>
      </c>
      <c r="W403" s="177">
        <f t="shared" si="288"/>
        <v>1.0794394253934261</v>
      </c>
      <c r="X403" s="177">
        <f t="shared" si="288"/>
        <v>1.0520644046257348</v>
      </c>
      <c r="Y403" s="177">
        <f t="shared" si="288"/>
        <v>1.0729164886576958</v>
      </c>
      <c r="Z403" s="177">
        <f t="shared" si="288"/>
        <v>1.0740411573028943</v>
      </c>
      <c r="AA403" s="177">
        <f t="shared" si="288"/>
        <v>1.0826189371670545</v>
      </c>
      <c r="AB403" s="177">
        <f t="shared" si="288"/>
        <v>1.0712867767459393</v>
      </c>
      <c r="AC403" s="177">
        <f t="shared" si="288"/>
        <v>1.0664919794867926</v>
      </c>
      <c r="AD403" s="177">
        <f t="shared" si="288"/>
        <v>1.0755477367114978</v>
      </c>
    </row>
    <row r="404" spans="2:30">
      <c r="B404" s="79"/>
      <c r="C404" s="79" t="s">
        <v>566</v>
      </c>
      <c r="D404" s="180">
        <f>1000/D403</f>
        <v>928.87513506006621</v>
      </c>
      <c r="E404" s="180">
        <f>1000/E403</f>
        <v>948.37979688308008</v>
      </c>
      <c r="F404" s="180">
        <f>1000/F403</f>
        <v>928.45100037331986</v>
      </c>
      <c r="G404" s="180">
        <f>1000/G403</f>
        <v>940.55281532011884</v>
      </c>
      <c r="H404" s="180">
        <f t="shared" ref="H404" si="289">1000/H403</f>
        <v>927.99931195586998</v>
      </c>
      <c r="I404" s="180">
        <f t="shared" ref="I404" si="290">1000/I403</f>
        <v>924.60523277183984</v>
      </c>
      <c r="J404" s="180">
        <f t="shared" ref="J404" si="291">1000/J403</f>
        <v>937.23666498140403</v>
      </c>
      <c r="K404" s="180">
        <f t="shared" ref="K404" si="292">1000/K403</f>
        <v>927.98183398945366</v>
      </c>
      <c r="L404" s="180">
        <f t="shared" ref="L404" si="293">1000/L403</f>
        <v>944.01152899501903</v>
      </c>
      <c r="M404" s="180">
        <f t="shared" ref="M404" si="294">1000/M403</f>
        <v>928.7411719442797</v>
      </c>
      <c r="N404" s="180">
        <f t="shared" ref="N404" si="295">1000/N403</f>
        <v>933.97098473538733</v>
      </c>
      <c r="O404" s="180">
        <f t="shared" ref="O404" si="296">1000/O403</f>
        <v>928.46250535544027</v>
      </c>
      <c r="P404" s="180">
        <f t="shared" ref="P404" si="297">1000/P403</f>
        <v>933.71743162917301</v>
      </c>
      <c r="Q404" s="180">
        <f t="shared" ref="Q404" si="298">1000/Q403</f>
        <v>930.71484807863123</v>
      </c>
      <c r="R404" s="180">
        <f t="shared" ref="R404" si="299">1000/R403</f>
        <v>932.89964998785354</v>
      </c>
      <c r="S404" s="180">
        <f t="shared" ref="S404" si="300">1000/S403</f>
        <v>928.60438703969635</v>
      </c>
      <c r="T404" s="180">
        <f t="shared" ref="T404" si="301">1000/T403</f>
        <v>897.24814734616666</v>
      </c>
      <c r="U404" s="180">
        <f t="shared" ref="U404" si="302">1000/U403</f>
        <v>938.78363513478246</v>
      </c>
      <c r="V404" s="180">
        <f t="shared" ref="V404" si="303">1000/V403</f>
        <v>924.79736813688316</v>
      </c>
      <c r="W404" s="180">
        <f t="shared" ref="W404" si="304">1000/W403</f>
        <v>926.40677788429616</v>
      </c>
      <c r="X404" s="180">
        <f t="shared" ref="X404" si="305">1000/X403</f>
        <v>950.51215078010705</v>
      </c>
      <c r="Y404" s="180">
        <f t="shared" ref="Y404" si="306">1000/Y403</f>
        <v>932.03898958723232</v>
      </c>
      <c r="Z404" s="180">
        <f t="shared" ref="Z404" si="307">1000/Z403</f>
        <v>931.06301672011841</v>
      </c>
      <c r="AA404" s="180">
        <f t="shared" ref="AA404" si="308">1000/AA403</f>
        <v>923.68604101527376</v>
      </c>
      <c r="AB404" s="180">
        <f t="shared" ref="AB404" si="309">1000/AB403</f>
        <v>933.45686860573903</v>
      </c>
      <c r="AC404" s="180">
        <f t="shared" ref="AC404" si="310">1000/AC403</f>
        <v>937.65355880239315</v>
      </c>
      <c r="AD404" s="180">
        <f t="shared" ref="AD404" si="311">1000/AD403</f>
        <v>929.75882507782865</v>
      </c>
    </row>
    <row r="408" spans="2:30">
      <c r="B408" s="182"/>
      <c r="C408" s="182"/>
      <c r="D408" s="182"/>
      <c r="E408" s="182"/>
      <c r="F408" s="182"/>
      <c r="G408" s="182"/>
      <c r="H408" s="182"/>
      <c r="I408" s="182"/>
      <c r="J408" s="182"/>
      <c r="K408" s="182"/>
      <c r="L408" s="182"/>
      <c r="M408" s="182"/>
      <c r="N408" s="182"/>
      <c r="O408" s="182"/>
      <c r="P408" s="182"/>
      <c r="Q408" s="182"/>
      <c r="R408" s="182"/>
      <c r="S408" s="182"/>
      <c r="T408" s="182"/>
      <c r="U408" s="182"/>
      <c r="V408" s="182"/>
      <c r="W408" s="182"/>
      <c r="X408" s="182"/>
      <c r="Y408" s="182"/>
      <c r="Z408" s="182"/>
      <c r="AA408" s="182"/>
      <c r="AB408" s="182"/>
      <c r="AC408" s="182"/>
      <c r="AD408" s="182"/>
    </row>
    <row r="409" spans="2:30" ht="15.5">
      <c r="B409" s="101" t="s">
        <v>602</v>
      </c>
    </row>
    <row r="410" spans="2:30">
      <c r="B410" s="81" t="s">
        <v>573</v>
      </c>
      <c r="C410" s="81" t="s">
        <v>63</v>
      </c>
      <c r="D410" s="81" t="str">
        <f t="shared" ref="D410:AD410" si="312">D402</f>
        <v>IE</v>
      </c>
      <c r="E410" s="81" t="str">
        <f t="shared" si="312"/>
        <v>IE-CW</v>
      </c>
      <c r="F410" s="81" t="str">
        <f t="shared" si="312"/>
        <v>IE-D</v>
      </c>
      <c r="G410" s="81" t="str">
        <f t="shared" si="312"/>
        <v>IE-KE</v>
      </c>
      <c r="H410" s="81" t="str">
        <f t="shared" si="312"/>
        <v>IE-KK</v>
      </c>
      <c r="I410" s="81" t="str">
        <f t="shared" si="312"/>
        <v>IE-LS</v>
      </c>
      <c r="J410" s="81" t="str">
        <f t="shared" si="312"/>
        <v>IE-LD</v>
      </c>
      <c r="K410" s="81" t="str">
        <f t="shared" si="312"/>
        <v>IE-LH</v>
      </c>
      <c r="L410" s="81" t="str">
        <f t="shared" si="312"/>
        <v>IE-MH</v>
      </c>
      <c r="M410" s="81" t="str">
        <f t="shared" si="312"/>
        <v>IE-OY</v>
      </c>
      <c r="N410" s="81" t="str">
        <f t="shared" si="312"/>
        <v>IE-WH</v>
      </c>
      <c r="O410" s="81" t="str">
        <f t="shared" si="312"/>
        <v>IE-WX</v>
      </c>
      <c r="P410" s="81" t="str">
        <f t="shared" si="312"/>
        <v>IE-WW</v>
      </c>
      <c r="Q410" s="81" t="str">
        <f t="shared" si="312"/>
        <v>IE-CE</v>
      </c>
      <c r="R410" s="81" t="str">
        <f t="shared" si="312"/>
        <v>IE-CO</v>
      </c>
      <c r="S410" s="81" t="str">
        <f t="shared" si="312"/>
        <v>IE-KY</v>
      </c>
      <c r="T410" s="81" t="str">
        <f t="shared" si="312"/>
        <v>IE-LK</v>
      </c>
      <c r="U410" s="81" t="str">
        <f t="shared" si="312"/>
        <v>IE-TA</v>
      </c>
      <c r="V410" s="81" t="str">
        <f t="shared" si="312"/>
        <v>IE-WD</v>
      </c>
      <c r="W410" s="81" t="str">
        <f t="shared" si="312"/>
        <v>IE-G</v>
      </c>
      <c r="X410" s="81" t="str">
        <f t="shared" si="312"/>
        <v>IE-LM</v>
      </c>
      <c r="Y410" s="81" t="str">
        <f t="shared" si="312"/>
        <v>IE-MO</v>
      </c>
      <c r="Z410" s="81" t="str">
        <f t="shared" si="312"/>
        <v>IE-RN</v>
      </c>
      <c r="AA410" s="81" t="str">
        <f t="shared" si="312"/>
        <v>IE-SO</v>
      </c>
      <c r="AB410" s="81" t="str">
        <f t="shared" si="312"/>
        <v>IE-CN</v>
      </c>
      <c r="AC410" s="81" t="str">
        <f t="shared" si="312"/>
        <v>IE-DL</v>
      </c>
      <c r="AD410" s="81" t="str">
        <f t="shared" si="312"/>
        <v>IE-MN</v>
      </c>
    </row>
    <row r="411" spans="2:30">
      <c r="B411" t="s">
        <v>317</v>
      </c>
      <c r="C411" t="s">
        <v>501</v>
      </c>
      <c r="D411" s="9">
        <f>SUM(E411:AD411)</f>
        <v>0</v>
      </c>
      <c r="E411" s="183">
        <v>0</v>
      </c>
      <c r="F411" s="183">
        <v>0</v>
      </c>
      <c r="G411" s="183">
        <v>0</v>
      </c>
      <c r="H411" s="183">
        <v>0</v>
      </c>
      <c r="I411" s="183">
        <v>0</v>
      </c>
      <c r="J411" s="183">
        <v>0</v>
      </c>
      <c r="K411" s="183">
        <v>0</v>
      </c>
      <c r="L411" s="183">
        <v>0</v>
      </c>
      <c r="M411" s="183">
        <v>0</v>
      </c>
      <c r="N411" s="183">
        <v>0</v>
      </c>
      <c r="O411" s="183">
        <v>0</v>
      </c>
      <c r="P411" s="183">
        <v>0</v>
      </c>
      <c r="Q411" s="183">
        <v>0</v>
      </c>
      <c r="R411" s="183">
        <v>0</v>
      </c>
      <c r="S411" s="183">
        <v>0</v>
      </c>
      <c r="T411" s="183">
        <v>0</v>
      </c>
      <c r="U411" s="183">
        <v>0</v>
      </c>
      <c r="V411" s="183">
        <v>0</v>
      </c>
      <c r="W411" s="183">
        <v>0</v>
      </c>
      <c r="X411" s="183">
        <v>0</v>
      </c>
      <c r="Y411" s="183">
        <v>0</v>
      </c>
      <c r="Z411" s="183">
        <v>0</v>
      </c>
      <c r="AA411" s="183">
        <v>0</v>
      </c>
      <c r="AB411" s="183">
        <v>0</v>
      </c>
      <c r="AC411" s="183">
        <v>0</v>
      </c>
      <c r="AD411" s="183">
        <v>0</v>
      </c>
    </row>
    <row r="412" spans="2:30">
      <c r="B412" t="s">
        <v>318</v>
      </c>
      <c r="C412" t="s">
        <v>501</v>
      </c>
      <c r="D412" s="9">
        <f t="shared" ref="D412:D417" si="313">SUM(E412:AD412)</f>
        <v>0</v>
      </c>
      <c r="E412" s="183">
        <v>0</v>
      </c>
      <c r="F412" s="183">
        <v>0</v>
      </c>
      <c r="G412" s="183">
        <v>0</v>
      </c>
      <c r="H412" s="183">
        <v>0</v>
      </c>
      <c r="I412" s="183">
        <v>0</v>
      </c>
      <c r="J412" s="183">
        <v>0</v>
      </c>
      <c r="K412" s="183">
        <v>0</v>
      </c>
      <c r="L412" s="183">
        <v>0</v>
      </c>
      <c r="M412" s="183">
        <v>0</v>
      </c>
      <c r="N412" s="183">
        <v>0</v>
      </c>
      <c r="O412" s="183">
        <v>0</v>
      </c>
      <c r="P412" s="183">
        <v>0</v>
      </c>
      <c r="Q412" s="183">
        <v>0</v>
      </c>
      <c r="R412" s="183">
        <v>0</v>
      </c>
      <c r="S412" s="183">
        <v>0</v>
      </c>
      <c r="T412" s="183">
        <v>0</v>
      </c>
      <c r="U412" s="183">
        <v>0</v>
      </c>
      <c r="V412" s="183">
        <v>0</v>
      </c>
      <c r="W412" s="183">
        <v>0</v>
      </c>
      <c r="X412" s="183">
        <v>0</v>
      </c>
      <c r="Y412" s="183">
        <v>0</v>
      </c>
      <c r="Z412" s="183">
        <v>0</v>
      </c>
      <c r="AA412" s="183">
        <v>0</v>
      </c>
      <c r="AB412" s="183">
        <v>0</v>
      </c>
      <c r="AC412" s="183">
        <v>0</v>
      </c>
      <c r="AD412" s="183">
        <v>0</v>
      </c>
    </row>
    <row r="413" spans="2:30">
      <c r="B413" t="s">
        <v>319</v>
      </c>
      <c r="C413" t="s">
        <v>501</v>
      </c>
      <c r="D413" s="9">
        <f t="shared" si="313"/>
        <v>0</v>
      </c>
      <c r="E413" s="183">
        <v>0</v>
      </c>
      <c r="F413" s="183">
        <v>0</v>
      </c>
      <c r="G413" s="183">
        <v>0</v>
      </c>
      <c r="H413" s="183">
        <v>0</v>
      </c>
      <c r="I413" s="183">
        <v>0</v>
      </c>
      <c r="J413" s="183">
        <v>0</v>
      </c>
      <c r="K413" s="183">
        <v>0</v>
      </c>
      <c r="L413" s="183">
        <v>0</v>
      </c>
      <c r="M413" s="183">
        <v>0</v>
      </c>
      <c r="N413" s="183">
        <v>0</v>
      </c>
      <c r="O413" s="183">
        <v>0</v>
      </c>
      <c r="P413" s="183">
        <v>0</v>
      </c>
      <c r="Q413" s="183">
        <v>0</v>
      </c>
      <c r="R413" s="183">
        <v>0</v>
      </c>
      <c r="S413" s="183">
        <v>0</v>
      </c>
      <c r="T413" s="183">
        <v>0</v>
      </c>
      <c r="U413" s="183">
        <v>0</v>
      </c>
      <c r="V413" s="183">
        <v>0</v>
      </c>
      <c r="W413" s="183">
        <v>0</v>
      </c>
      <c r="X413" s="183">
        <v>0</v>
      </c>
      <c r="Y413" s="183">
        <v>0</v>
      </c>
      <c r="Z413" s="183">
        <v>0</v>
      </c>
      <c r="AA413" s="183">
        <v>0</v>
      </c>
      <c r="AB413" s="183">
        <v>0</v>
      </c>
      <c r="AC413" s="183">
        <v>0</v>
      </c>
      <c r="AD413" s="183">
        <v>0</v>
      </c>
    </row>
    <row r="414" spans="2:30">
      <c r="B414" t="s">
        <v>320</v>
      </c>
      <c r="C414" t="s">
        <v>501</v>
      </c>
      <c r="D414" s="9">
        <f t="shared" si="313"/>
        <v>0</v>
      </c>
      <c r="E414" s="183">
        <v>0</v>
      </c>
      <c r="F414" s="183">
        <v>0</v>
      </c>
      <c r="G414" s="183">
        <v>0</v>
      </c>
      <c r="H414" s="183">
        <v>0</v>
      </c>
      <c r="I414" s="183">
        <v>0</v>
      </c>
      <c r="J414" s="183">
        <v>0</v>
      </c>
      <c r="K414" s="183">
        <v>0</v>
      </c>
      <c r="L414" s="183">
        <v>0</v>
      </c>
      <c r="M414" s="183">
        <v>0</v>
      </c>
      <c r="N414" s="183">
        <v>0</v>
      </c>
      <c r="O414" s="183">
        <v>0</v>
      </c>
      <c r="P414" s="183">
        <v>0</v>
      </c>
      <c r="Q414" s="183">
        <v>0</v>
      </c>
      <c r="R414" s="183">
        <v>0</v>
      </c>
      <c r="S414" s="183">
        <v>0</v>
      </c>
      <c r="T414" s="183">
        <v>0</v>
      </c>
      <c r="U414" s="183">
        <v>0</v>
      </c>
      <c r="V414" s="183">
        <v>0</v>
      </c>
      <c r="W414" s="183">
        <v>0</v>
      </c>
      <c r="X414" s="183">
        <v>0</v>
      </c>
      <c r="Y414" s="183">
        <v>0</v>
      </c>
      <c r="Z414" s="183">
        <v>0</v>
      </c>
      <c r="AA414" s="183">
        <v>0</v>
      </c>
      <c r="AB414" s="183">
        <v>0</v>
      </c>
      <c r="AC414" s="183">
        <v>0</v>
      </c>
      <c r="AD414" s="183">
        <v>0</v>
      </c>
    </row>
    <row r="415" spans="2:30">
      <c r="B415" t="s">
        <v>321</v>
      </c>
      <c r="C415" t="s">
        <v>501</v>
      </c>
      <c r="D415" s="9">
        <f t="shared" si="313"/>
        <v>0</v>
      </c>
      <c r="E415" s="183">
        <v>0</v>
      </c>
      <c r="F415" s="183">
        <v>0</v>
      </c>
      <c r="G415" s="183">
        <v>0</v>
      </c>
      <c r="H415" s="183">
        <v>0</v>
      </c>
      <c r="I415" s="183">
        <v>0</v>
      </c>
      <c r="J415" s="183">
        <v>0</v>
      </c>
      <c r="K415" s="183">
        <v>0</v>
      </c>
      <c r="L415" s="183">
        <v>0</v>
      </c>
      <c r="M415" s="183">
        <v>0</v>
      </c>
      <c r="N415" s="183">
        <v>0</v>
      </c>
      <c r="O415" s="183">
        <v>0</v>
      </c>
      <c r="P415" s="183">
        <v>0</v>
      </c>
      <c r="Q415" s="183">
        <v>0</v>
      </c>
      <c r="R415" s="183">
        <v>0</v>
      </c>
      <c r="S415" s="183">
        <v>0</v>
      </c>
      <c r="T415" s="183">
        <v>0</v>
      </c>
      <c r="U415" s="183">
        <v>0</v>
      </c>
      <c r="V415" s="183">
        <v>0</v>
      </c>
      <c r="W415" s="183">
        <v>0</v>
      </c>
      <c r="X415" s="183">
        <v>0</v>
      </c>
      <c r="Y415" s="183">
        <v>0</v>
      </c>
      <c r="Z415" s="183">
        <v>0</v>
      </c>
      <c r="AA415" s="183">
        <v>0</v>
      </c>
      <c r="AB415" s="183">
        <v>0</v>
      </c>
      <c r="AC415" s="183">
        <v>0</v>
      </c>
      <c r="AD415" s="183">
        <v>0</v>
      </c>
    </row>
    <row r="416" spans="2:30">
      <c r="B416" t="s">
        <v>322</v>
      </c>
      <c r="C416" t="s">
        <v>501</v>
      </c>
      <c r="D416" s="9">
        <f t="shared" si="313"/>
        <v>2</v>
      </c>
      <c r="E416" s="183">
        <v>0</v>
      </c>
      <c r="F416" s="183">
        <v>2</v>
      </c>
      <c r="G416" s="183">
        <v>0</v>
      </c>
      <c r="H416" s="183">
        <v>0</v>
      </c>
      <c r="I416" s="183">
        <v>0</v>
      </c>
      <c r="J416" s="183">
        <v>0</v>
      </c>
      <c r="K416" s="183">
        <v>0</v>
      </c>
      <c r="L416" s="183">
        <v>0</v>
      </c>
      <c r="M416" s="183">
        <v>0</v>
      </c>
      <c r="N416" s="183">
        <v>0</v>
      </c>
      <c r="O416" s="183">
        <v>0</v>
      </c>
      <c r="P416" s="183">
        <v>0</v>
      </c>
      <c r="Q416" s="183">
        <v>0</v>
      </c>
      <c r="R416" s="183">
        <v>0</v>
      </c>
      <c r="S416" s="183">
        <v>0</v>
      </c>
      <c r="T416" s="183">
        <v>0</v>
      </c>
      <c r="U416" s="183">
        <v>0</v>
      </c>
      <c r="V416" s="183">
        <v>0</v>
      </c>
      <c r="W416" s="183">
        <v>0</v>
      </c>
      <c r="X416" s="183">
        <v>0</v>
      </c>
      <c r="Y416" s="183">
        <v>0</v>
      </c>
      <c r="Z416" s="183">
        <v>0</v>
      </c>
      <c r="AA416" s="183">
        <v>0</v>
      </c>
      <c r="AB416" s="183">
        <v>0</v>
      </c>
      <c r="AC416" s="183">
        <v>0</v>
      </c>
      <c r="AD416" s="183">
        <v>0</v>
      </c>
    </row>
    <row r="417" spans="2:30">
      <c r="B417" t="s">
        <v>323</v>
      </c>
      <c r="C417" t="s">
        <v>501</v>
      </c>
      <c r="D417" s="9">
        <f t="shared" si="313"/>
        <v>23</v>
      </c>
      <c r="E417" s="183">
        <v>0</v>
      </c>
      <c r="F417" s="183">
        <v>9</v>
      </c>
      <c r="G417" s="183">
        <v>2</v>
      </c>
      <c r="H417" s="183">
        <v>0</v>
      </c>
      <c r="I417" s="183">
        <v>0</v>
      </c>
      <c r="J417" s="183">
        <v>1</v>
      </c>
      <c r="K417" s="183">
        <v>0</v>
      </c>
      <c r="L417" s="183">
        <v>1</v>
      </c>
      <c r="M417" s="183">
        <v>0</v>
      </c>
      <c r="N417" s="183">
        <v>0</v>
      </c>
      <c r="O417" s="183">
        <v>1</v>
      </c>
      <c r="P417" s="183">
        <v>1</v>
      </c>
      <c r="Q417" s="183">
        <v>2</v>
      </c>
      <c r="R417" s="183">
        <v>2</v>
      </c>
      <c r="S417" s="183">
        <v>0</v>
      </c>
      <c r="T417" s="183">
        <v>0</v>
      </c>
      <c r="U417" s="183">
        <v>1</v>
      </c>
      <c r="V417" s="183">
        <v>0</v>
      </c>
      <c r="W417" s="183">
        <v>0</v>
      </c>
      <c r="X417" s="183">
        <v>0</v>
      </c>
      <c r="Y417" s="183">
        <v>0</v>
      </c>
      <c r="Z417" s="183">
        <v>0</v>
      </c>
      <c r="AA417" s="183">
        <v>1</v>
      </c>
      <c r="AB417" s="183">
        <v>0</v>
      </c>
      <c r="AC417" s="183">
        <v>1</v>
      </c>
      <c r="AD417" s="183">
        <v>1</v>
      </c>
    </row>
    <row r="418" spans="2:30">
      <c r="B418" s="79" t="s">
        <v>16</v>
      </c>
      <c r="C418" s="79" t="s">
        <v>501</v>
      </c>
      <c r="D418" s="176">
        <f>SUM(D411:D417)</f>
        <v>25</v>
      </c>
      <c r="E418" s="176">
        <f>SUM(E411:E417)</f>
        <v>0</v>
      </c>
      <c r="F418" s="176">
        <f t="shared" ref="F418" si="314">SUM(F411:F417)</f>
        <v>11</v>
      </c>
      <c r="G418" s="176">
        <f t="shared" ref="G418" si="315">SUM(G411:G417)</f>
        <v>2</v>
      </c>
      <c r="H418" s="176">
        <f t="shared" ref="H418" si="316">SUM(H411:H417)</f>
        <v>0</v>
      </c>
      <c r="I418" s="176">
        <f t="shared" ref="I418" si="317">SUM(I411:I417)</f>
        <v>0</v>
      </c>
      <c r="J418" s="176">
        <f t="shared" ref="J418" si="318">SUM(J411:J417)</f>
        <v>1</v>
      </c>
      <c r="K418" s="176">
        <f t="shared" ref="K418" si="319">SUM(K411:K417)</f>
        <v>0</v>
      </c>
      <c r="L418" s="176">
        <f t="shared" ref="L418" si="320">SUM(L411:L417)</f>
        <v>1</v>
      </c>
      <c r="M418" s="176">
        <f t="shared" ref="M418" si="321">SUM(M411:M417)</f>
        <v>0</v>
      </c>
      <c r="N418" s="176">
        <f t="shared" ref="N418" si="322">SUM(N411:N417)</f>
        <v>0</v>
      </c>
      <c r="O418" s="176">
        <f t="shared" ref="O418" si="323">SUM(O411:O417)</f>
        <v>1</v>
      </c>
      <c r="P418" s="176">
        <f t="shared" ref="P418" si="324">SUM(P411:P417)</f>
        <v>1</v>
      </c>
      <c r="Q418" s="176">
        <f t="shared" ref="Q418" si="325">SUM(Q411:Q417)</f>
        <v>2</v>
      </c>
      <c r="R418" s="176">
        <f t="shared" ref="R418" si="326">SUM(R411:R417)</f>
        <v>2</v>
      </c>
      <c r="S418" s="176">
        <f t="shared" ref="S418" si="327">SUM(S411:S417)</f>
        <v>0</v>
      </c>
      <c r="T418" s="176">
        <f t="shared" ref="T418" si="328">SUM(T411:T417)</f>
        <v>0</v>
      </c>
      <c r="U418" s="176">
        <f t="shared" ref="U418" si="329">SUM(U411:U417)</f>
        <v>1</v>
      </c>
      <c r="V418" s="176">
        <f t="shared" ref="V418" si="330">SUM(V411:V417)</f>
        <v>0</v>
      </c>
      <c r="W418" s="176">
        <f t="shared" ref="W418" si="331">SUM(W411:W417)</f>
        <v>0</v>
      </c>
      <c r="X418" s="176">
        <f t="shared" ref="X418" si="332">SUM(X411:X417)</f>
        <v>0</v>
      </c>
      <c r="Y418" s="176">
        <f t="shared" ref="Y418" si="333">SUM(Y411:Y417)</f>
        <v>0</v>
      </c>
      <c r="Z418" s="176">
        <f t="shared" ref="Z418" si="334">SUM(Z411:Z417)</f>
        <v>0</v>
      </c>
      <c r="AA418" s="176">
        <f t="shared" ref="AA418" si="335">SUM(AA411:AA417)</f>
        <v>1</v>
      </c>
      <c r="AB418" s="176">
        <f t="shared" ref="AB418" si="336">SUM(AB411:AB417)</f>
        <v>0</v>
      </c>
      <c r="AC418" s="176">
        <f t="shared" ref="AC418" si="337">SUM(AC411:AC417)</f>
        <v>1</v>
      </c>
      <c r="AD418" s="176">
        <f t="shared" ref="AD418" si="338">SUM(AD411:AD417)</f>
        <v>1</v>
      </c>
    </row>
    <row r="419" spans="2:30">
      <c r="B419" t="s">
        <v>584</v>
      </c>
    </row>
    <row r="423" spans="2:30" ht="15.5">
      <c r="B423" s="101" t="s">
        <v>603</v>
      </c>
    </row>
    <row r="424" spans="2:30">
      <c r="B424" s="81" t="s">
        <v>573</v>
      </c>
      <c r="C424" s="81" t="s">
        <v>63</v>
      </c>
      <c r="D424" s="81" t="str">
        <f>D410</f>
        <v>IE</v>
      </c>
      <c r="E424" s="81" t="str">
        <f t="shared" ref="E424:AD424" si="339">E410</f>
        <v>IE-CW</v>
      </c>
      <c r="F424" s="81" t="str">
        <f t="shared" si="339"/>
        <v>IE-D</v>
      </c>
      <c r="G424" s="81" t="str">
        <f t="shared" si="339"/>
        <v>IE-KE</v>
      </c>
      <c r="H424" s="81" t="str">
        <f t="shared" si="339"/>
        <v>IE-KK</v>
      </c>
      <c r="I424" s="81" t="str">
        <f t="shared" si="339"/>
        <v>IE-LS</v>
      </c>
      <c r="J424" s="81" t="str">
        <f t="shared" si="339"/>
        <v>IE-LD</v>
      </c>
      <c r="K424" s="81" t="str">
        <f t="shared" si="339"/>
        <v>IE-LH</v>
      </c>
      <c r="L424" s="81" t="str">
        <f t="shared" si="339"/>
        <v>IE-MH</v>
      </c>
      <c r="M424" s="81" t="str">
        <f t="shared" si="339"/>
        <v>IE-OY</v>
      </c>
      <c r="N424" s="81" t="str">
        <f t="shared" si="339"/>
        <v>IE-WH</v>
      </c>
      <c r="O424" s="81" t="str">
        <f t="shared" si="339"/>
        <v>IE-WX</v>
      </c>
      <c r="P424" s="81" t="str">
        <f t="shared" si="339"/>
        <v>IE-WW</v>
      </c>
      <c r="Q424" s="81" t="str">
        <f t="shared" si="339"/>
        <v>IE-CE</v>
      </c>
      <c r="R424" s="81" t="str">
        <f t="shared" si="339"/>
        <v>IE-CO</v>
      </c>
      <c r="S424" s="81" t="str">
        <f t="shared" si="339"/>
        <v>IE-KY</v>
      </c>
      <c r="T424" s="81" t="str">
        <f t="shared" si="339"/>
        <v>IE-LK</v>
      </c>
      <c r="U424" s="81" t="str">
        <f t="shared" si="339"/>
        <v>IE-TA</v>
      </c>
      <c r="V424" s="81" t="str">
        <f t="shared" si="339"/>
        <v>IE-WD</v>
      </c>
      <c r="W424" s="81" t="str">
        <f t="shared" si="339"/>
        <v>IE-G</v>
      </c>
      <c r="X424" s="81" t="str">
        <f t="shared" si="339"/>
        <v>IE-LM</v>
      </c>
      <c r="Y424" s="81" t="str">
        <f t="shared" si="339"/>
        <v>IE-MO</v>
      </c>
      <c r="Z424" s="81" t="str">
        <f t="shared" si="339"/>
        <v>IE-RN</v>
      </c>
      <c r="AA424" s="81" t="str">
        <f t="shared" si="339"/>
        <v>IE-SO</v>
      </c>
      <c r="AB424" s="81" t="str">
        <f t="shared" si="339"/>
        <v>IE-CN</v>
      </c>
      <c r="AC424" s="81" t="str">
        <f t="shared" si="339"/>
        <v>IE-DL</v>
      </c>
      <c r="AD424" s="81" t="str">
        <f t="shared" si="339"/>
        <v>IE-MN</v>
      </c>
    </row>
    <row r="425" spans="2:30">
      <c r="B425" t="s">
        <v>317</v>
      </c>
      <c r="C425" s="179" t="s">
        <v>577</v>
      </c>
      <c r="D425" s="29">
        <f>D411/D$418</f>
        <v>0</v>
      </c>
      <c r="E425" s="29" t="e">
        <f t="shared" ref="E425:AD431" si="340">E411/E$418</f>
        <v>#DIV/0!</v>
      </c>
      <c r="F425" s="29">
        <f t="shared" si="340"/>
        <v>0</v>
      </c>
      <c r="G425" s="29">
        <f t="shared" si="340"/>
        <v>0</v>
      </c>
      <c r="H425" s="29" t="e">
        <f t="shared" si="340"/>
        <v>#DIV/0!</v>
      </c>
      <c r="I425" s="29" t="e">
        <f t="shared" si="340"/>
        <v>#DIV/0!</v>
      </c>
      <c r="J425" s="29">
        <f t="shared" si="340"/>
        <v>0</v>
      </c>
      <c r="K425" s="29" t="e">
        <f t="shared" si="340"/>
        <v>#DIV/0!</v>
      </c>
      <c r="L425" s="29">
        <f t="shared" si="340"/>
        <v>0</v>
      </c>
      <c r="M425" s="29" t="e">
        <f t="shared" si="340"/>
        <v>#DIV/0!</v>
      </c>
      <c r="N425" s="29" t="e">
        <f t="shared" si="340"/>
        <v>#DIV/0!</v>
      </c>
      <c r="O425" s="29">
        <f t="shared" si="340"/>
        <v>0</v>
      </c>
      <c r="P425" s="29">
        <f t="shared" si="340"/>
        <v>0</v>
      </c>
      <c r="Q425" s="29">
        <f t="shared" si="340"/>
        <v>0</v>
      </c>
      <c r="R425" s="29">
        <f t="shared" si="340"/>
        <v>0</v>
      </c>
      <c r="S425" s="29" t="e">
        <f t="shared" si="340"/>
        <v>#DIV/0!</v>
      </c>
      <c r="T425" s="29" t="e">
        <f t="shared" si="340"/>
        <v>#DIV/0!</v>
      </c>
      <c r="U425" s="29">
        <f t="shared" si="340"/>
        <v>0</v>
      </c>
      <c r="V425" s="29" t="e">
        <f t="shared" si="340"/>
        <v>#DIV/0!</v>
      </c>
      <c r="W425" s="29" t="e">
        <f t="shared" si="340"/>
        <v>#DIV/0!</v>
      </c>
      <c r="X425" s="29" t="e">
        <f t="shared" si="340"/>
        <v>#DIV/0!</v>
      </c>
      <c r="Y425" s="29" t="e">
        <f t="shared" si="340"/>
        <v>#DIV/0!</v>
      </c>
      <c r="Z425" s="29" t="e">
        <f t="shared" si="340"/>
        <v>#DIV/0!</v>
      </c>
      <c r="AA425" s="29">
        <f t="shared" si="340"/>
        <v>0</v>
      </c>
      <c r="AB425" s="29" t="e">
        <f t="shared" si="340"/>
        <v>#DIV/0!</v>
      </c>
      <c r="AC425" s="29">
        <f t="shared" si="340"/>
        <v>0</v>
      </c>
      <c r="AD425" s="29">
        <f t="shared" si="340"/>
        <v>0</v>
      </c>
    </row>
    <row r="426" spans="2:30">
      <c r="B426" t="s">
        <v>318</v>
      </c>
      <c r="C426" t="s">
        <v>577</v>
      </c>
      <c r="D426" s="29">
        <f t="shared" ref="D426:S431" si="341">D412/D$418</f>
        <v>0</v>
      </c>
      <c r="E426" s="29" t="e">
        <f t="shared" si="341"/>
        <v>#DIV/0!</v>
      </c>
      <c r="F426" s="29">
        <f t="shared" si="341"/>
        <v>0</v>
      </c>
      <c r="G426" s="29">
        <f t="shared" si="341"/>
        <v>0</v>
      </c>
      <c r="H426" s="29" t="e">
        <f t="shared" si="341"/>
        <v>#DIV/0!</v>
      </c>
      <c r="I426" s="29" t="e">
        <f t="shared" si="341"/>
        <v>#DIV/0!</v>
      </c>
      <c r="J426" s="29">
        <f t="shared" si="341"/>
        <v>0</v>
      </c>
      <c r="K426" s="29" t="e">
        <f t="shared" si="341"/>
        <v>#DIV/0!</v>
      </c>
      <c r="L426" s="29">
        <f t="shared" si="341"/>
        <v>0</v>
      </c>
      <c r="M426" s="29" t="e">
        <f t="shared" si="341"/>
        <v>#DIV/0!</v>
      </c>
      <c r="N426" s="29" t="e">
        <f t="shared" si="341"/>
        <v>#DIV/0!</v>
      </c>
      <c r="O426" s="29">
        <f t="shared" si="341"/>
        <v>0</v>
      </c>
      <c r="P426" s="29">
        <f t="shared" si="341"/>
        <v>0</v>
      </c>
      <c r="Q426" s="29">
        <f t="shared" si="341"/>
        <v>0</v>
      </c>
      <c r="R426" s="29">
        <f t="shared" si="341"/>
        <v>0</v>
      </c>
      <c r="S426" s="29" t="e">
        <f t="shared" si="341"/>
        <v>#DIV/0!</v>
      </c>
      <c r="T426" s="29" t="e">
        <f t="shared" si="340"/>
        <v>#DIV/0!</v>
      </c>
      <c r="U426" s="29">
        <f t="shared" si="340"/>
        <v>0</v>
      </c>
      <c r="V426" s="29" t="e">
        <f t="shared" si="340"/>
        <v>#DIV/0!</v>
      </c>
      <c r="W426" s="29" t="e">
        <f t="shared" si="340"/>
        <v>#DIV/0!</v>
      </c>
      <c r="X426" s="29" t="e">
        <f t="shared" si="340"/>
        <v>#DIV/0!</v>
      </c>
      <c r="Y426" s="29" t="e">
        <f t="shared" si="340"/>
        <v>#DIV/0!</v>
      </c>
      <c r="Z426" s="29" t="e">
        <f t="shared" si="340"/>
        <v>#DIV/0!</v>
      </c>
      <c r="AA426" s="29">
        <f t="shared" si="340"/>
        <v>0</v>
      </c>
      <c r="AB426" s="29" t="e">
        <f t="shared" si="340"/>
        <v>#DIV/0!</v>
      </c>
      <c r="AC426" s="29">
        <f t="shared" si="340"/>
        <v>0</v>
      </c>
      <c r="AD426" s="29">
        <f t="shared" si="340"/>
        <v>0</v>
      </c>
    </row>
    <row r="427" spans="2:30">
      <c r="B427" t="s">
        <v>319</v>
      </c>
      <c r="C427" t="s">
        <v>577</v>
      </c>
      <c r="D427" s="29">
        <f t="shared" si="341"/>
        <v>0</v>
      </c>
      <c r="E427" s="29" t="e">
        <f t="shared" si="340"/>
        <v>#DIV/0!</v>
      </c>
      <c r="F427" s="29">
        <f t="shared" si="340"/>
        <v>0</v>
      </c>
      <c r="G427" s="29">
        <f t="shared" si="340"/>
        <v>0</v>
      </c>
      <c r="H427" s="29" t="e">
        <f t="shared" si="340"/>
        <v>#DIV/0!</v>
      </c>
      <c r="I427" s="29" t="e">
        <f t="shared" si="340"/>
        <v>#DIV/0!</v>
      </c>
      <c r="J427" s="29">
        <f t="shared" si="340"/>
        <v>0</v>
      </c>
      <c r="K427" s="29" t="e">
        <f t="shared" si="340"/>
        <v>#DIV/0!</v>
      </c>
      <c r="L427" s="29">
        <f t="shared" si="340"/>
        <v>0</v>
      </c>
      <c r="M427" s="29" t="e">
        <f t="shared" si="340"/>
        <v>#DIV/0!</v>
      </c>
      <c r="N427" s="29" t="e">
        <f t="shared" si="340"/>
        <v>#DIV/0!</v>
      </c>
      <c r="O427" s="29">
        <f t="shared" si="340"/>
        <v>0</v>
      </c>
      <c r="P427" s="29">
        <f t="shared" si="340"/>
        <v>0</v>
      </c>
      <c r="Q427" s="29">
        <f t="shared" si="340"/>
        <v>0</v>
      </c>
      <c r="R427" s="29">
        <f t="shared" si="340"/>
        <v>0</v>
      </c>
      <c r="S427" s="29" t="e">
        <f t="shared" si="340"/>
        <v>#DIV/0!</v>
      </c>
      <c r="T427" s="29" t="e">
        <f t="shared" si="340"/>
        <v>#DIV/0!</v>
      </c>
      <c r="U427" s="29">
        <f t="shared" si="340"/>
        <v>0</v>
      </c>
      <c r="V427" s="29" t="e">
        <f t="shared" si="340"/>
        <v>#DIV/0!</v>
      </c>
      <c r="W427" s="29" t="e">
        <f t="shared" si="340"/>
        <v>#DIV/0!</v>
      </c>
      <c r="X427" s="29" t="e">
        <f t="shared" si="340"/>
        <v>#DIV/0!</v>
      </c>
      <c r="Y427" s="29" t="e">
        <f t="shared" si="340"/>
        <v>#DIV/0!</v>
      </c>
      <c r="Z427" s="29" t="e">
        <f t="shared" si="340"/>
        <v>#DIV/0!</v>
      </c>
      <c r="AA427" s="29">
        <f t="shared" si="340"/>
        <v>0</v>
      </c>
      <c r="AB427" s="29" t="e">
        <f t="shared" si="340"/>
        <v>#DIV/0!</v>
      </c>
      <c r="AC427" s="29">
        <f t="shared" si="340"/>
        <v>0</v>
      </c>
      <c r="AD427" s="29">
        <f t="shared" si="340"/>
        <v>0</v>
      </c>
    </row>
    <row r="428" spans="2:30">
      <c r="B428" t="s">
        <v>320</v>
      </c>
      <c r="C428" t="s">
        <v>577</v>
      </c>
      <c r="D428" s="29">
        <f t="shared" si="341"/>
        <v>0</v>
      </c>
      <c r="E428" s="29" t="e">
        <f t="shared" si="340"/>
        <v>#DIV/0!</v>
      </c>
      <c r="F428" s="29">
        <f t="shared" si="340"/>
        <v>0</v>
      </c>
      <c r="G428" s="29">
        <f t="shared" si="340"/>
        <v>0</v>
      </c>
      <c r="H428" s="29" t="e">
        <f t="shared" si="340"/>
        <v>#DIV/0!</v>
      </c>
      <c r="I428" s="29" t="e">
        <f t="shared" si="340"/>
        <v>#DIV/0!</v>
      </c>
      <c r="J428" s="29">
        <f t="shared" si="340"/>
        <v>0</v>
      </c>
      <c r="K428" s="29" t="e">
        <f t="shared" si="340"/>
        <v>#DIV/0!</v>
      </c>
      <c r="L428" s="29">
        <f t="shared" si="340"/>
        <v>0</v>
      </c>
      <c r="M428" s="29" t="e">
        <f t="shared" si="340"/>
        <v>#DIV/0!</v>
      </c>
      <c r="N428" s="29" t="e">
        <f t="shared" si="340"/>
        <v>#DIV/0!</v>
      </c>
      <c r="O428" s="29">
        <f t="shared" si="340"/>
        <v>0</v>
      </c>
      <c r="P428" s="29">
        <f t="shared" si="340"/>
        <v>0</v>
      </c>
      <c r="Q428" s="29">
        <f t="shared" si="340"/>
        <v>0</v>
      </c>
      <c r="R428" s="29">
        <f t="shared" si="340"/>
        <v>0</v>
      </c>
      <c r="S428" s="29" t="e">
        <f t="shared" si="340"/>
        <v>#DIV/0!</v>
      </c>
      <c r="T428" s="29" t="e">
        <f t="shared" si="340"/>
        <v>#DIV/0!</v>
      </c>
      <c r="U428" s="29">
        <f t="shared" si="340"/>
        <v>0</v>
      </c>
      <c r="V428" s="29" t="e">
        <f t="shared" si="340"/>
        <v>#DIV/0!</v>
      </c>
      <c r="W428" s="29" t="e">
        <f t="shared" si="340"/>
        <v>#DIV/0!</v>
      </c>
      <c r="X428" s="29" t="e">
        <f t="shared" si="340"/>
        <v>#DIV/0!</v>
      </c>
      <c r="Y428" s="29" t="e">
        <f t="shared" si="340"/>
        <v>#DIV/0!</v>
      </c>
      <c r="Z428" s="29" t="e">
        <f t="shared" si="340"/>
        <v>#DIV/0!</v>
      </c>
      <c r="AA428" s="29">
        <f t="shared" si="340"/>
        <v>0</v>
      </c>
      <c r="AB428" s="29" t="e">
        <f t="shared" si="340"/>
        <v>#DIV/0!</v>
      </c>
      <c r="AC428" s="29">
        <f t="shared" si="340"/>
        <v>0</v>
      </c>
      <c r="AD428" s="29">
        <f t="shared" si="340"/>
        <v>0</v>
      </c>
    </row>
    <row r="429" spans="2:30">
      <c r="B429" t="s">
        <v>321</v>
      </c>
      <c r="C429" t="s">
        <v>577</v>
      </c>
      <c r="D429" s="29">
        <f t="shared" si="341"/>
        <v>0</v>
      </c>
      <c r="E429" s="29" t="e">
        <f t="shared" si="340"/>
        <v>#DIV/0!</v>
      </c>
      <c r="F429" s="29">
        <f t="shared" si="340"/>
        <v>0</v>
      </c>
      <c r="G429" s="29">
        <f t="shared" si="340"/>
        <v>0</v>
      </c>
      <c r="H429" s="29" t="e">
        <f t="shared" si="340"/>
        <v>#DIV/0!</v>
      </c>
      <c r="I429" s="29" t="e">
        <f t="shared" si="340"/>
        <v>#DIV/0!</v>
      </c>
      <c r="J429" s="29">
        <f t="shared" si="340"/>
        <v>0</v>
      </c>
      <c r="K429" s="29" t="e">
        <f t="shared" si="340"/>
        <v>#DIV/0!</v>
      </c>
      <c r="L429" s="29">
        <f t="shared" si="340"/>
        <v>0</v>
      </c>
      <c r="M429" s="29" t="e">
        <f t="shared" si="340"/>
        <v>#DIV/0!</v>
      </c>
      <c r="N429" s="29" t="e">
        <f t="shared" si="340"/>
        <v>#DIV/0!</v>
      </c>
      <c r="O429" s="29">
        <f t="shared" si="340"/>
        <v>0</v>
      </c>
      <c r="P429" s="29">
        <f t="shared" si="340"/>
        <v>0</v>
      </c>
      <c r="Q429" s="29">
        <f t="shared" si="340"/>
        <v>0</v>
      </c>
      <c r="R429" s="29">
        <f t="shared" si="340"/>
        <v>0</v>
      </c>
      <c r="S429" s="29" t="e">
        <f t="shared" si="340"/>
        <v>#DIV/0!</v>
      </c>
      <c r="T429" s="29" t="e">
        <f t="shared" si="340"/>
        <v>#DIV/0!</v>
      </c>
      <c r="U429" s="29">
        <f t="shared" si="340"/>
        <v>0</v>
      </c>
      <c r="V429" s="29" t="e">
        <f t="shared" si="340"/>
        <v>#DIV/0!</v>
      </c>
      <c r="W429" s="29" t="e">
        <f t="shared" si="340"/>
        <v>#DIV/0!</v>
      </c>
      <c r="X429" s="29" t="e">
        <f t="shared" si="340"/>
        <v>#DIV/0!</v>
      </c>
      <c r="Y429" s="29" t="e">
        <f t="shared" si="340"/>
        <v>#DIV/0!</v>
      </c>
      <c r="Z429" s="29" t="e">
        <f t="shared" si="340"/>
        <v>#DIV/0!</v>
      </c>
      <c r="AA429" s="29">
        <f t="shared" si="340"/>
        <v>0</v>
      </c>
      <c r="AB429" s="29" t="e">
        <f t="shared" si="340"/>
        <v>#DIV/0!</v>
      </c>
      <c r="AC429" s="29">
        <f t="shared" si="340"/>
        <v>0</v>
      </c>
      <c r="AD429" s="29">
        <f t="shared" si="340"/>
        <v>0</v>
      </c>
    </row>
    <row r="430" spans="2:30">
      <c r="B430" t="s">
        <v>322</v>
      </c>
      <c r="C430" t="s">
        <v>577</v>
      </c>
      <c r="D430" s="29">
        <f t="shared" si="341"/>
        <v>0.08</v>
      </c>
      <c r="E430" s="29" t="e">
        <f t="shared" si="340"/>
        <v>#DIV/0!</v>
      </c>
      <c r="F430" s="29">
        <f t="shared" si="340"/>
        <v>0.18181818181818182</v>
      </c>
      <c r="G430" s="29">
        <f t="shared" si="340"/>
        <v>0</v>
      </c>
      <c r="H430" s="29" t="e">
        <f t="shared" si="340"/>
        <v>#DIV/0!</v>
      </c>
      <c r="I430" s="29" t="e">
        <f t="shared" si="340"/>
        <v>#DIV/0!</v>
      </c>
      <c r="J430" s="29">
        <f t="shared" si="340"/>
        <v>0</v>
      </c>
      <c r="K430" s="29" t="e">
        <f t="shared" si="340"/>
        <v>#DIV/0!</v>
      </c>
      <c r="L430" s="29">
        <f t="shared" si="340"/>
        <v>0</v>
      </c>
      <c r="M430" s="29" t="e">
        <f t="shared" si="340"/>
        <v>#DIV/0!</v>
      </c>
      <c r="N430" s="29" t="e">
        <f t="shared" si="340"/>
        <v>#DIV/0!</v>
      </c>
      <c r="O430" s="29">
        <f t="shared" si="340"/>
        <v>0</v>
      </c>
      <c r="P430" s="29">
        <f t="shared" si="340"/>
        <v>0</v>
      </c>
      <c r="Q430" s="29">
        <f t="shared" si="340"/>
        <v>0</v>
      </c>
      <c r="R430" s="29">
        <f t="shared" si="340"/>
        <v>0</v>
      </c>
      <c r="S430" s="29" t="e">
        <f t="shared" si="340"/>
        <v>#DIV/0!</v>
      </c>
      <c r="T430" s="29" t="e">
        <f t="shared" si="340"/>
        <v>#DIV/0!</v>
      </c>
      <c r="U430" s="29">
        <f t="shared" si="340"/>
        <v>0</v>
      </c>
      <c r="V430" s="29" t="e">
        <f t="shared" si="340"/>
        <v>#DIV/0!</v>
      </c>
      <c r="W430" s="29" t="e">
        <f t="shared" si="340"/>
        <v>#DIV/0!</v>
      </c>
      <c r="X430" s="29" t="e">
        <f t="shared" si="340"/>
        <v>#DIV/0!</v>
      </c>
      <c r="Y430" s="29" t="e">
        <f t="shared" si="340"/>
        <v>#DIV/0!</v>
      </c>
      <c r="Z430" s="29" t="e">
        <f t="shared" si="340"/>
        <v>#DIV/0!</v>
      </c>
      <c r="AA430" s="29">
        <f t="shared" si="340"/>
        <v>0</v>
      </c>
      <c r="AB430" s="29" t="e">
        <f t="shared" si="340"/>
        <v>#DIV/0!</v>
      </c>
      <c r="AC430" s="29">
        <f t="shared" si="340"/>
        <v>0</v>
      </c>
      <c r="AD430" s="29">
        <f t="shared" si="340"/>
        <v>0</v>
      </c>
    </row>
    <row r="431" spans="2:30">
      <c r="B431" t="s">
        <v>323</v>
      </c>
      <c r="C431" t="s">
        <v>577</v>
      </c>
      <c r="D431" s="29">
        <f t="shared" si="341"/>
        <v>0.92</v>
      </c>
      <c r="E431" s="29" t="e">
        <f t="shared" si="340"/>
        <v>#DIV/0!</v>
      </c>
      <c r="F431" s="29">
        <f t="shared" si="340"/>
        <v>0.81818181818181823</v>
      </c>
      <c r="G431" s="29">
        <f t="shared" si="340"/>
        <v>1</v>
      </c>
      <c r="H431" s="29" t="e">
        <f t="shared" si="340"/>
        <v>#DIV/0!</v>
      </c>
      <c r="I431" s="29" t="e">
        <f t="shared" si="340"/>
        <v>#DIV/0!</v>
      </c>
      <c r="J431" s="29">
        <f t="shared" si="340"/>
        <v>1</v>
      </c>
      <c r="K431" s="29" t="e">
        <f t="shared" si="340"/>
        <v>#DIV/0!</v>
      </c>
      <c r="L431" s="29">
        <f t="shared" si="340"/>
        <v>1</v>
      </c>
      <c r="M431" s="29" t="e">
        <f t="shared" si="340"/>
        <v>#DIV/0!</v>
      </c>
      <c r="N431" s="29" t="e">
        <f t="shared" si="340"/>
        <v>#DIV/0!</v>
      </c>
      <c r="O431" s="29">
        <f t="shared" si="340"/>
        <v>1</v>
      </c>
      <c r="P431" s="29">
        <f t="shared" si="340"/>
        <v>1</v>
      </c>
      <c r="Q431" s="29">
        <f t="shared" si="340"/>
        <v>1</v>
      </c>
      <c r="R431" s="29">
        <f t="shared" si="340"/>
        <v>1</v>
      </c>
      <c r="S431" s="29" t="e">
        <f t="shared" si="340"/>
        <v>#DIV/0!</v>
      </c>
      <c r="T431" s="29" t="e">
        <f t="shared" si="340"/>
        <v>#DIV/0!</v>
      </c>
      <c r="U431" s="29">
        <f t="shared" si="340"/>
        <v>1</v>
      </c>
      <c r="V431" s="29" t="e">
        <f t="shared" si="340"/>
        <v>#DIV/0!</v>
      </c>
      <c r="W431" s="29" t="e">
        <f t="shared" si="340"/>
        <v>#DIV/0!</v>
      </c>
      <c r="X431" s="29" t="e">
        <f t="shared" si="340"/>
        <v>#DIV/0!</v>
      </c>
      <c r="Y431" s="29" t="e">
        <f t="shared" si="340"/>
        <v>#DIV/0!</v>
      </c>
      <c r="Z431" s="29" t="e">
        <f t="shared" si="340"/>
        <v>#DIV/0!</v>
      </c>
      <c r="AA431" s="29">
        <f t="shared" si="340"/>
        <v>1</v>
      </c>
      <c r="AB431" s="29" t="e">
        <f t="shared" si="340"/>
        <v>#DIV/0!</v>
      </c>
      <c r="AC431" s="29">
        <f t="shared" si="340"/>
        <v>1</v>
      </c>
      <c r="AD431" s="29">
        <f t="shared" si="340"/>
        <v>1</v>
      </c>
    </row>
    <row r="432" spans="2:30">
      <c r="B432" s="79" t="s">
        <v>16</v>
      </c>
      <c r="C432" s="79" t="s">
        <v>577</v>
      </c>
      <c r="D432" s="102">
        <f t="shared" ref="D432:AD432" si="342">SUM(D425:D431)</f>
        <v>1</v>
      </c>
      <c r="E432" s="102" t="e">
        <f t="shared" si="342"/>
        <v>#DIV/0!</v>
      </c>
      <c r="F432" s="102">
        <f t="shared" si="342"/>
        <v>1</v>
      </c>
      <c r="G432" s="102">
        <f t="shared" si="342"/>
        <v>1</v>
      </c>
      <c r="H432" s="102" t="e">
        <f t="shared" si="342"/>
        <v>#DIV/0!</v>
      </c>
      <c r="I432" s="102" t="e">
        <f t="shared" si="342"/>
        <v>#DIV/0!</v>
      </c>
      <c r="J432" s="102">
        <f t="shared" si="342"/>
        <v>1</v>
      </c>
      <c r="K432" s="102" t="e">
        <f t="shared" si="342"/>
        <v>#DIV/0!</v>
      </c>
      <c r="L432" s="102">
        <f t="shared" si="342"/>
        <v>1</v>
      </c>
      <c r="M432" s="102" t="e">
        <f t="shared" si="342"/>
        <v>#DIV/0!</v>
      </c>
      <c r="N432" s="102" t="e">
        <f t="shared" si="342"/>
        <v>#DIV/0!</v>
      </c>
      <c r="O432" s="102">
        <f t="shared" si="342"/>
        <v>1</v>
      </c>
      <c r="P432" s="102">
        <f t="shared" si="342"/>
        <v>1</v>
      </c>
      <c r="Q432" s="102">
        <f t="shared" si="342"/>
        <v>1</v>
      </c>
      <c r="R432" s="102">
        <f t="shared" si="342"/>
        <v>1</v>
      </c>
      <c r="S432" s="102" t="e">
        <f t="shared" si="342"/>
        <v>#DIV/0!</v>
      </c>
      <c r="T432" s="102" t="e">
        <f t="shared" si="342"/>
        <v>#DIV/0!</v>
      </c>
      <c r="U432" s="102">
        <f t="shared" si="342"/>
        <v>1</v>
      </c>
      <c r="V432" s="102" t="e">
        <f t="shared" si="342"/>
        <v>#DIV/0!</v>
      </c>
      <c r="W432" s="102" t="e">
        <f t="shared" si="342"/>
        <v>#DIV/0!</v>
      </c>
      <c r="X432" s="102" t="e">
        <f t="shared" si="342"/>
        <v>#DIV/0!</v>
      </c>
      <c r="Y432" s="102" t="e">
        <f t="shared" si="342"/>
        <v>#DIV/0!</v>
      </c>
      <c r="Z432" s="102" t="e">
        <f t="shared" si="342"/>
        <v>#DIV/0!</v>
      </c>
      <c r="AA432" s="102">
        <f t="shared" si="342"/>
        <v>1</v>
      </c>
      <c r="AB432" s="102" t="e">
        <f t="shared" si="342"/>
        <v>#DIV/0!</v>
      </c>
      <c r="AC432" s="102">
        <f t="shared" si="342"/>
        <v>1</v>
      </c>
      <c r="AD432" s="102">
        <f t="shared" si="342"/>
        <v>1</v>
      </c>
    </row>
    <row r="436" spans="2:30" ht="15.5">
      <c r="B436" s="101" t="s">
        <v>604</v>
      </c>
    </row>
    <row r="437" spans="2:30">
      <c r="B437" s="81" t="s">
        <v>573</v>
      </c>
      <c r="C437" s="81" t="s">
        <v>63</v>
      </c>
      <c r="D437" s="81" t="str">
        <f>D424</f>
        <v>IE</v>
      </c>
      <c r="E437" s="81" t="str">
        <f t="shared" ref="E437:AD437" si="343">E424</f>
        <v>IE-CW</v>
      </c>
      <c r="F437" s="81" t="str">
        <f t="shared" si="343"/>
        <v>IE-D</v>
      </c>
      <c r="G437" s="81" t="str">
        <f t="shared" si="343"/>
        <v>IE-KE</v>
      </c>
      <c r="H437" s="81" t="str">
        <f t="shared" si="343"/>
        <v>IE-KK</v>
      </c>
      <c r="I437" s="81" t="str">
        <f t="shared" si="343"/>
        <v>IE-LS</v>
      </c>
      <c r="J437" s="81" t="str">
        <f t="shared" si="343"/>
        <v>IE-LD</v>
      </c>
      <c r="K437" s="81" t="str">
        <f t="shared" si="343"/>
        <v>IE-LH</v>
      </c>
      <c r="L437" s="81" t="str">
        <f t="shared" si="343"/>
        <v>IE-MH</v>
      </c>
      <c r="M437" s="81" t="str">
        <f t="shared" si="343"/>
        <v>IE-OY</v>
      </c>
      <c r="N437" s="81" t="str">
        <f t="shared" si="343"/>
        <v>IE-WH</v>
      </c>
      <c r="O437" s="81" t="str">
        <f t="shared" si="343"/>
        <v>IE-WX</v>
      </c>
      <c r="P437" s="81" t="str">
        <f t="shared" si="343"/>
        <v>IE-WW</v>
      </c>
      <c r="Q437" s="81" t="str">
        <f t="shared" si="343"/>
        <v>IE-CE</v>
      </c>
      <c r="R437" s="81" t="str">
        <f t="shared" si="343"/>
        <v>IE-CO</v>
      </c>
      <c r="S437" s="81" t="str">
        <f t="shared" si="343"/>
        <v>IE-KY</v>
      </c>
      <c r="T437" s="81" t="str">
        <f t="shared" si="343"/>
        <v>IE-LK</v>
      </c>
      <c r="U437" s="81" t="str">
        <f t="shared" si="343"/>
        <v>IE-TA</v>
      </c>
      <c r="V437" s="81" t="str">
        <f t="shared" si="343"/>
        <v>IE-WD</v>
      </c>
      <c r="W437" s="81" t="str">
        <f t="shared" si="343"/>
        <v>IE-G</v>
      </c>
      <c r="X437" s="81" t="str">
        <f t="shared" si="343"/>
        <v>IE-LM</v>
      </c>
      <c r="Y437" s="81" t="str">
        <f t="shared" si="343"/>
        <v>IE-MO</v>
      </c>
      <c r="Z437" s="81" t="str">
        <f t="shared" si="343"/>
        <v>IE-RN</v>
      </c>
      <c r="AA437" s="81" t="str">
        <f t="shared" si="343"/>
        <v>IE-SO</v>
      </c>
      <c r="AB437" s="81" t="str">
        <f t="shared" si="343"/>
        <v>IE-CN</v>
      </c>
      <c r="AC437" s="81" t="str">
        <f t="shared" si="343"/>
        <v>IE-DL</v>
      </c>
      <c r="AD437" s="81" t="str">
        <f t="shared" si="343"/>
        <v>IE-MN</v>
      </c>
    </row>
    <row r="438" spans="2:30">
      <c r="B438" t="s">
        <v>317</v>
      </c>
      <c r="C438" t="s">
        <v>578</v>
      </c>
      <c r="D438" s="181">
        <v>0.89420463139996986</v>
      </c>
      <c r="E438" s="181">
        <v>0.89420463139996986</v>
      </c>
      <c r="F438" s="181">
        <v>0.89420463139996986</v>
      </c>
      <c r="G438" s="181">
        <v>0.89420463139996986</v>
      </c>
      <c r="H438" s="181">
        <v>0.89420463139996986</v>
      </c>
      <c r="I438" s="181">
        <v>0.89420463139996986</v>
      </c>
      <c r="J438" s="181">
        <v>0.89420463139996986</v>
      </c>
      <c r="K438" s="181">
        <v>0.89420463139996986</v>
      </c>
      <c r="L438" s="181">
        <v>0.89420463139996986</v>
      </c>
      <c r="M438" s="181">
        <v>0.89420463139996986</v>
      </c>
      <c r="N438" s="181">
        <v>0.89420463139996986</v>
      </c>
      <c r="O438" s="181">
        <v>0.89420463139996986</v>
      </c>
      <c r="P438" s="181">
        <v>0.89420463139996986</v>
      </c>
      <c r="Q438" s="181">
        <v>0.89420463139996986</v>
      </c>
      <c r="R438" s="181">
        <v>0.89420463139996986</v>
      </c>
      <c r="S438" s="181">
        <v>0.89420463139996986</v>
      </c>
      <c r="T438" s="181">
        <v>0.89420463139996986</v>
      </c>
      <c r="U438" s="181">
        <v>0.89420463139996986</v>
      </c>
      <c r="V438" s="181">
        <v>0.89420463139996986</v>
      </c>
      <c r="W438" s="181">
        <v>0.89420463139996986</v>
      </c>
      <c r="X438" s="181">
        <v>0.89420463139996986</v>
      </c>
      <c r="Y438" s="181">
        <v>0.89420463139996986</v>
      </c>
      <c r="Z438" s="181">
        <v>0.89420463139996986</v>
      </c>
      <c r="AA438" s="181">
        <v>0.89420463139996986</v>
      </c>
      <c r="AB438" s="181">
        <v>0.89420463139996986</v>
      </c>
      <c r="AC438" s="181">
        <v>0.89420463139996986</v>
      </c>
      <c r="AD438" s="181">
        <v>0.89420463139996986</v>
      </c>
    </row>
    <row r="439" spans="2:30">
      <c r="B439" t="s">
        <v>318</v>
      </c>
      <c r="C439" t="s">
        <v>578</v>
      </c>
      <c r="D439" s="181">
        <v>0.89549213686135043</v>
      </c>
      <c r="E439" s="181">
        <v>0.89549213686135043</v>
      </c>
      <c r="F439" s="181">
        <v>0.89549213686135043</v>
      </c>
      <c r="G439" s="181">
        <v>0.89549213686135043</v>
      </c>
      <c r="H439" s="181">
        <v>0.89549213686135043</v>
      </c>
      <c r="I439" s="181">
        <v>0.89549213686135043</v>
      </c>
      <c r="J439" s="181">
        <v>0.89549213686135043</v>
      </c>
      <c r="K439" s="181">
        <v>0.89549213686135043</v>
      </c>
      <c r="L439" s="181">
        <v>0.89549213686135043</v>
      </c>
      <c r="M439" s="181">
        <v>0.89549213686135043</v>
      </c>
      <c r="N439" s="181">
        <v>0.89549213686135043</v>
      </c>
      <c r="O439" s="181">
        <v>0.89549213686135043</v>
      </c>
      <c r="P439" s="181">
        <v>0.89549213686135043</v>
      </c>
      <c r="Q439" s="181">
        <v>0.89549213686135043</v>
      </c>
      <c r="R439" s="181">
        <v>0.89549213686135043</v>
      </c>
      <c r="S439" s="181">
        <v>0.89549213686135043</v>
      </c>
      <c r="T439" s="181">
        <v>0.89549213686135043</v>
      </c>
      <c r="U439" s="181">
        <v>0.89549213686135043</v>
      </c>
      <c r="V439" s="181">
        <v>0.89549213686135043</v>
      </c>
      <c r="W439" s="181">
        <v>0.89549213686135043</v>
      </c>
      <c r="X439" s="181">
        <v>0.89549213686135043</v>
      </c>
      <c r="Y439" s="181">
        <v>0.89549213686135043</v>
      </c>
      <c r="Z439" s="181">
        <v>0.89549213686135043</v>
      </c>
      <c r="AA439" s="181">
        <v>0.89549213686135043</v>
      </c>
      <c r="AB439" s="181">
        <v>0.89549213686135043</v>
      </c>
      <c r="AC439" s="181">
        <v>0.89549213686135043</v>
      </c>
      <c r="AD439" s="181">
        <v>0.89549213686135043</v>
      </c>
    </row>
    <row r="440" spans="2:30">
      <c r="B440" t="s">
        <v>319</v>
      </c>
      <c r="C440" t="s">
        <v>578</v>
      </c>
      <c r="D440" s="181">
        <v>0.88898830526723482</v>
      </c>
      <c r="E440" s="181">
        <v>0.88898830526723482</v>
      </c>
      <c r="F440" s="181">
        <v>0.88898830526723482</v>
      </c>
      <c r="G440" s="181">
        <v>0.88898830526723482</v>
      </c>
      <c r="H440" s="181">
        <v>0.88898830526723482</v>
      </c>
      <c r="I440" s="181">
        <v>0.88898830526723482</v>
      </c>
      <c r="J440" s="181">
        <v>0.88898830526723482</v>
      </c>
      <c r="K440" s="181">
        <v>0.88898830526723482</v>
      </c>
      <c r="L440" s="181">
        <v>0.88898830526723482</v>
      </c>
      <c r="M440" s="181">
        <v>0.88898830526723482</v>
      </c>
      <c r="N440" s="181">
        <v>0.88898830526723482</v>
      </c>
      <c r="O440" s="181">
        <v>0.88898830526723482</v>
      </c>
      <c r="P440" s="181">
        <v>0.88898830526723482</v>
      </c>
      <c r="Q440" s="181">
        <v>0.88898830526723482</v>
      </c>
      <c r="R440" s="181">
        <v>0.88898830526723482</v>
      </c>
      <c r="S440" s="181">
        <v>0.88898830526723482</v>
      </c>
      <c r="T440" s="181">
        <v>0.88898830526723482</v>
      </c>
      <c r="U440" s="181">
        <v>0.88898830526723482</v>
      </c>
      <c r="V440" s="181">
        <v>0.88898830526723482</v>
      </c>
      <c r="W440" s="181">
        <v>0.88898830526723482</v>
      </c>
      <c r="X440" s="181">
        <v>0.88898830526723482</v>
      </c>
      <c r="Y440" s="181">
        <v>0.88898830526723482</v>
      </c>
      <c r="Z440" s="181">
        <v>0.88898830526723482</v>
      </c>
      <c r="AA440" s="181">
        <v>0.88898830526723482</v>
      </c>
      <c r="AB440" s="181">
        <v>0.88898830526723482</v>
      </c>
      <c r="AC440" s="181">
        <v>0.88898830526723482</v>
      </c>
      <c r="AD440" s="181">
        <v>0.88898830526723482</v>
      </c>
    </row>
    <row r="441" spans="2:30">
      <c r="B441" t="s">
        <v>320</v>
      </c>
      <c r="C441" t="s">
        <v>578</v>
      </c>
      <c r="D441" s="181">
        <v>0.91515513280315741</v>
      </c>
      <c r="E441" s="181">
        <v>0.91515513280315741</v>
      </c>
      <c r="F441" s="181">
        <v>0.91515513280315741</v>
      </c>
      <c r="G441" s="181">
        <v>0.91515513280315741</v>
      </c>
      <c r="H441" s="181">
        <v>0.91515513280315741</v>
      </c>
      <c r="I441" s="181">
        <v>0.91515513280315741</v>
      </c>
      <c r="J441" s="181">
        <v>0.91515513280315741</v>
      </c>
      <c r="K441" s="181">
        <v>0.91515513280315741</v>
      </c>
      <c r="L441" s="181">
        <v>0.91515513280315741</v>
      </c>
      <c r="M441" s="181">
        <v>0.91515513280315741</v>
      </c>
      <c r="N441" s="181">
        <v>0.91515513280315741</v>
      </c>
      <c r="O441" s="181">
        <v>0.91515513280315741</v>
      </c>
      <c r="P441" s="181">
        <v>0.91515513280315741</v>
      </c>
      <c r="Q441" s="181">
        <v>0.91515513280315741</v>
      </c>
      <c r="R441" s="181">
        <v>0.91515513280315741</v>
      </c>
      <c r="S441" s="181">
        <v>0.91515513280315741</v>
      </c>
      <c r="T441" s="181">
        <v>0.91515513280315741</v>
      </c>
      <c r="U441" s="181">
        <v>0.91515513280315741</v>
      </c>
      <c r="V441" s="181">
        <v>0.91515513280315741</v>
      </c>
      <c r="W441" s="181">
        <v>0.91515513280315741</v>
      </c>
      <c r="X441" s="181">
        <v>0.91515513280315741</v>
      </c>
      <c r="Y441" s="181">
        <v>0.91515513280315741</v>
      </c>
      <c r="Z441" s="181">
        <v>0.91515513280315741</v>
      </c>
      <c r="AA441" s="181">
        <v>0.91515513280315741</v>
      </c>
      <c r="AB441" s="181">
        <v>0.91515513280315741</v>
      </c>
      <c r="AC441" s="181">
        <v>0.91515513280315741</v>
      </c>
      <c r="AD441" s="181">
        <v>0.91515513280315741</v>
      </c>
    </row>
    <row r="442" spans="2:30">
      <c r="B442" t="s">
        <v>321</v>
      </c>
      <c r="C442" t="s">
        <v>578</v>
      </c>
      <c r="D442" s="181">
        <v>0.99212392375028091</v>
      </c>
      <c r="E442" s="181">
        <v>0.99212392375028091</v>
      </c>
      <c r="F442" s="181">
        <v>0.99212392375028091</v>
      </c>
      <c r="G442" s="181">
        <v>0.99212392375028091</v>
      </c>
      <c r="H442" s="181">
        <v>0.99212392375028091</v>
      </c>
      <c r="I442" s="181">
        <v>0.99212392375028091</v>
      </c>
      <c r="J442" s="181">
        <v>0.99212392375028091</v>
      </c>
      <c r="K442" s="181">
        <v>0.99212392375028091</v>
      </c>
      <c r="L442" s="181">
        <v>0.99212392375028091</v>
      </c>
      <c r="M442" s="181">
        <v>0.99212392375028091</v>
      </c>
      <c r="N442" s="181">
        <v>0.99212392375028091</v>
      </c>
      <c r="O442" s="181">
        <v>0.99212392375028091</v>
      </c>
      <c r="P442" s="181">
        <v>0.99212392375028091</v>
      </c>
      <c r="Q442" s="181">
        <v>0.99212392375028091</v>
      </c>
      <c r="R442" s="181">
        <v>0.99212392375028091</v>
      </c>
      <c r="S442" s="181">
        <v>0.99212392375028091</v>
      </c>
      <c r="T442" s="181">
        <v>0.99212392375028091</v>
      </c>
      <c r="U442" s="181">
        <v>0.99212392375028091</v>
      </c>
      <c r="V442" s="181">
        <v>0.99212392375028091</v>
      </c>
      <c r="W442" s="181">
        <v>0.99212392375028091</v>
      </c>
      <c r="X442" s="181">
        <v>0.99212392375028091</v>
      </c>
      <c r="Y442" s="181">
        <v>0.99212392375028091</v>
      </c>
      <c r="Z442" s="181">
        <v>0.99212392375028091</v>
      </c>
      <c r="AA442" s="181">
        <v>0.99212392375028091</v>
      </c>
      <c r="AB442" s="181">
        <v>0.99212392375028091</v>
      </c>
      <c r="AC442" s="181">
        <v>0.99212392375028091</v>
      </c>
      <c r="AD442" s="181">
        <v>0.99212392375028091</v>
      </c>
    </row>
    <row r="443" spans="2:30">
      <c r="B443" t="s">
        <v>322</v>
      </c>
      <c r="C443" t="s">
        <v>578</v>
      </c>
      <c r="D443" s="181">
        <v>1.0153132420731179</v>
      </c>
      <c r="E443" s="181">
        <v>1.0153132420731179</v>
      </c>
      <c r="F443" s="181">
        <v>1.0153132420731179</v>
      </c>
      <c r="G443" s="181">
        <v>1.0153132420731179</v>
      </c>
      <c r="H443" s="181">
        <v>1.0153132420731179</v>
      </c>
      <c r="I443" s="181">
        <v>1.0153132420731179</v>
      </c>
      <c r="J443" s="181">
        <v>1.0153132420731179</v>
      </c>
      <c r="K443" s="181">
        <v>1.0153132420731179</v>
      </c>
      <c r="L443" s="181">
        <v>1.0153132420731179</v>
      </c>
      <c r="M443" s="181">
        <v>1.0153132420731179</v>
      </c>
      <c r="N443" s="181">
        <v>1.0153132420731179</v>
      </c>
      <c r="O443" s="181">
        <v>1.0153132420731179</v>
      </c>
      <c r="P443" s="181">
        <v>1.0153132420731179</v>
      </c>
      <c r="Q443" s="181">
        <v>1.0153132420731179</v>
      </c>
      <c r="R443" s="181">
        <v>1.0153132420731179</v>
      </c>
      <c r="S443" s="181">
        <v>1.0153132420731179</v>
      </c>
      <c r="T443" s="181">
        <v>1.0153132420731179</v>
      </c>
      <c r="U443" s="181">
        <v>1.0153132420731179</v>
      </c>
      <c r="V443" s="181">
        <v>1.0153132420731179</v>
      </c>
      <c r="W443" s="181">
        <v>1.0153132420731179</v>
      </c>
      <c r="X443" s="181">
        <v>1.0153132420731179</v>
      </c>
      <c r="Y443" s="181">
        <v>1.0153132420731179</v>
      </c>
      <c r="Z443" s="181">
        <v>1.0153132420731179</v>
      </c>
      <c r="AA443" s="181">
        <v>1.0153132420731179</v>
      </c>
      <c r="AB443" s="181">
        <v>1.0153132420731179</v>
      </c>
      <c r="AC443" s="181">
        <v>1.0153132420731179</v>
      </c>
      <c r="AD443" s="181">
        <v>1.0153132420731179</v>
      </c>
    </row>
    <row r="444" spans="2:30">
      <c r="B444" s="79" t="s">
        <v>323</v>
      </c>
      <c r="C444" s="79" t="s">
        <v>578</v>
      </c>
      <c r="D444" s="185">
        <v>1.0969120942538386</v>
      </c>
      <c r="E444" s="185">
        <v>1.0969120942538386</v>
      </c>
      <c r="F444" s="185">
        <v>1.0969120942538386</v>
      </c>
      <c r="G444" s="185">
        <v>1.0969120942538386</v>
      </c>
      <c r="H444" s="185">
        <v>1.0969120942538386</v>
      </c>
      <c r="I444" s="185">
        <v>1.0969120942538386</v>
      </c>
      <c r="J444" s="185">
        <v>1.0969120942538386</v>
      </c>
      <c r="K444" s="185">
        <v>1.0969120942538386</v>
      </c>
      <c r="L444" s="185">
        <v>1.0969120942538386</v>
      </c>
      <c r="M444" s="185">
        <v>1.0969120942538386</v>
      </c>
      <c r="N444" s="185">
        <v>1.0969120942538386</v>
      </c>
      <c r="O444" s="185">
        <v>1.0969120942538386</v>
      </c>
      <c r="P444" s="185">
        <v>1.0969120942538386</v>
      </c>
      <c r="Q444" s="185">
        <v>1.0969120942538386</v>
      </c>
      <c r="R444" s="185">
        <v>1.0969120942538386</v>
      </c>
      <c r="S444" s="185">
        <v>1.0969120942538386</v>
      </c>
      <c r="T444" s="185">
        <v>1.0969120942538386</v>
      </c>
      <c r="U444" s="185">
        <v>1.0969120942538386</v>
      </c>
      <c r="V444" s="185">
        <v>1.0969120942538386</v>
      </c>
      <c r="W444" s="185">
        <v>1.0969120942538386</v>
      </c>
      <c r="X444" s="185">
        <v>1.0969120942538386</v>
      </c>
      <c r="Y444" s="185">
        <v>1.0969120942538386</v>
      </c>
      <c r="Z444" s="185">
        <v>1.0969120942538386</v>
      </c>
      <c r="AA444" s="185">
        <v>1.0969120942538386</v>
      </c>
      <c r="AB444" s="185">
        <v>1.0969120942538386</v>
      </c>
      <c r="AC444" s="185">
        <v>1.0969120942538386</v>
      </c>
      <c r="AD444" s="185">
        <v>1.0969120942538386</v>
      </c>
    </row>
    <row r="445" spans="2:30">
      <c r="B445" t="s">
        <v>582</v>
      </c>
    </row>
    <row r="449" spans="2:30" ht="15.5">
      <c r="B449" s="101" t="s">
        <v>604</v>
      </c>
    </row>
    <row r="450" spans="2:30">
      <c r="B450" s="81" t="s">
        <v>573</v>
      </c>
      <c r="C450" s="81" t="s">
        <v>63</v>
      </c>
      <c r="D450" s="81" t="str">
        <f>D437</f>
        <v>IE</v>
      </c>
      <c r="E450" s="81" t="str">
        <f t="shared" ref="E450:AD450" si="344">E437</f>
        <v>IE-CW</v>
      </c>
      <c r="F450" s="81" t="str">
        <f t="shared" si="344"/>
        <v>IE-D</v>
      </c>
      <c r="G450" s="81" t="str">
        <f t="shared" si="344"/>
        <v>IE-KE</v>
      </c>
      <c r="H450" s="81" t="str">
        <f t="shared" si="344"/>
        <v>IE-KK</v>
      </c>
      <c r="I450" s="81" t="str">
        <f t="shared" si="344"/>
        <v>IE-LS</v>
      </c>
      <c r="J450" s="81" t="str">
        <f t="shared" si="344"/>
        <v>IE-LD</v>
      </c>
      <c r="K450" s="81" t="str">
        <f t="shared" si="344"/>
        <v>IE-LH</v>
      </c>
      <c r="L450" s="81" t="str">
        <f t="shared" si="344"/>
        <v>IE-MH</v>
      </c>
      <c r="M450" s="81" t="str">
        <f t="shared" si="344"/>
        <v>IE-OY</v>
      </c>
      <c r="N450" s="81" t="str">
        <f t="shared" si="344"/>
        <v>IE-WH</v>
      </c>
      <c r="O450" s="81" t="str">
        <f t="shared" si="344"/>
        <v>IE-WX</v>
      </c>
      <c r="P450" s="81" t="str">
        <f t="shared" si="344"/>
        <v>IE-WW</v>
      </c>
      <c r="Q450" s="81" t="str">
        <f t="shared" si="344"/>
        <v>IE-CE</v>
      </c>
      <c r="R450" s="81" t="str">
        <f t="shared" si="344"/>
        <v>IE-CO</v>
      </c>
      <c r="S450" s="81" t="str">
        <f t="shared" si="344"/>
        <v>IE-KY</v>
      </c>
      <c r="T450" s="81" t="str">
        <f t="shared" si="344"/>
        <v>IE-LK</v>
      </c>
      <c r="U450" s="81" t="str">
        <f t="shared" si="344"/>
        <v>IE-TA</v>
      </c>
      <c r="V450" s="81" t="str">
        <f t="shared" si="344"/>
        <v>IE-WD</v>
      </c>
      <c r="W450" s="81" t="str">
        <f t="shared" si="344"/>
        <v>IE-G</v>
      </c>
      <c r="X450" s="81" t="str">
        <f t="shared" si="344"/>
        <v>IE-LM</v>
      </c>
      <c r="Y450" s="81" t="str">
        <f t="shared" si="344"/>
        <v>IE-MO</v>
      </c>
      <c r="Z450" s="81" t="str">
        <f t="shared" si="344"/>
        <v>IE-RN</v>
      </c>
      <c r="AA450" s="81" t="str">
        <f t="shared" si="344"/>
        <v>IE-SO</v>
      </c>
      <c r="AB450" s="81" t="str">
        <f t="shared" si="344"/>
        <v>IE-CN</v>
      </c>
      <c r="AC450" s="81" t="str">
        <f t="shared" si="344"/>
        <v>IE-DL</v>
      </c>
      <c r="AD450" s="81" t="str">
        <f t="shared" si="344"/>
        <v>IE-MN</v>
      </c>
    </row>
    <row r="451" spans="2:30">
      <c r="B451" t="s">
        <v>594</v>
      </c>
      <c r="C451" t="s">
        <v>578</v>
      </c>
      <c r="D451" s="177">
        <f>SUMPRODUCT(D425:D431,D438:D444)</f>
        <v>1.090384186079381</v>
      </c>
      <c r="E451" s="177">
        <f>IF(E418&gt;1,SUMPRODUCT(E425:E431,E438:E444),$D$210)</f>
        <v>1.9907750239914981</v>
      </c>
      <c r="F451" s="177">
        <f t="shared" ref="F451:AD451" si="345">IF(F418&gt;1,SUMPRODUCT(F425:F431,F438:F444),$D$210)</f>
        <v>1.0820759393118895</v>
      </c>
      <c r="G451" s="177">
        <f t="shared" si="345"/>
        <v>1.0969120942538386</v>
      </c>
      <c r="H451" s="177">
        <f t="shared" si="345"/>
        <v>1.9907750239914981</v>
      </c>
      <c r="I451" s="177">
        <f t="shared" si="345"/>
        <v>1.9907750239914981</v>
      </c>
      <c r="J451" s="177">
        <f t="shared" si="345"/>
        <v>1.9907750239914981</v>
      </c>
      <c r="K451" s="177">
        <f t="shared" si="345"/>
        <v>1.9907750239914981</v>
      </c>
      <c r="L451" s="177">
        <f t="shared" si="345"/>
        <v>1.9907750239914981</v>
      </c>
      <c r="M451" s="177">
        <f t="shared" si="345"/>
        <v>1.9907750239914981</v>
      </c>
      <c r="N451" s="177">
        <f t="shared" si="345"/>
        <v>1.9907750239914981</v>
      </c>
      <c r="O451" s="177">
        <f t="shared" si="345"/>
        <v>1.9907750239914981</v>
      </c>
      <c r="P451" s="177">
        <f t="shared" si="345"/>
        <v>1.9907750239914981</v>
      </c>
      <c r="Q451" s="177">
        <f t="shared" si="345"/>
        <v>1.0969120942538386</v>
      </c>
      <c r="R451" s="177">
        <f t="shared" si="345"/>
        <v>1.0969120942538386</v>
      </c>
      <c r="S451" s="177">
        <f t="shared" si="345"/>
        <v>1.9907750239914981</v>
      </c>
      <c r="T451" s="177">
        <f t="shared" si="345"/>
        <v>1.9907750239914981</v>
      </c>
      <c r="U451" s="177">
        <f t="shared" si="345"/>
        <v>1.9907750239914981</v>
      </c>
      <c r="V451" s="177">
        <f t="shared" si="345"/>
        <v>1.9907750239914981</v>
      </c>
      <c r="W451" s="177">
        <f t="shared" si="345"/>
        <v>1.9907750239914981</v>
      </c>
      <c r="X451" s="177">
        <f t="shared" si="345"/>
        <v>1.9907750239914981</v>
      </c>
      <c r="Y451" s="177">
        <f t="shared" si="345"/>
        <v>1.9907750239914981</v>
      </c>
      <c r="Z451" s="177">
        <f t="shared" si="345"/>
        <v>1.9907750239914981</v>
      </c>
      <c r="AA451" s="177">
        <f t="shared" si="345"/>
        <v>1.9907750239914981</v>
      </c>
      <c r="AB451" s="177">
        <f t="shared" si="345"/>
        <v>1.9907750239914981</v>
      </c>
      <c r="AC451" s="177">
        <f t="shared" si="345"/>
        <v>1.9907750239914981</v>
      </c>
      <c r="AD451" s="177">
        <f t="shared" si="345"/>
        <v>1.9907750239914981</v>
      </c>
    </row>
    <row r="452" spans="2:30">
      <c r="B452" s="79"/>
      <c r="C452" s="79" t="s">
        <v>566</v>
      </c>
      <c r="D452" s="180">
        <f>1000/D451</f>
        <v>917.10794485715246</v>
      </c>
      <c r="E452" s="180">
        <f>1000/E451</f>
        <v>502.31693081772892</v>
      </c>
      <c r="F452" s="180">
        <f>1000/F451</f>
        <v>924.1495570411787</v>
      </c>
      <c r="G452" s="180">
        <f>1000/G451</f>
        <v>911.65008138618259</v>
      </c>
      <c r="H452" s="180">
        <f t="shared" ref="H452" si="346">1000/H451</f>
        <v>502.31693081772892</v>
      </c>
      <c r="I452" s="180">
        <f t="shared" ref="I452" si="347">1000/I451</f>
        <v>502.31693081772892</v>
      </c>
      <c r="J452" s="180">
        <f t="shared" ref="J452" si="348">1000/J451</f>
        <v>502.31693081772892</v>
      </c>
      <c r="K452" s="180">
        <f t="shared" ref="K452" si="349">1000/K451</f>
        <v>502.31693081772892</v>
      </c>
      <c r="L452" s="180">
        <f t="shared" ref="L452" si="350">1000/L451</f>
        <v>502.31693081772892</v>
      </c>
      <c r="M452" s="180">
        <f t="shared" ref="M452" si="351">1000/M451</f>
        <v>502.31693081772892</v>
      </c>
      <c r="N452" s="180">
        <f t="shared" ref="N452" si="352">1000/N451</f>
        <v>502.31693081772892</v>
      </c>
      <c r="O452" s="180">
        <f t="shared" ref="O452" si="353">1000/O451</f>
        <v>502.31693081772892</v>
      </c>
      <c r="P452" s="180">
        <f t="shared" ref="P452" si="354">1000/P451</f>
        <v>502.31693081772892</v>
      </c>
      <c r="Q452" s="180">
        <f t="shared" ref="Q452" si="355">1000/Q451</f>
        <v>911.65008138618259</v>
      </c>
      <c r="R452" s="180">
        <f t="shared" ref="R452" si="356">1000/R451</f>
        <v>911.65008138618259</v>
      </c>
      <c r="S452" s="180">
        <f t="shared" ref="S452" si="357">1000/S451</f>
        <v>502.31693081772892</v>
      </c>
      <c r="T452" s="180">
        <f t="shared" ref="T452" si="358">1000/T451</f>
        <v>502.31693081772892</v>
      </c>
      <c r="U452" s="180">
        <f t="shared" ref="U452" si="359">1000/U451</f>
        <v>502.31693081772892</v>
      </c>
      <c r="V452" s="180">
        <f t="shared" ref="V452" si="360">1000/V451</f>
        <v>502.31693081772892</v>
      </c>
      <c r="W452" s="180">
        <f t="shared" ref="W452" si="361">1000/W451</f>
        <v>502.31693081772892</v>
      </c>
      <c r="X452" s="180">
        <f t="shared" ref="X452" si="362">1000/X451</f>
        <v>502.31693081772892</v>
      </c>
      <c r="Y452" s="180">
        <f t="shared" ref="Y452" si="363">1000/Y451</f>
        <v>502.31693081772892</v>
      </c>
      <c r="Z452" s="180">
        <f t="shared" ref="Z452" si="364">1000/Z451</f>
        <v>502.31693081772892</v>
      </c>
      <c r="AA452" s="180">
        <f t="shared" ref="AA452" si="365">1000/AA451</f>
        <v>502.31693081772892</v>
      </c>
      <c r="AB452" s="180">
        <f t="shared" ref="AB452" si="366">1000/AB451</f>
        <v>502.31693081772892</v>
      </c>
      <c r="AC452" s="180">
        <f t="shared" ref="AC452" si="367">1000/AC451</f>
        <v>502.31693081772892</v>
      </c>
      <c r="AD452" s="180">
        <f t="shared" ref="AD452" si="368">1000/AD451</f>
        <v>502.31693081772892</v>
      </c>
    </row>
    <row r="456" spans="2:30">
      <c r="B456" s="182"/>
      <c r="C456" s="182"/>
      <c r="D456" s="182"/>
      <c r="E456" s="182"/>
      <c r="F456" s="182"/>
      <c r="G456" s="182"/>
      <c r="H456" s="182"/>
      <c r="I456" s="182"/>
      <c r="J456" s="182"/>
      <c r="K456" s="182"/>
      <c r="L456" s="182"/>
      <c r="M456" s="182"/>
      <c r="N456" s="182"/>
      <c r="O456" s="182"/>
      <c r="P456" s="182"/>
      <c r="Q456" s="182"/>
      <c r="R456" s="182"/>
      <c r="S456" s="182"/>
      <c r="T456" s="182"/>
      <c r="U456" s="182"/>
      <c r="V456" s="182"/>
      <c r="W456" s="182"/>
      <c r="X456" s="182"/>
      <c r="Y456" s="182"/>
      <c r="Z456" s="182"/>
      <c r="AA456" s="182"/>
      <c r="AB456" s="182"/>
      <c r="AC456" s="182"/>
      <c r="AD456" s="182"/>
    </row>
    <row r="457" spans="2:30" ht="15.5">
      <c r="B457" s="101" t="s">
        <v>605</v>
      </c>
    </row>
    <row r="458" spans="2:30">
      <c r="B458" s="81" t="s">
        <v>608</v>
      </c>
      <c r="C458" s="81" t="s">
        <v>63</v>
      </c>
      <c r="D458" s="81" t="str">
        <f t="shared" ref="D458:AD458" si="369">D450</f>
        <v>IE</v>
      </c>
      <c r="E458" s="81" t="str">
        <f t="shared" si="369"/>
        <v>IE-CW</v>
      </c>
      <c r="F458" s="81" t="str">
        <f t="shared" si="369"/>
        <v>IE-D</v>
      </c>
      <c r="G458" s="81" t="str">
        <f t="shared" si="369"/>
        <v>IE-KE</v>
      </c>
      <c r="H458" s="81" t="str">
        <f t="shared" si="369"/>
        <v>IE-KK</v>
      </c>
      <c r="I458" s="81" t="str">
        <f t="shared" si="369"/>
        <v>IE-LS</v>
      </c>
      <c r="J458" s="81" t="str">
        <f t="shared" si="369"/>
        <v>IE-LD</v>
      </c>
      <c r="K458" s="81" t="str">
        <f t="shared" si="369"/>
        <v>IE-LH</v>
      </c>
      <c r="L458" s="81" t="str">
        <f t="shared" si="369"/>
        <v>IE-MH</v>
      </c>
      <c r="M458" s="81" t="str">
        <f t="shared" si="369"/>
        <v>IE-OY</v>
      </c>
      <c r="N458" s="81" t="str">
        <f t="shared" si="369"/>
        <v>IE-WH</v>
      </c>
      <c r="O458" s="81" t="str">
        <f t="shared" si="369"/>
        <v>IE-WX</v>
      </c>
      <c r="P458" s="81" t="str">
        <f t="shared" si="369"/>
        <v>IE-WW</v>
      </c>
      <c r="Q458" s="81" t="str">
        <f t="shared" si="369"/>
        <v>IE-CE</v>
      </c>
      <c r="R458" s="81" t="str">
        <f t="shared" si="369"/>
        <v>IE-CO</v>
      </c>
      <c r="S458" s="81" t="str">
        <f t="shared" si="369"/>
        <v>IE-KY</v>
      </c>
      <c r="T458" s="81" t="str">
        <f t="shared" si="369"/>
        <v>IE-LK</v>
      </c>
      <c r="U458" s="81" t="str">
        <f t="shared" si="369"/>
        <v>IE-TA</v>
      </c>
      <c r="V458" s="81" t="str">
        <f t="shared" si="369"/>
        <v>IE-WD</v>
      </c>
      <c r="W458" s="81" t="str">
        <f t="shared" si="369"/>
        <v>IE-G</v>
      </c>
      <c r="X458" s="81" t="str">
        <f t="shared" si="369"/>
        <v>IE-LM</v>
      </c>
      <c r="Y458" s="81" t="str">
        <f t="shared" si="369"/>
        <v>IE-MO</v>
      </c>
      <c r="Z458" s="81" t="str">
        <f t="shared" si="369"/>
        <v>IE-RN</v>
      </c>
      <c r="AA458" s="81" t="str">
        <f t="shared" si="369"/>
        <v>IE-SO</v>
      </c>
      <c r="AB458" s="81" t="str">
        <f t="shared" si="369"/>
        <v>IE-CN</v>
      </c>
      <c r="AC458" s="81" t="str">
        <f t="shared" si="369"/>
        <v>IE-DL</v>
      </c>
      <c r="AD458" s="81" t="str">
        <f t="shared" si="369"/>
        <v>IE-MN</v>
      </c>
    </row>
    <row r="459" spans="2:30">
      <c r="B459" t="s">
        <v>615</v>
      </c>
      <c r="C459" t="s">
        <v>501</v>
      </c>
      <c r="D459" s="9">
        <f>SUM(E459:AD459)</f>
        <v>0</v>
      </c>
      <c r="E459" s="183">
        <v>0</v>
      </c>
      <c r="F459" s="183">
        <v>0</v>
      </c>
      <c r="G459" s="183">
        <v>0</v>
      </c>
      <c r="H459" s="183">
        <v>0</v>
      </c>
      <c r="I459" s="183">
        <v>0</v>
      </c>
      <c r="J459" s="183">
        <v>0</v>
      </c>
      <c r="K459" s="183">
        <v>0</v>
      </c>
      <c r="L459" s="183">
        <v>0</v>
      </c>
      <c r="M459" s="183">
        <v>0</v>
      </c>
      <c r="N459" s="183">
        <v>0</v>
      </c>
      <c r="O459" s="183">
        <v>0</v>
      </c>
      <c r="P459" s="183">
        <v>0</v>
      </c>
      <c r="Q459" s="183">
        <v>0</v>
      </c>
      <c r="R459" s="183">
        <v>0</v>
      </c>
      <c r="S459" s="183">
        <v>0</v>
      </c>
      <c r="T459" s="183">
        <v>0</v>
      </c>
      <c r="U459" s="183">
        <v>0</v>
      </c>
      <c r="V459" s="183">
        <v>0</v>
      </c>
      <c r="W459" s="183">
        <v>0</v>
      </c>
      <c r="X459" s="183">
        <v>0</v>
      </c>
      <c r="Y459" s="183">
        <v>0</v>
      </c>
      <c r="Z459" s="183">
        <v>0</v>
      </c>
      <c r="AA459" s="183">
        <v>0</v>
      </c>
      <c r="AB459" s="183">
        <v>0</v>
      </c>
      <c r="AC459" s="183">
        <v>0</v>
      </c>
      <c r="AD459" s="183">
        <v>0</v>
      </c>
    </row>
    <row r="460" spans="2:30">
      <c r="B460" t="s">
        <v>617</v>
      </c>
      <c r="C460" t="s">
        <v>501</v>
      </c>
      <c r="D460" s="9">
        <f t="shared" ref="D460:D465" si="370">SUM(E460:AD460)</f>
        <v>2428</v>
      </c>
      <c r="E460" s="183">
        <v>35</v>
      </c>
      <c r="F460" s="183">
        <v>892</v>
      </c>
      <c r="G460" s="183">
        <v>150</v>
      </c>
      <c r="H460" s="183">
        <v>24</v>
      </c>
      <c r="I460" s="183">
        <v>23</v>
      </c>
      <c r="J460" s="183">
        <v>14</v>
      </c>
      <c r="K460" s="183">
        <v>53</v>
      </c>
      <c r="L460" s="183">
        <v>125</v>
      </c>
      <c r="M460" s="183">
        <v>23</v>
      </c>
      <c r="N460" s="183">
        <v>47</v>
      </c>
      <c r="O460" s="183">
        <v>70</v>
      </c>
      <c r="P460" s="183">
        <v>134</v>
      </c>
      <c r="Q460" s="183">
        <v>60</v>
      </c>
      <c r="R460" s="183">
        <v>270</v>
      </c>
      <c r="S460" s="183">
        <v>56</v>
      </c>
      <c r="T460" s="183">
        <v>60</v>
      </c>
      <c r="U460" s="183">
        <v>50</v>
      </c>
      <c r="V460" s="183">
        <v>57</v>
      </c>
      <c r="W460" s="183">
        <v>119</v>
      </c>
      <c r="X460" s="183">
        <v>13</v>
      </c>
      <c r="Y460" s="183">
        <v>24</v>
      </c>
      <c r="Z460" s="183">
        <v>24</v>
      </c>
      <c r="AA460" s="183">
        <v>23</v>
      </c>
      <c r="AB460" s="183">
        <v>23</v>
      </c>
      <c r="AC460" s="183">
        <v>34</v>
      </c>
      <c r="AD460" s="183">
        <v>25</v>
      </c>
    </row>
    <row r="461" spans="2:30">
      <c r="B461" t="s">
        <v>618</v>
      </c>
      <c r="C461" t="s">
        <v>501</v>
      </c>
      <c r="D461" s="9">
        <f t="shared" si="370"/>
        <v>986</v>
      </c>
      <c r="E461" s="183">
        <v>11</v>
      </c>
      <c r="F461" s="183">
        <v>362</v>
      </c>
      <c r="G461" s="183">
        <v>62</v>
      </c>
      <c r="H461" s="183">
        <v>12</v>
      </c>
      <c r="I461" s="183">
        <v>11</v>
      </c>
      <c r="J461" s="183">
        <v>10</v>
      </c>
      <c r="K461" s="183">
        <v>22</v>
      </c>
      <c r="L461" s="183">
        <v>52</v>
      </c>
      <c r="M461" s="183">
        <v>6</v>
      </c>
      <c r="N461" s="183">
        <v>17</v>
      </c>
      <c r="O461" s="183">
        <v>28</v>
      </c>
      <c r="P461" s="183">
        <v>56</v>
      </c>
      <c r="Q461" s="183">
        <v>24</v>
      </c>
      <c r="R461" s="183">
        <v>110</v>
      </c>
      <c r="S461" s="183">
        <v>22</v>
      </c>
      <c r="T461" s="183">
        <v>26</v>
      </c>
      <c r="U461" s="183">
        <v>21</v>
      </c>
      <c r="V461" s="183">
        <v>24</v>
      </c>
      <c r="W461" s="183">
        <v>48</v>
      </c>
      <c r="X461" s="183">
        <v>4</v>
      </c>
      <c r="Y461" s="183">
        <v>11</v>
      </c>
      <c r="Z461" s="183">
        <v>6</v>
      </c>
      <c r="AA461" s="183">
        <v>6</v>
      </c>
      <c r="AB461" s="183">
        <v>12</v>
      </c>
      <c r="AC461" s="183">
        <v>17</v>
      </c>
      <c r="AD461" s="183">
        <v>6</v>
      </c>
    </row>
    <row r="462" spans="2:30">
      <c r="B462" t="s">
        <v>619</v>
      </c>
      <c r="C462" t="s">
        <v>501</v>
      </c>
      <c r="D462" s="9">
        <f t="shared" si="370"/>
        <v>795</v>
      </c>
      <c r="E462" s="183">
        <v>0</v>
      </c>
      <c r="F462" s="183">
        <v>299</v>
      </c>
      <c r="G462" s="183">
        <v>57</v>
      </c>
      <c r="H462" s="183">
        <v>13</v>
      </c>
      <c r="I462" s="183">
        <v>15</v>
      </c>
      <c r="J462" s="183">
        <v>0</v>
      </c>
      <c r="K462" s="183">
        <v>20</v>
      </c>
      <c r="L462" s="183">
        <v>45</v>
      </c>
      <c r="M462" s="183">
        <v>0</v>
      </c>
      <c r="N462" s="183">
        <v>25</v>
      </c>
      <c r="O462" s="183">
        <v>31</v>
      </c>
      <c r="P462" s="183">
        <v>48</v>
      </c>
      <c r="Q462" s="183">
        <v>16</v>
      </c>
      <c r="R462" s="183">
        <v>95</v>
      </c>
      <c r="S462" s="183">
        <v>15</v>
      </c>
      <c r="T462" s="183">
        <v>26</v>
      </c>
      <c r="U462" s="183">
        <v>16</v>
      </c>
      <c r="V462" s="183">
        <v>14</v>
      </c>
      <c r="W462" s="183">
        <v>44</v>
      </c>
      <c r="X462" s="183">
        <v>0</v>
      </c>
      <c r="Y462" s="183">
        <v>16</v>
      </c>
      <c r="Z462" s="183">
        <v>0</v>
      </c>
      <c r="AA462" s="183">
        <v>0</v>
      </c>
      <c r="AB462" s="183">
        <v>0</v>
      </c>
      <c r="AC462" s="183">
        <v>0</v>
      </c>
      <c r="AD462" s="183">
        <v>0</v>
      </c>
    </row>
    <row r="463" spans="2:30">
      <c r="B463" t="s">
        <v>620</v>
      </c>
      <c r="C463" t="s">
        <v>501</v>
      </c>
      <c r="D463" s="9">
        <f t="shared" si="370"/>
        <v>241</v>
      </c>
      <c r="E463" s="183">
        <v>0</v>
      </c>
      <c r="F463" s="183">
        <v>93</v>
      </c>
      <c r="G463" s="183">
        <v>17</v>
      </c>
      <c r="H463" s="183">
        <v>4</v>
      </c>
      <c r="I463" s="183">
        <v>5</v>
      </c>
      <c r="J463" s="183">
        <v>0</v>
      </c>
      <c r="K463" s="183">
        <v>6</v>
      </c>
      <c r="L463" s="183">
        <v>13</v>
      </c>
      <c r="M463" s="183">
        <v>0</v>
      </c>
      <c r="N463" s="183">
        <v>7</v>
      </c>
      <c r="O463" s="183">
        <v>9</v>
      </c>
      <c r="P463" s="183">
        <v>14</v>
      </c>
      <c r="Q463" s="183">
        <v>5</v>
      </c>
      <c r="R463" s="183">
        <v>29</v>
      </c>
      <c r="S463" s="183">
        <v>4</v>
      </c>
      <c r="T463" s="183">
        <v>8</v>
      </c>
      <c r="U463" s="183">
        <v>5</v>
      </c>
      <c r="V463" s="183">
        <v>4</v>
      </c>
      <c r="W463" s="183">
        <v>13</v>
      </c>
      <c r="X463" s="183">
        <v>0</v>
      </c>
      <c r="Y463" s="183">
        <v>5</v>
      </c>
      <c r="Z463" s="183">
        <v>0</v>
      </c>
      <c r="AA463" s="183">
        <v>0</v>
      </c>
      <c r="AB463" s="183">
        <v>0</v>
      </c>
      <c r="AC463" s="183">
        <v>0</v>
      </c>
      <c r="AD463" s="183">
        <v>0</v>
      </c>
    </row>
    <row r="464" spans="2:30">
      <c r="B464" t="s">
        <v>621</v>
      </c>
      <c r="C464" t="s">
        <v>501</v>
      </c>
      <c r="D464" s="9">
        <f t="shared" si="370"/>
        <v>0</v>
      </c>
      <c r="E464" s="183">
        <v>0</v>
      </c>
      <c r="F464" s="183">
        <v>0</v>
      </c>
      <c r="G464" s="183">
        <v>0</v>
      </c>
      <c r="H464" s="183">
        <v>0</v>
      </c>
      <c r="I464" s="183">
        <v>0</v>
      </c>
      <c r="J464" s="183">
        <v>0</v>
      </c>
      <c r="K464" s="183">
        <v>0</v>
      </c>
      <c r="L464" s="183">
        <v>0</v>
      </c>
      <c r="M464" s="183">
        <v>0</v>
      </c>
      <c r="N464" s="183">
        <v>0</v>
      </c>
      <c r="O464" s="183">
        <v>0</v>
      </c>
      <c r="P464" s="183">
        <v>0</v>
      </c>
      <c r="Q464" s="183">
        <v>0</v>
      </c>
      <c r="R464" s="183">
        <v>0</v>
      </c>
      <c r="S464" s="183">
        <v>0</v>
      </c>
      <c r="T464" s="183">
        <v>0</v>
      </c>
      <c r="U464" s="183">
        <v>0</v>
      </c>
      <c r="V464" s="183">
        <v>0</v>
      </c>
      <c r="W464" s="183">
        <v>0</v>
      </c>
      <c r="X464" s="183">
        <v>0</v>
      </c>
      <c r="Y464" s="183">
        <v>0</v>
      </c>
      <c r="Z464" s="183">
        <v>0</v>
      </c>
      <c r="AA464" s="183">
        <v>0</v>
      </c>
      <c r="AB464" s="183">
        <v>0</v>
      </c>
      <c r="AC464" s="183">
        <v>0</v>
      </c>
      <c r="AD464" s="183">
        <v>0</v>
      </c>
    </row>
    <row r="465" spans="2:30">
      <c r="B465" t="s">
        <v>622</v>
      </c>
      <c r="C465" t="s">
        <v>501</v>
      </c>
      <c r="D465" s="9">
        <f t="shared" si="370"/>
        <v>80</v>
      </c>
      <c r="E465" s="183">
        <v>0</v>
      </c>
      <c r="F465" s="183">
        <v>30</v>
      </c>
      <c r="G465" s="183">
        <v>6</v>
      </c>
      <c r="H465" s="183">
        <v>1</v>
      </c>
      <c r="I465" s="183">
        <v>2</v>
      </c>
      <c r="J465" s="183">
        <v>0</v>
      </c>
      <c r="K465" s="183">
        <v>2</v>
      </c>
      <c r="L465" s="183">
        <v>4</v>
      </c>
      <c r="M465" s="183">
        <v>0</v>
      </c>
      <c r="N465" s="183">
        <v>2</v>
      </c>
      <c r="O465" s="183">
        <v>3</v>
      </c>
      <c r="P465" s="183">
        <v>5</v>
      </c>
      <c r="Q465" s="183">
        <v>2</v>
      </c>
      <c r="R465" s="183">
        <v>10</v>
      </c>
      <c r="S465" s="183">
        <v>1</v>
      </c>
      <c r="T465" s="183">
        <v>3</v>
      </c>
      <c r="U465" s="183">
        <v>2</v>
      </c>
      <c r="V465" s="183">
        <v>1</v>
      </c>
      <c r="W465" s="183">
        <v>4</v>
      </c>
      <c r="X465" s="183">
        <v>0</v>
      </c>
      <c r="Y465" s="183">
        <v>2</v>
      </c>
      <c r="Z465" s="183">
        <v>0</v>
      </c>
      <c r="AA465" s="183">
        <v>0</v>
      </c>
      <c r="AB465" s="183">
        <v>0</v>
      </c>
      <c r="AC465" s="183">
        <v>0</v>
      </c>
      <c r="AD465" s="183">
        <v>0</v>
      </c>
    </row>
    <row r="466" spans="2:30">
      <c r="B466" s="79" t="s">
        <v>16</v>
      </c>
      <c r="C466" s="79" t="s">
        <v>501</v>
      </c>
      <c r="D466" s="176">
        <f>SUM(D459:D465)</f>
        <v>4530</v>
      </c>
      <c r="E466" s="176">
        <f>SUM(E459:E465)</f>
        <v>46</v>
      </c>
      <c r="F466" s="176">
        <f t="shared" ref="F466" si="371">SUM(F459:F465)</f>
        <v>1676</v>
      </c>
      <c r="G466" s="176">
        <f t="shared" ref="G466" si="372">SUM(G459:G465)</f>
        <v>292</v>
      </c>
      <c r="H466" s="176">
        <f t="shared" ref="H466" si="373">SUM(H459:H465)</f>
        <v>54</v>
      </c>
      <c r="I466" s="176">
        <f t="shared" ref="I466" si="374">SUM(I459:I465)</f>
        <v>56</v>
      </c>
      <c r="J466" s="176">
        <f t="shared" ref="J466" si="375">SUM(J459:J465)</f>
        <v>24</v>
      </c>
      <c r="K466" s="176">
        <f t="shared" ref="K466" si="376">SUM(K459:K465)</f>
        <v>103</v>
      </c>
      <c r="L466" s="176">
        <f t="shared" ref="L466" si="377">SUM(L459:L465)</f>
        <v>239</v>
      </c>
      <c r="M466" s="176">
        <f t="shared" ref="M466" si="378">SUM(M459:M465)</f>
        <v>29</v>
      </c>
      <c r="N466" s="176">
        <f t="shared" ref="N466" si="379">SUM(N459:N465)</f>
        <v>98</v>
      </c>
      <c r="O466" s="176">
        <f t="shared" ref="O466" si="380">SUM(O459:O465)</f>
        <v>141</v>
      </c>
      <c r="P466" s="176">
        <f t="shared" ref="P466" si="381">SUM(P459:P465)</f>
        <v>257</v>
      </c>
      <c r="Q466" s="176">
        <f t="shared" ref="Q466" si="382">SUM(Q459:Q465)</f>
        <v>107</v>
      </c>
      <c r="R466" s="176">
        <f t="shared" ref="R466" si="383">SUM(R459:R465)</f>
        <v>514</v>
      </c>
      <c r="S466" s="176">
        <f t="shared" ref="S466" si="384">SUM(S459:S465)</f>
        <v>98</v>
      </c>
      <c r="T466" s="176">
        <f t="shared" ref="T466" si="385">SUM(T459:T465)</f>
        <v>123</v>
      </c>
      <c r="U466" s="176">
        <f t="shared" ref="U466" si="386">SUM(U459:U465)</f>
        <v>94</v>
      </c>
      <c r="V466" s="176">
        <f t="shared" ref="V466" si="387">SUM(V459:V465)</f>
        <v>100</v>
      </c>
      <c r="W466" s="176">
        <f t="shared" ref="W466" si="388">SUM(W459:W465)</f>
        <v>228</v>
      </c>
      <c r="X466" s="176">
        <f t="shared" ref="X466" si="389">SUM(X459:X465)</f>
        <v>17</v>
      </c>
      <c r="Y466" s="176">
        <f t="shared" ref="Y466" si="390">SUM(Y459:Y465)</f>
        <v>58</v>
      </c>
      <c r="Z466" s="176">
        <f t="shared" ref="Z466" si="391">SUM(Z459:Z465)</f>
        <v>30</v>
      </c>
      <c r="AA466" s="176">
        <f t="shared" ref="AA466" si="392">SUM(AA459:AA465)</f>
        <v>29</v>
      </c>
      <c r="AB466" s="176">
        <f t="shared" ref="AB466" si="393">SUM(AB459:AB465)</f>
        <v>35</v>
      </c>
      <c r="AC466" s="176">
        <f t="shared" ref="AC466" si="394">SUM(AC459:AC465)</f>
        <v>51</v>
      </c>
      <c r="AD466" s="176">
        <f t="shared" ref="AD466" si="395">SUM(AD459:AD465)</f>
        <v>31</v>
      </c>
    </row>
    <row r="467" spans="2:30">
      <c r="B467" t="s">
        <v>584</v>
      </c>
    </row>
    <row r="471" spans="2:30" ht="15.5">
      <c r="B471" s="101" t="s">
        <v>606</v>
      </c>
    </row>
    <row r="472" spans="2:30">
      <c r="B472" s="81" t="s">
        <v>608</v>
      </c>
      <c r="C472" s="81" t="s">
        <v>63</v>
      </c>
      <c r="D472" s="81" t="str">
        <f>D458</f>
        <v>IE</v>
      </c>
      <c r="E472" s="81" t="str">
        <f t="shared" ref="E472:AD472" si="396">E458</f>
        <v>IE-CW</v>
      </c>
      <c r="F472" s="81" t="str">
        <f t="shared" si="396"/>
        <v>IE-D</v>
      </c>
      <c r="G472" s="81" t="str">
        <f t="shared" si="396"/>
        <v>IE-KE</v>
      </c>
      <c r="H472" s="81" t="str">
        <f t="shared" si="396"/>
        <v>IE-KK</v>
      </c>
      <c r="I472" s="81" t="str">
        <f t="shared" si="396"/>
        <v>IE-LS</v>
      </c>
      <c r="J472" s="81" t="str">
        <f t="shared" si="396"/>
        <v>IE-LD</v>
      </c>
      <c r="K472" s="81" t="str">
        <f t="shared" si="396"/>
        <v>IE-LH</v>
      </c>
      <c r="L472" s="81" t="str">
        <f t="shared" si="396"/>
        <v>IE-MH</v>
      </c>
      <c r="M472" s="81" t="str">
        <f t="shared" si="396"/>
        <v>IE-OY</v>
      </c>
      <c r="N472" s="81" t="str">
        <f t="shared" si="396"/>
        <v>IE-WH</v>
      </c>
      <c r="O472" s="81" t="str">
        <f t="shared" si="396"/>
        <v>IE-WX</v>
      </c>
      <c r="P472" s="81" t="str">
        <f t="shared" si="396"/>
        <v>IE-WW</v>
      </c>
      <c r="Q472" s="81" t="str">
        <f t="shared" si="396"/>
        <v>IE-CE</v>
      </c>
      <c r="R472" s="81" t="str">
        <f t="shared" si="396"/>
        <v>IE-CO</v>
      </c>
      <c r="S472" s="81" t="str">
        <f t="shared" si="396"/>
        <v>IE-KY</v>
      </c>
      <c r="T472" s="81" t="str">
        <f t="shared" si="396"/>
        <v>IE-LK</v>
      </c>
      <c r="U472" s="81" t="str">
        <f t="shared" si="396"/>
        <v>IE-TA</v>
      </c>
      <c r="V472" s="81" t="str">
        <f t="shared" si="396"/>
        <v>IE-WD</v>
      </c>
      <c r="W472" s="81" t="str">
        <f t="shared" si="396"/>
        <v>IE-G</v>
      </c>
      <c r="X472" s="81" t="str">
        <f t="shared" si="396"/>
        <v>IE-LM</v>
      </c>
      <c r="Y472" s="81" t="str">
        <f t="shared" si="396"/>
        <v>IE-MO</v>
      </c>
      <c r="Z472" s="81" t="str">
        <f t="shared" si="396"/>
        <v>IE-RN</v>
      </c>
      <c r="AA472" s="81" t="str">
        <f t="shared" si="396"/>
        <v>IE-SO</v>
      </c>
      <c r="AB472" s="81" t="str">
        <f t="shared" si="396"/>
        <v>IE-CN</v>
      </c>
      <c r="AC472" s="81" t="str">
        <f t="shared" si="396"/>
        <v>IE-DL</v>
      </c>
      <c r="AD472" s="81" t="str">
        <f t="shared" si="396"/>
        <v>IE-MN</v>
      </c>
    </row>
    <row r="473" spans="2:30">
      <c r="B473" t="s">
        <v>615</v>
      </c>
      <c r="C473" s="179" t="s">
        <v>577</v>
      </c>
      <c r="D473" s="29">
        <f>D459/D$466</f>
        <v>0</v>
      </c>
      <c r="E473" s="29">
        <f t="shared" ref="E473:AD479" si="397">E459/E$466</f>
        <v>0</v>
      </c>
      <c r="F473" s="29">
        <f t="shared" si="397"/>
        <v>0</v>
      </c>
      <c r="G473" s="29">
        <f t="shared" si="397"/>
        <v>0</v>
      </c>
      <c r="H473" s="29">
        <f t="shared" si="397"/>
        <v>0</v>
      </c>
      <c r="I473" s="29">
        <f t="shared" si="397"/>
        <v>0</v>
      </c>
      <c r="J473" s="29">
        <f t="shared" si="397"/>
        <v>0</v>
      </c>
      <c r="K473" s="29">
        <f t="shared" si="397"/>
        <v>0</v>
      </c>
      <c r="L473" s="29">
        <f t="shared" si="397"/>
        <v>0</v>
      </c>
      <c r="M473" s="29">
        <f t="shared" si="397"/>
        <v>0</v>
      </c>
      <c r="N473" s="29">
        <f t="shared" si="397"/>
        <v>0</v>
      </c>
      <c r="O473" s="29">
        <f t="shared" si="397"/>
        <v>0</v>
      </c>
      <c r="P473" s="29">
        <f t="shared" si="397"/>
        <v>0</v>
      </c>
      <c r="Q473" s="29">
        <f t="shared" si="397"/>
        <v>0</v>
      </c>
      <c r="R473" s="29">
        <f t="shared" si="397"/>
        <v>0</v>
      </c>
      <c r="S473" s="29">
        <f t="shared" si="397"/>
        <v>0</v>
      </c>
      <c r="T473" s="29">
        <f t="shared" si="397"/>
        <v>0</v>
      </c>
      <c r="U473" s="29">
        <f t="shared" si="397"/>
        <v>0</v>
      </c>
      <c r="V473" s="29">
        <f t="shared" si="397"/>
        <v>0</v>
      </c>
      <c r="W473" s="29">
        <f t="shared" si="397"/>
        <v>0</v>
      </c>
      <c r="X473" s="29">
        <f t="shared" si="397"/>
        <v>0</v>
      </c>
      <c r="Y473" s="29">
        <f t="shared" si="397"/>
        <v>0</v>
      </c>
      <c r="Z473" s="29">
        <f t="shared" si="397"/>
        <v>0</v>
      </c>
      <c r="AA473" s="29">
        <f t="shared" si="397"/>
        <v>0</v>
      </c>
      <c r="AB473" s="29">
        <f t="shared" si="397"/>
        <v>0</v>
      </c>
      <c r="AC473" s="29">
        <f t="shared" si="397"/>
        <v>0</v>
      </c>
      <c r="AD473" s="29">
        <f t="shared" si="397"/>
        <v>0</v>
      </c>
    </row>
    <row r="474" spans="2:30">
      <c r="B474" t="s">
        <v>609</v>
      </c>
      <c r="C474" t="s">
        <v>577</v>
      </c>
      <c r="D474" s="29">
        <f t="shared" ref="D474:S479" si="398">D460/D$466</f>
        <v>0.53598233995584987</v>
      </c>
      <c r="E474" s="29">
        <f t="shared" si="398"/>
        <v>0.76086956521739135</v>
      </c>
      <c r="F474" s="29">
        <f t="shared" si="398"/>
        <v>0.53221957040572787</v>
      </c>
      <c r="G474" s="29">
        <f t="shared" si="398"/>
        <v>0.51369863013698636</v>
      </c>
      <c r="H474" s="29">
        <f t="shared" si="398"/>
        <v>0.44444444444444442</v>
      </c>
      <c r="I474" s="29">
        <f t="shared" si="398"/>
        <v>0.4107142857142857</v>
      </c>
      <c r="J474" s="29">
        <f t="shared" si="398"/>
        <v>0.58333333333333337</v>
      </c>
      <c r="K474" s="29">
        <f t="shared" si="398"/>
        <v>0.5145631067961165</v>
      </c>
      <c r="L474" s="29">
        <f t="shared" si="398"/>
        <v>0.52301255230125521</v>
      </c>
      <c r="M474" s="29">
        <f t="shared" si="398"/>
        <v>0.7931034482758621</v>
      </c>
      <c r="N474" s="29">
        <f t="shared" si="398"/>
        <v>0.47959183673469385</v>
      </c>
      <c r="O474" s="29">
        <f t="shared" si="398"/>
        <v>0.49645390070921985</v>
      </c>
      <c r="P474" s="29">
        <f t="shared" si="398"/>
        <v>0.52140077821011677</v>
      </c>
      <c r="Q474" s="29">
        <f t="shared" si="398"/>
        <v>0.56074766355140182</v>
      </c>
      <c r="R474" s="29">
        <f t="shared" si="398"/>
        <v>0.52529182879377434</v>
      </c>
      <c r="S474" s="29">
        <f t="shared" si="398"/>
        <v>0.5714285714285714</v>
      </c>
      <c r="T474" s="29">
        <f t="shared" si="397"/>
        <v>0.48780487804878048</v>
      </c>
      <c r="U474" s="29">
        <f t="shared" si="397"/>
        <v>0.53191489361702127</v>
      </c>
      <c r="V474" s="29">
        <f t="shared" si="397"/>
        <v>0.56999999999999995</v>
      </c>
      <c r="W474" s="29">
        <f t="shared" si="397"/>
        <v>0.52192982456140347</v>
      </c>
      <c r="X474" s="29">
        <f t="shared" si="397"/>
        <v>0.76470588235294112</v>
      </c>
      <c r="Y474" s="29">
        <f t="shared" si="397"/>
        <v>0.41379310344827586</v>
      </c>
      <c r="Z474" s="29">
        <f t="shared" si="397"/>
        <v>0.8</v>
      </c>
      <c r="AA474" s="29">
        <f t="shared" si="397"/>
        <v>0.7931034482758621</v>
      </c>
      <c r="AB474" s="29">
        <f t="shared" si="397"/>
        <v>0.65714285714285714</v>
      </c>
      <c r="AC474" s="29">
        <f t="shared" si="397"/>
        <v>0.66666666666666663</v>
      </c>
      <c r="AD474" s="29">
        <f t="shared" si="397"/>
        <v>0.80645161290322576</v>
      </c>
    </row>
    <row r="475" spans="2:30">
      <c r="B475" t="s">
        <v>610</v>
      </c>
      <c r="C475" t="s">
        <v>577</v>
      </c>
      <c r="D475" s="29">
        <f t="shared" si="398"/>
        <v>0.21766004415011037</v>
      </c>
      <c r="E475" s="29">
        <f t="shared" si="397"/>
        <v>0.2391304347826087</v>
      </c>
      <c r="F475" s="29">
        <f t="shared" si="397"/>
        <v>0.21599045346062051</v>
      </c>
      <c r="G475" s="29">
        <f t="shared" si="397"/>
        <v>0.21232876712328766</v>
      </c>
      <c r="H475" s="29">
        <f t="shared" si="397"/>
        <v>0.22222222222222221</v>
      </c>
      <c r="I475" s="29">
        <f t="shared" si="397"/>
        <v>0.19642857142857142</v>
      </c>
      <c r="J475" s="29">
        <f t="shared" si="397"/>
        <v>0.41666666666666669</v>
      </c>
      <c r="K475" s="29">
        <f t="shared" si="397"/>
        <v>0.21359223300970873</v>
      </c>
      <c r="L475" s="29">
        <f t="shared" si="397"/>
        <v>0.21757322175732219</v>
      </c>
      <c r="M475" s="29">
        <f t="shared" si="397"/>
        <v>0.20689655172413793</v>
      </c>
      <c r="N475" s="29">
        <f t="shared" si="397"/>
        <v>0.17346938775510204</v>
      </c>
      <c r="O475" s="29">
        <f t="shared" si="397"/>
        <v>0.19858156028368795</v>
      </c>
      <c r="P475" s="29">
        <f t="shared" si="397"/>
        <v>0.21789883268482491</v>
      </c>
      <c r="Q475" s="29">
        <f t="shared" si="397"/>
        <v>0.22429906542056074</v>
      </c>
      <c r="R475" s="29">
        <f t="shared" si="397"/>
        <v>0.2140077821011673</v>
      </c>
      <c r="S475" s="29">
        <f t="shared" si="397"/>
        <v>0.22448979591836735</v>
      </c>
      <c r="T475" s="29">
        <f t="shared" si="397"/>
        <v>0.21138211382113822</v>
      </c>
      <c r="U475" s="29">
        <f t="shared" si="397"/>
        <v>0.22340425531914893</v>
      </c>
      <c r="V475" s="29">
        <f t="shared" si="397"/>
        <v>0.24</v>
      </c>
      <c r="W475" s="29">
        <f t="shared" si="397"/>
        <v>0.21052631578947367</v>
      </c>
      <c r="X475" s="29">
        <f t="shared" si="397"/>
        <v>0.23529411764705882</v>
      </c>
      <c r="Y475" s="29">
        <f t="shared" si="397"/>
        <v>0.18965517241379309</v>
      </c>
      <c r="Z475" s="29">
        <f t="shared" si="397"/>
        <v>0.2</v>
      </c>
      <c r="AA475" s="29">
        <f t="shared" si="397"/>
        <v>0.20689655172413793</v>
      </c>
      <c r="AB475" s="29">
        <f t="shared" si="397"/>
        <v>0.34285714285714286</v>
      </c>
      <c r="AC475" s="29">
        <f t="shared" si="397"/>
        <v>0.33333333333333331</v>
      </c>
      <c r="AD475" s="29">
        <f t="shared" si="397"/>
        <v>0.19354838709677419</v>
      </c>
    </row>
    <row r="476" spans="2:30">
      <c r="B476" t="s">
        <v>611</v>
      </c>
      <c r="C476" t="s">
        <v>577</v>
      </c>
      <c r="D476" s="29">
        <f t="shared" si="398"/>
        <v>0.17549668874172186</v>
      </c>
      <c r="E476" s="29">
        <f t="shared" si="397"/>
        <v>0</v>
      </c>
      <c r="F476" s="29">
        <f t="shared" si="397"/>
        <v>0.17840095465393796</v>
      </c>
      <c r="G476" s="29">
        <f t="shared" si="397"/>
        <v>0.1952054794520548</v>
      </c>
      <c r="H476" s="29">
        <f t="shared" si="397"/>
        <v>0.24074074074074073</v>
      </c>
      <c r="I476" s="29">
        <f t="shared" si="397"/>
        <v>0.26785714285714285</v>
      </c>
      <c r="J476" s="29">
        <f t="shared" si="397"/>
        <v>0</v>
      </c>
      <c r="K476" s="29">
        <f t="shared" si="397"/>
        <v>0.1941747572815534</v>
      </c>
      <c r="L476" s="29">
        <f t="shared" si="397"/>
        <v>0.18828451882845187</v>
      </c>
      <c r="M476" s="29">
        <f t="shared" si="397"/>
        <v>0</v>
      </c>
      <c r="N476" s="29">
        <f t="shared" si="397"/>
        <v>0.25510204081632654</v>
      </c>
      <c r="O476" s="29">
        <f t="shared" si="397"/>
        <v>0.21985815602836881</v>
      </c>
      <c r="P476" s="29">
        <f t="shared" si="397"/>
        <v>0.1867704280155642</v>
      </c>
      <c r="Q476" s="29">
        <f t="shared" si="397"/>
        <v>0.14953271028037382</v>
      </c>
      <c r="R476" s="29">
        <f t="shared" si="397"/>
        <v>0.18482490272373542</v>
      </c>
      <c r="S476" s="29">
        <f t="shared" si="397"/>
        <v>0.15306122448979592</v>
      </c>
      <c r="T476" s="29">
        <f t="shared" si="397"/>
        <v>0.21138211382113822</v>
      </c>
      <c r="U476" s="29">
        <f t="shared" si="397"/>
        <v>0.1702127659574468</v>
      </c>
      <c r="V476" s="29">
        <f t="shared" si="397"/>
        <v>0.14000000000000001</v>
      </c>
      <c r="W476" s="29">
        <f t="shared" si="397"/>
        <v>0.19298245614035087</v>
      </c>
      <c r="X476" s="29">
        <f t="shared" si="397"/>
        <v>0</v>
      </c>
      <c r="Y476" s="29">
        <f t="shared" si="397"/>
        <v>0.27586206896551724</v>
      </c>
      <c r="Z476" s="29">
        <f t="shared" si="397"/>
        <v>0</v>
      </c>
      <c r="AA476" s="29">
        <f t="shared" si="397"/>
        <v>0</v>
      </c>
      <c r="AB476" s="29">
        <f t="shared" si="397"/>
        <v>0</v>
      </c>
      <c r="AC476" s="29">
        <f t="shared" si="397"/>
        <v>0</v>
      </c>
      <c r="AD476" s="29">
        <f t="shared" si="397"/>
        <v>0</v>
      </c>
    </row>
    <row r="477" spans="2:30">
      <c r="B477" t="s">
        <v>612</v>
      </c>
      <c r="C477" t="s">
        <v>577</v>
      </c>
      <c r="D477" s="29">
        <f t="shared" si="398"/>
        <v>5.3200883002207502E-2</v>
      </c>
      <c r="E477" s="29">
        <f t="shared" si="397"/>
        <v>0</v>
      </c>
      <c r="F477" s="29">
        <f t="shared" si="397"/>
        <v>5.5489260143198091E-2</v>
      </c>
      <c r="G477" s="29">
        <f t="shared" si="397"/>
        <v>5.8219178082191778E-2</v>
      </c>
      <c r="H477" s="29">
        <f t="shared" si="397"/>
        <v>7.407407407407407E-2</v>
      </c>
      <c r="I477" s="29">
        <f t="shared" si="397"/>
        <v>8.9285714285714288E-2</v>
      </c>
      <c r="J477" s="29">
        <f t="shared" si="397"/>
        <v>0</v>
      </c>
      <c r="K477" s="29">
        <f t="shared" si="397"/>
        <v>5.8252427184466021E-2</v>
      </c>
      <c r="L477" s="29">
        <f t="shared" si="397"/>
        <v>5.4393305439330547E-2</v>
      </c>
      <c r="M477" s="29">
        <f t="shared" si="397"/>
        <v>0</v>
      </c>
      <c r="N477" s="29">
        <f t="shared" si="397"/>
        <v>7.1428571428571425E-2</v>
      </c>
      <c r="O477" s="29">
        <f t="shared" si="397"/>
        <v>6.3829787234042548E-2</v>
      </c>
      <c r="P477" s="29">
        <f t="shared" si="397"/>
        <v>5.4474708171206226E-2</v>
      </c>
      <c r="Q477" s="29">
        <f t="shared" si="397"/>
        <v>4.6728971962616821E-2</v>
      </c>
      <c r="R477" s="29">
        <f t="shared" si="397"/>
        <v>5.642023346303502E-2</v>
      </c>
      <c r="S477" s="29">
        <f t="shared" si="397"/>
        <v>4.0816326530612242E-2</v>
      </c>
      <c r="T477" s="29">
        <f t="shared" si="397"/>
        <v>6.5040650406504072E-2</v>
      </c>
      <c r="U477" s="29">
        <f t="shared" si="397"/>
        <v>5.3191489361702128E-2</v>
      </c>
      <c r="V477" s="29">
        <f t="shared" si="397"/>
        <v>0.04</v>
      </c>
      <c r="W477" s="29">
        <f t="shared" si="397"/>
        <v>5.701754385964912E-2</v>
      </c>
      <c r="X477" s="29">
        <f t="shared" si="397"/>
        <v>0</v>
      </c>
      <c r="Y477" s="29">
        <f t="shared" si="397"/>
        <v>8.6206896551724144E-2</v>
      </c>
      <c r="Z477" s="29">
        <f t="shared" si="397"/>
        <v>0</v>
      </c>
      <c r="AA477" s="29">
        <f t="shared" si="397"/>
        <v>0</v>
      </c>
      <c r="AB477" s="29">
        <f t="shared" si="397"/>
        <v>0</v>
      </c>
      <c r="AC477" s="29">
        <f t="shared" si="397"/>
        <v>0</v>
      </c>
      <c r="AD477" s="29">
        <f t="shared" si="397"/>
        <v>0</v>
      </c>
    </row>
    <row r="478" spans="2:30">
      <c r="B478" t="s">
        <v>613</v>
      </c>
      <c r="C478" t="s">
        <v>577</v>
      </c>
      <c r="D478" s="29">
        <f t="shared" si="398"/>
        <v>0</v>
      </c>
      <c r="E478" s="29">
        <f t="shared" si="397"/>
        <v>0</v>
      </c>
      <c r="F478" s="29">
        <f t="shared" si="397"/>
        <v>0</v>
      </c>
      <c r="G478" s="29">
        <f t="shared" si="397"/>
        <v>0</v>
      </c>
      <c r="H478" s="29">
        <f t="shared" si="397"/>
        <v>0</v>
      </c>
      <c r="I478" s="29">
        <f t="shared" si="397"/>
        <v>0</v>
      </c>
      <c r="J478" s="29">
        <f t="shared" si="397"/>
        <v>0</v>
      </c>
      <c r="K478" s="29">
        <f t="shared" si="397"/>
        <v>0</v>
      </c>
      <c r="L478" s="29">
        <f t="shared" si="397"/>
        <v>0</v>
      </c>
      <c r="M478" s="29">
        <f t="shared" si="397"/>
        <v>0</v>
      </c>
      <c r="N478" s="29">
        <f t="shared" si="397"/>
        <v>0</v>
      </c>
      <c r="O478" s="29">
        <f t="shared" si="397"/>
        <v>0</v>
      </c>
      <c r="P478" s="29">
        <f t="shared" si="397"/>
        <v>0</v>
      </c>
      <c r="Q478" s="29">
        <f t="shared" si="397"/>
        <v>0</v>
      </c>
      <c r="R478" s="29">
        <f t="shared" si="397"/>
        <v>0</v>
      </c>
      <c r="S478" s="29">
        <f t="shared" si="397"/>
        <v>0</v>
      </c>
      <c r="T478" s="29">
        <f t="shared" si="397"/>
        <v>0</v>
      </c>
      <c r="U478" s="29">
        <f t="shared" si="397"/>
        <v>0</v>
      </c>
      <c r="V478" s="29">
        <f t="shared" si="397"/>
        <v>0</v>
      </c>
      <c r="W478" s="29">
        <f t="shared" si="397"/>
        <v>0</v>
      </c>
      <c r="X478" s="29">
        <f t="shared" si="397"/>
        <v>0</v>
      </c>
      <c r="Y478" s="29">
        <f t="shared" si="397"/>
        <v>0</v>
      </c>
      <c r="Z478" s="29">
        <f t="shared" si="397"/>
        <v>0</v>
      </c>
      <c r="AA478" s="29">
        <f t="shared" si="397"/>
        <v>0</v>
      </c>
      <c r="AB478" s="29">
        <f t="shared" si="397"/>
        <v>0</v>
      </c>
      <c r="AC478" s="29">
        <f t="shared" si="397"/>
        <v>0</v>
      </c>
      <c r="AD478" s="29">
        <f t="shared" si="397"/>
        <v>0</v>
      </c>
    </row>
    <row r="479" spans="2:30">
      <c r="B479" t="s">
        <v>616</v>
      </c>
      <c r="C479" t="s">
        <v>577</v>
      </c>
      <c r="D479" s="29">
        <f t="shared" si="398"/>
        <v>1.7660044150110375E-2</v>
      </c>
      <c r="E479" s="29">
        <f t="shared" si="397"/>
        <v>0</v>
      </c>
      <c r="F479" s="29">
        <f t="shared" si="397"/>
        <v>1.7899761336515514E-2</v>
      </c>
      <c r="G479" s="29">
        <f t="shared" si="397"/>
        <v>2.0547945205479451E-2</v>
      </c>
      <c r="H479" s="29">
        <f t="shared" si="397"/>
        <v>1.8518518518518517E-2</v>
      </c>
      <c r="I479" s="29">
        <f t="shared" si="397"/>
        <v>3.5714285714285712E-2</v>
      </c>
      <c r="J479" s="29">
        <f t="shared" si="397"/>
        <v>0</v>
      </c>
      <c r="K479" s="29">
        <f t="shared" si="397"/>
        <v>1.9417475728155338E-2</v>
      </c>
      <c r="L479" s="29">
        <f t="shared" si="397"/>
        <v>1.6736401673640166E-2</v>
      </c>
      <c r="M479" s="29">
        <f t="shared" si="397"/>
        <v>0</v>
      </c>
      <c r="N479" s="29">
        <f t="shared" si="397"/>
        <v>2.0408163265306121E-2</v>
      </c>
      <c r="O479" s="29">
        <f t="shared" si="397"/>
        <v>2.1276595744680851E-2</v>
      </c>
      <c r="P479" s="29">
        <f t="shared" si="397"/>
        <v>1.9455252918287938E-2</v>
      </c>
      <c r="Q479" s="29">
        <f t="shared" si="397"/>
        <v>1.8691588785046728E-2</v>
      </c>
      <c r="R479" s="29">
        <f t="shared" si="397"/>
        <v>1.9455252918287938E-2</v>
      </c>
      <c r="S479" s="29">
        <f t="shared" si="397"/>
        <v>1.020408163265306E-2</v>
      </c>
      <c r="T479" s="29">
        <f t="shared" si="397"/>
        <v>2.4390243902439025E-2</v>
      </c>
      <c r="U479" s="29">
        <f t="shared" si="397"/>
        <v>2.1276595744680851E-2</v>
      </c>
      <c r="V479" s="29">
        <f t="shared" si="397"/>
        <v>0.01</v>
      </c>
      <c r="W479" s="29">
        <f t="shared" si="397"/>
        <v>1.7543859649122806E-2</v>
      </c>
      <c r="X479" s="29">
        <f t="shared" si="397"/>
        <v>0</v>
      </c>
      <c r="Y479" s="29">
        <f t="shared" si="397"/>
        <v>3.4482758620689655E-2</v>
      </c>
      <c r="Z479" s="29">
        <f t="shared" si="397"/>
        <v>0</v>
      </c>
      <c r="AA479" s="29">
        <f t="shared" si="397"/>
        <v>0</v>
      </c>
      <c r="AB479" s="29">
        <f t="shared" si="397"/>
        <v>0</v>
      </c>
      <c r="AC479" s="29">
        <f t="shared" si="397"/>
        <v>0</v>
      </c>
      <c r="AD479" s="29">
        <f t="shared" si="397"/>
        <v>0</v>
      </c>
    </row>
    <row r="480" spans="2:30">
      <c r="B480" s="79" t="s">
        <v>16</v>
      </c>
      <c r="C480" s="79" t="s">
        <v>577</v>
      </c>
      <c r="D480" s="102">
        <f t="shared" ref="D480:AD480" si="399">SUM(D473:D479)</f>
        <v>1</v>
      </c>
      <c r="E480" s="102">
        <f t="shared" si="399"/>
        <v>1</v>
      </c>
      <c r="F480" s="102">
        <f t="shared" si="399"/>
        <v>0.99999999999999989</v>
      </c>
      <c r="G480" s="102">
        <f t="shared" si="399"/>
        <v>1</v>
      </c>
      <c r="H480" s="102">
        <f t="shared" si="399"/>
        <v>0.99999999999999989</v>
      </c>
      <c r="I480" s="102">
        <f t="shared" si="399"/>
        <v>1</v>
      </c>
      <c r="J480" s="102">
        <f t="shared" si="399"/>
        <v>1</v>
      </c>
      <c r="K480" s="102">
        <f t="shared" si="399"/>
        <v>1</v>
      </c>
      <c r="L480" s="102">
        <f t="shared" si="399"/>
        <v>1</v>
      </c>
      <c r="M480" s="102">
        <f t="shared" si="399"/>
        <v>1</v>
      </c>
      <c r="N480" s="102">
        <f t="shared" si="399"/>
        <v>1</v>
      </c>
      <c r="O480" s="102">
        <f t="shared" si="399"/>
        <v>1</v>
      </c>
      <c r="P480" s="102">
        <f t="shared" si="399"/>
        <v>1</v>
      </c>
      <c r="Q480" s="102">
        <f t="shared" si="399"/>
        <v>1</v>
      </c>
      <c r="R480" s="102">
        <f t="shared" si="399"/>
        <v>1</v>
      </c>
      <c r="S480" s="102">
        <f t="shared" si="399"/>
        <v>1</v>
      </c>
      <c r="T480" s="102">
        <f t="shared" si="399"/>
        <v>1</v>
      </c>
      <c r="U480" s="102">
        <f t="shared" si="399"/>
        <v>1</v>
      </c>
      <c r="V480" s="102">
        <f t="shared" si="399"/>
        <v>1</v>
      </c>
      <c r="W480" s="102">
        <f t="shared" si="399"/>
        <v>0.99999999999999978</v>
      </c>
      <c r="X480" s="102">
        <f t="shared" si="399"/>
        <v>1</v>
      </c>
      <c r="Y480" s="102">
        <f t="shared" si="399"/>
        <v>0.99999999999999989</v>
      </c>
      <c r="Z480" s="102">
        <f t="shared" si="399"/>
        <v>1</v>
      </c>
      <c r="AA480" s="102">
        <f t="shared" si="399"/>
        <v>1</v>
      </c>
      <c r="AB480" s="102">
        <f t="shared" si="399"/>
        <v>1</v>
      </c>
      <c r="AC480" s="102">
        <f t="shared" si="399"/>
        <v>1</v>
      </c>
      <c r="AD480" s="102">
        <f t="shared" si="399"/>
        <v>1</v>
      </c>
    </row>
    <row r="484" spans="2:30" ht="15.5">
      <c r="B484" s="101" t="s">
        <v>607</v>
      </c>
    </row>
    <row r="485" spans="2:30">
      <c r="B485" s="81" t="s">
        <v>608</v>
      </c>
      <c r="C485" s="81" t="s">
        <v>63</v>
      </c>
      <c r="D485" s="81" t="str">
        <f>D472</f>
        <v>IE</v>
      </c>
      <c r="E485" s="81" t="str">
        <f t="shared" ref="E485:AD485" si="400">E472</f>
        <v>IE-CW</v>
      </c>
      <c r="F485" s="81" t="str">
        <f t="shared" si="400"/>
        <v>IE-D</v>
      </c>
      <c r="G485" s="81" t="str">
        <f t="shared" si="400"/>
        <v>IE-KE</v>
      </c>
      <c r="H485" s="81" t="str">
        <f t="shared" si="400"/>
        <v>IE-KK</v>
      </c>
      <c r="I485" s="81" t="str">
        <f t="shared" si="400"/>
        <v>IE-LS</v>
      </c>
      <c r="J485" s="81" t="str">
        <f t="shared" si="400"/>
        <v>IE-LD</v>
      </c>
      <c r="K485" s="81" t="str">
        <f t="shared" si="400"/>
        <v>IE-LH</v>
      </c>
      <c r="L485" s="81" t="str">
        <f t="shared" si="400"/>
        <v>IE-MH</v>
      </c>
      <c r="M485" s="81" t="str">
        <f t="shared" si="400"/>
        <v>IE-OY</v>
      </c>
      <c r="N485" s="81" t="str">
        <f t="shared" si="400"/>
        <v>IE-WH</v>
      </c>
      <c r="O485" s="81" t="str">
        <f t="shared" si="400"/>
        <v>IE-WX</v>
      </c>
      <c r="P485" s="81" t="str">
        <f t="shared" si="400"/>
        <v>IE-WW</v>
      </c>
      <c r="Q485" s="81" t="str">
        <f t="shared" si="400"/>
        <v>IE-CE</v>
      </c>
      <c r="R485" s="81" t="str">
        <f t="shared" si="400"/>
        <v>IE-CO</v>
      </c>
      <c r="S485" s="81" t="str">
        <f t="shared" si="400"/>
        <v>IE-KY</v>
      </c>
      <c r="T485" s="81" t="str">
        <f t="shared" si="400"/>
        <v>IE-LK</v>
      </c>
      <c r="U485" s="81" t="str">
        <f t="shared" si="400"/>
        <v>IE-TA</v>
      </c>
      <c r="V485" s="81" t="str">
        <f t="shared" si="400"/>
        <v>IE-WD</v>
      </c>
      <c r="W485" s="81" t="str">
        <f t="shared" si="400"/>
        <v>IE-G</v>
      </c>
      <c r="X485" s="81" t="str">
        <f t="shared" si="400"/>
        <v>IE-LM</v>
      </c>
      <c r="Y485" s="81" t="str">
        <f t="shared" si="400"/>
        <v>IE-MO</v>
      </c>
      <c r="Z485" s="81" t="str">
        <f t="shared" si="400"/>
        <v>IE-RN</v>
      </c>
      <c r="AA485" s="81" t="str">
        <f t="shared" si="400"/>
        <v>IE-SO</v>
      </c>
      <c r="AB485" s="81" t="str">
        <f t="shared" si="400"/>
        <v>IE-CN</v>
      </c>
      <c r="AC485" s="81" t="str">
        <f t="shared" si="400"/>
        <v>IE-DL</v>
      </c>
      <c r="AD485" s="81" t="str">
        <f t="shared" si="400"/>
        <v>IE-MN</v>
      </c>
    </row>
    <row r="486" spans="2:30">
      <c r="B486" s="179" t="s">
        <v>615</v>
      </c>
      <c r="C486" t="s">
        <v>578</v>
      </c>
      <c r="D486" s="181">
        <v>0.273642</v>
      </c>
      <c r="E486" s="181">
        <v>0.273642</v>
      </c>
      <c r="F486" s="181">
        <v>0.273642</v>
      </c>
      <c r="G486" s="181">
        <v>0.273642</v>
      </c>
      <c r="H486" s="181">
        <v>0.273642</v>
      </c>
      <c r="I486" s="181">
        <v>0.273642</v>
      </c>
      <c r="J486" s="181">
        <v>0.273642</v>
      </c>
      <c r="K486" s="181">
        <v>0.273642</v>
      </c>
      <c r="L486" s="181">
        <v>0.273642</v>
      </c>
      <c r="M486" s="181">
        <v>0.273642</v>
      </c>
      <c r="N486" s="181">
        <v>0.273642</v>
      </c>
      <c r="O486" s="181">
        <v>0.273642</v>
      </c>
      <c r="P486" s="181">
        <v>0.273642</v>
      </c>
      <c r="Q486" s="181">
        <v>0.273642</v>
      </c>
      <c r="R486" s="181">
        <v>0.273642</v>
      </c>
      <c r="S486" s="181">
        <v>0.273642</v>
      </c>
      <c r="T486" s="181">
        <v>0.273642</v>
      </c>
      <c r="U486" s="181">
        <v>0.273642</v>
      </c>
      <c r="V486" s="181">
        <v>0.273642</v>
      </c>
      <c r="W486" s="181">
        <v>0.273642</v>
      </c>
      <c r="X486" s="181">
        <v>0.273642</v>
      </c>
      <c r="Y486" s="181">
        <v>0.273642</v>
      </c>
      <c r="Z486" s="181">
        <v>0.273642</v>
      </c>
      <c r="AA486" s="181">
        <v>0.273642</v>
      </c>
      <c r="AB486" s="181">
        <v>0.273642</v>
      </c>
      <c r="AC486" s="181">
        <v>0.273642</v>
      </c>
      <c r="AD486" s="181">
        <v>0.273642</v>
      </c>
    </row>
    <row r="487" spans="2:30">
      <c r="B487" t="s">
        <v>609</v>
      </c>
      <c r="C487" t="s">
        <v>578</v>
      </c>
      <c r="D487" s="181">
        <v>0.54281375999999992</v>
      </c>
      <c r="E487" s="181">
        <v>0.54281375999999992</v>
      </c>
      <c r="F487" s="181">
        <v>0.54281375999999992</v>
      </c>
      <c r="G487" s="181">
        <v>0.54281375999999992</v>
      </c>
      <c r="H487" s="181">
        <v>0.54281375999999992</v>
      </c>
      <c r="I487" s="181">
        <v>0.54281375999999992</v>
      </c>
      <c r="J487" s="181">
        <v>0.54281375999999992</v>
      </c>
      <c r="K487" s="181">
        <v>0.54281375999999992</v>
      </c>
      <c r="L487" s="181">
        <v>0.54281375999999992</v>
      </c>
      <c r="M487" s="181">
        <v>0.54281375999999992</v>
      </c>
      <c r="N487" s="181">
        <v>0.54281375999999992</v>
      </c>
      <c r="O487" s="181">
        <v>0.54281375999999992</v>
      </c>
      <c r="P487" s="181">
        <v>0.54281375999999992</v>
      </c>
      <c r="Q487" s="181">
        <v>0.54281375999999992</v>
      </c>
      <c r="R487" s="181">
        <v>0.54281375999999992</v>
      </c>
      <c r="S487" s="181">
        <v>0.54281375999999992</v>
      </c>
      <c r="T487" s="181">
        <v>0.54281375999999992</v>
      </c>
      <c r="U487" s="181">
        <v>0.54281375999999992</v>
      </c>
      <c r="V487" s="181">
        <v>0.54281375999999992</v>
      </c>
      <c r="W487" s="181">
        <v>0.54281375999999992</v>
      </c>
      <c r="X487" s="181">
        <v>0.54281375999999992</v>
      </c>
      <c r="Y487" s="181">
        <v>0.54281375999999992</v>
      </c>
      <c r="Z487" s="181">
        <v>0.54281375999999992</v>
      </c>
      <c r="AA487" s="181">
        <v>0.54281375999999992</v>
      </c>
      <c r="AB487" s="181">
        <v>0.54281375999999992</v>
      </c>
      <c r="AC487" s="181">
        <v>0.54281375999999992</v>
      </c>
      <c r="AD487" s="181">
        <v>0.54281375999999992</v>
      </c>
    </row>
    <row r="488" spans="2:30">
      <c r="B488" t="s">
        <v>610</v>
      </c>
      <c r="C488" t="s">
        <v>578</v>
      </c>
      <c r="D488" s="181">
        <v>0.61380411428571424</v>
      </c>
      <c r="E488" s="181">
        <v>0.61380411428571424</v>
      </c>
      <c r="F488" s="181">
        <v>0.61380411428571424</v>
      </c>
      <c r="G488" s="181">
        <v>0.61380411428571424</v>
      </c>
      <c r="H488" s="181">
        <v>0.61380411428571424</v>
      </c>
      <c r="I488" s="181">
        <v>0.61380411428571424</v>
      </c>
      <c r="J488" s="181">
        <v>0.61380411428571424</v>
      </c>
      <c r="K488" s="181">
        <v>0.61380411428571424</v>
      </c>
      <c r="L488" s="181">
        <v>0.61380411428571424</v>
      </c>
      <c r="M488" s="181">
        <v>0.61380411428571424</v>
      </c>
      <c r="N488" s="181">
        <v>0.61380411428571424</v>
      </c>
      <c r="O488" s="181">
        <v>0.61380411428571424</v>
      </c>
      <c r="P488" s="181">
        <v>0.61380411428571424</v>
      </c>
      <c r="Q488" s="181">
        <v>0.61380411428571424</v>
      </c>
      <c r="R488" s="181">
        <v>0.61380411428571424</v>
      </c>
      <c r="S488" s="181">
        <v>0.61380411428571424</v>
      </c>
      <c r="T488" s="181">
        <v>0.61380411428571424</v>
      </c>
      <c r="U488" s="181">
        <v>0.61380411428571424</v>
      </c>
      <c r="V488" s="181">
        <v>0.61380411428571424</v>
      </c>
      <c r="W488" s="181">
        <v>0.61380411428571424</v>
      </c>
      <c r="X488" s="181">
        <v>0.61380411428571424</v>
      </c>
      <c r="Y488" s="181">
        <v>0.61380411428571424</v>
      </c>
      <c r="Z488" s="181">
        <v>0.61380411428571424</v>
      </c>
      <c r="AA488" s="181">
        <v>0.61380411428571424</v>
      </c>
      <c r="AB488" s="181">
        <v>0.61380411428571424</v>
      </c>
      <c r="AC488" s="181">
        <v>0.61380411428571424</v>
      </c>
      <c r="AD488" s="181">
        <v>0.61380411428571424</v>
      </c>
    </row>
    <row r="489" spans="2:30">
      <c r="B489" t="s">
        <v>611</v>
      </c>
      <c r="C489" t="s">
        <v>578</v>
      </c>
      <c r="D489" s="181">
        <v>0.65324320000000002</v>
      </c>
      <c r="E489" s="181">
        <v>0.65324320000000002</v>
      </c>
      <c r="F489" s="181">
        <v>0.65324320000000002</v>
      </c>
      <c r="G489" s="181">
        <v>0.65324320000000002</v>
      </c>
      <c r="H489" s="181">
        <v>0.65324320000000002</v>
      </c>
      <c r="I489" s="181">
        <v>0.65324320000000002</v>
      </c>
      <c r="J489" s="181">
        <v>0.65324320000000002</v>
      </c>
      <c r="K489" s="181">
        <v>0.65324320000000002</v>
      </c>
      <c r="L489" s="181">
        <v>0.65324320000000002</v>
      </c>
      <c r="M489" s="181">
        <v>0.65324320000000002</v>
      </c>
      <c r="N489" s="181">
        <v>0.65324320000000002</v>
      </c>
      <c r="O489" s="181">
        <v>0.65324320000000002</v>
      </c>
      <c r="P489" s="181">
        <v>0.65324320000000002</v>
      </c>
      <c r="Q489" s="181">
        <v>0.65324320000000002</v>
      </c>
      <c r="R489" s="181">
        <v>0.65324320000000002</v>
      </c>
      <c r="S489" s="181">
        <v>0.65324320000000002</v>
      </c>
      <c r="T489" s="181">
        <v>0.65324320000000002</v>
      </c>
      <c r="U489" s="181">
        <v>0.65324320000000002</v>
      </c>
      <c r="V489" s="181">
        <v>0.65324320000000002</v>
      </c>
      <c r="W489" s="181">
        <v>0.65324320000000002</v>
      </c>
      <c r="X489" s="181">
        <v>0.65324320000000002</v>
      </c>
      <c r="Y489" s="181">
        <v>0.65324320000000002</v>
      </c>
      <c r="Z489" s="181">
        <v>0.65324320000000002</v>
      </c>
      <c r="AA489" s="181">
        <v>0.65324320000000002</v>
      </c>
      <c r="AB489" s="181">
        <v>0.65324320000000002</v>
      </c>
      <c r="AC489" s="181">
        <v>0.65324320000000002</v>
      </c>
      <c r="AD489" s="181">
        <v>0.65324320000000002</v>
      </c>
    </row>
    <row r="490" spans="2:30">
      <c r="B490" t="s">
        <v>612</v>
      </c>
      <c r="C490" t="s">
        <v>578</v>
      </c>
      <c r="D490" s="181">
        <v>0.67834080000000008</v>
      </c>
      <c r="E490" s="181">
        <v>0.67834080000000008</v>
      </c>
      <c r="F490" s="181">
        <v>0.67834080000000008</v>
      </c>
      <c r="G490" s="181">
        <v>0.67834080000000008</v>
      </c>
      <c r="H490" s="181">
        <v>0.67834080000000008</v>
      </c>
      <c r="I490" s="181">
        <v>0.67834080000000008</v>
      </c>
      <c r="J490" s="181">
        <v>0.67834080000000008</v>
      </c>
      <c r="K490" s="181">
        <v>0.67834080000000008</v>
      </c>
      <c r="L490" s="181">
        <v>0.67834080000000008</v>
      </c>
      <c r="M490" s="181">
        <v>0.67834080000000008</v>
      </c>
      <c r="N490" s="181">
        <v>0.67834080000000008</v>
      </c>
      <c r="O490" s="181">
        <v>0.67834080000000008</v>
      </c>
      <c r="P490" s="181">
        <v>0.67834080000000008</v>
      </c>
      <c r="Q490" s="181">
        <v>0.67834080000000008</v>
      </c>
      <c r="R490" s="181">
        <v>0.67834080000000008</v>
      </c>
      <c r="S490" s="181">
        <v>0.67834080000000008</v>
      </c>
      <c r="T490" s="181">
        <v>0.67834080000000008</v>
      </c>
      <c r="U490" s="181">
        <v>0.67834080000000008</v>
      </c>
      <c r="V490" s="181">
        <v>0.67834080000000008</v>
      </c>
      <c r="W490" s="181">
        <v>0.67834080000000008</v>
      </c>
      <c r="X490" s="181">
        <v>0.67834080000000008</v>
      </c>
      <c r="Y490" s="181">
        <v>0.67834080000000008</v>
      </c>
      <c r="Z490" s="181">
        <v>0.67834080000000008</v>
      </c>
      <c r="AA490" s="181">
        <v>0.67834080000000008</v>
      </c>
      <c r="AB490" s="181">
        <v>0.67834080000000008</v>
      </c>
      <c r="AC490" s="181">
        <v>0.67834080000000008</v>
      </c>
      <c r="AD490" s="181">
        <v>0.67834080000000008</v>
      </c>
    </row>
    <row r="491" spans="2:30">
      <c r="B491" t="s">
        <v>613</v>
      </c>
      <c r="C491" t="s">
        <v>578</v>
      </c>
      <c r="D491" s="181">
        <v>0.69571606153846166</v>
      </c>
      <c r="E491" s="181">
        <v>0.69571606153846166</v>
      </c>
      <c r="F491" s="181">
        <v>0.69571606153846166</v>
      </c>
      <c r="G491" s="181">
        <v>0.69571606153846166</v>
      </c>
      <c r="H491" s="181">
        <v>0.69571606153846166</v>
      </c>
      <c r="I491" s="181">
        <v>0.69571606153846166</v>
      </c>
      <c r="J491" s="181">
        <v>0.69571606153846166</v>
      </c>
      <c r="K491" s="181">
        <v>0.69571606153846166</v>
      </c>
      <c r="L491" s="181">
        <v>0.69571606153846166</v>
      </c>
      <c r="M491" s="181">
        <v>0.69571606153846166</v>
      </c>
      <c r="N491" s="181">
        <v>0.69571606153846166</v>
      </c>
      <c r="O491" s="181">
        <v>0.69571606153846166</v>
      </c>
      <c r="P491" s="181">
        <v>0.69571606153846166</v>
      </c>
      <c r="Q491" s="181">
        <v>0.69571606153846166</v>
      </c>
      <c r="R491" s="181">
        <v>0.69571606153846166</v>
      </c>
      <c r="S491" s="181">
        <v>0.69571606153846166</v>
      </c>
      <c r="T491" s="181">
        <v>0.69571606153846166</v>
      </c>
      <c r="U491" s="181">
        <v>0.69571606153846166</v>
      </c>
      <c r="V491" s="181">
        <v>0.69571606153846166</v>
      </c>
      <c r="W491" s="181">
        <v>0.69571606153846166</v>
      </c>
      <c r="X491" s="181">
        <v>0.69571606153846166</v>
      </c>
      <c r="Y491" s="181">
        <v>0.69571606153846166</v>
      </c>
      <c r="Z491" s="181">
        <v>0.69571606153846166</v>
      </c>
      <c r="AA491" s="181">
        <v>0.69571606153846166</v>
      </c>
      <c r="AB491" s="181">
        <v>0.69571606153846166</v>
      </c>
      <c r="AC491" s="181">
        <v>0.69571606153846166</v>
      </c>
      <c r="AD491" s="181">
        <v>0.69571606153846166</v>
      </c>
    </row>
    <row r="492" spans="2:30">
      <c r="B492" s="79" t="s">
        <v>616</v>
      </c>
      <c r="C492" s="79" t="s">
        <v>578</v>
      </c>
      <c r="D492" s="185">
        <v>0.71104610999999995</v>
      </c>
      <c r="E492" s="185">
        <v>0.71104610999999995</v>
      </c>
      <c r="F492" s="185">
        <v>0.71104610999999995</v>
      </c>
      <c r="G492" s="185">
        <v>0.71104610999999995</v>
      </c>
      <c r="H492" s="185">
        <v>0.71104610999999995</v>
      </c>
      <c r="I492" s="185">
        <v>0.71104610999999995</v>
      </c>
      <c r="J492" s="185">
        <v>0.71104610999999995</v>
      </c>
      <c r="K492" s="185">
        <v>0.71104610999999995</v>
      </c>
      <c r="L492" s="185">
        <v>0.71104610999999995</v>
      </c>
      <c r="M492" s="185">
        <v>0.71104610999999995</v>
      </c>
      <c r="N492" s="185">
        <v>0.71104610999999995</v>
      </c>
      <c r="O492" s="185">
        <v>0.71104610999999995</v>
      </c>
      <c r="P492" s="185">
        <v>0.71104610999999995</v>
      </c>
      <c r="Q492" s="185">
        <v>0.71104610999999995</v>
      </c>
      <c r="R492" s="185">
        <v>0.71104610999999995</v>
      </c>
      <c r="S492" s="185">
        <v>0.71104610999999995</v>
      </c>
      <c r="T492" s="185">
        <v>0.71104610999999995</v>
      </c>
      <c r="U492" s="185">
        <v>0.71104610999999995</v>
      </c>
      <c r="V492" s="185">
        <v>0.71104610999999995</v>
      </c>
      <c r="W492" s="185">
        <v>0.71104610999999995</v>
      </c>
      <c r="X492" s="185">
        <v>0.71104610999999995</v>
      </c>
      <c r="Y492" s="185">
        <v>0.71104610999999995</v>
      </c>
      <c r="Z492" s="185">
        <v>0.71104610999999995</v>
      </c>
      <c r="AA492" s="185">
        <v>0.71104610999999995</v>
      </c>
      <c r="AB492" s="185">
        <v>0.71104610999999995</v>
      </c>
      <c r="AC492" s="185">
        <v>0.71104610999999995</v>
      </c>
      <c r="AD492" s="185">
        <v>0.71104610999999995</v>
      </c>
    </row>
    <row r="493" spans="2:30">
      <c r="B493" t="s">
        <v>582</v>
      </c>
    </row>
    <row r="497" spans="2:30" ht="15.5">
      <c r="B497" s="101" t="s">
        <v>607</v>
      </c>
    </row>
    <row r="498" spans="2:30">
      <c r="B498" s="81" t="s">
        <v>608</v>
      </c>
      <c r="C498" s="81" t="s">
        <v>63</v>
      </c>
      <c r="D498" s="81" t="str">
        <f>D485</f>
        <v>IE</v>
      </c>
      <c r="E498" s="81" t="str">
        <f t="shared" ref="E498:AD498" si="401">E485</f>
        <v>IE-CW</v>
      </c>
      <c r="F498" s="81" t="str">
        <f t="shared" si="401"/>
        <v>IE-D</v>
      </c>
      <c r="G498" s="81" t="str">
        <f t="shared" si="401"/>
        <v>IE-KE</v>
      </c>
      <c r="H498" s="81" t="str">
        <f t="shared" si="401"/>
        <v>IE-KK</v>
      </c>
      <c r="I498" s="81" t="str">
        <f t="shared" si="401"/>
        <v>IE-LS</v>
      </c>
      <c r="J498" s="81" t="str">
        <f t="shared" si="401"/>
        <v>IE-LD</v>
      </c>
      <c r="K498" s="81" t="str">
        <f t="shared" si="401"/>
        <v>IE-LH</v>
      </c>
      <c r="L498" s="81" t="str">
        <f t="shared" si="401"/>
        <v>IE-MH</v>
      </c>
      <c r="M498" s="81" t="str">
        <f t="shared" si="401"/>
        <v>IE-OY</v>
      </c>
      <c r="N498" s="81" t="str">
        <f t="shared" si="401"/>
        <v>IE-WH</v>
      </c>
      <c r="O498" s="81" t="str">
        <f t="shared" si="401"/>
        <v>IE-WX</v>
      </c>
      <c r="P498" s="81" t="str">
        <f t="shared" si="401"/>
        <v>IE-WW</v>
      </c>
      <c r="Q498" s="81" t="str">
        <f t="shared" si="401"/>
        <v>IE-CE</v>
      </c>
      <c r="R498" s="81" t="str">
        <f t="shared" si="401"/>
        <v>IE-CO</v>
      </c>
      <c r="S498" s="81" t="str">
        <f t="shared" si="401"/>
        <v>IE-KY</v>
      </c>
      <c r="T498" s="81" t="str">
        <f t="shared" si="401"/>
        <v>IE-LK</v>
      </c>
      <c r="U498" s="81" t="str">
        <f t="shared" si="401"/>
        <v>IE-TA</v>
      </c>
      <c r="V498" s="81" t="str">
        <f t="shared" si="401"/>
        <v>IE-WD</v>
      </c>
      <c r="W498" s="81" t="str">
        <f t="shared" si="401"/>
        <v>IE-G</v>
      </c>
      <c r="X498" s="81" t="str">
        <f t="shared" si="401"/>
        <v>IE-LM</v>
      </c>
      <c r="Y498" s="81" t="str">
        <f t="shared" si="401"/>
        <v>IE-MO</v>
      </c>
      <c r="Z498" s="81" t="str">
        <f t="shared" si="401"/>
        <v>IE-RN</v>
      </c>
      <c r="AA498" s="81" t="str">
        <f t="shared" si="401"/>
        <v>IE-SO</v>
      </c>
      <c r="AB498" s="81" t="str">
        <f t="shared" si="401"/>
        <v>IE-CN</v>
      </c>
      <c r="AC498" s="81" t="str">
        <f t="shared" si="401"/>
        <v>IE-DL</v>
      </c>
      <c r="AD498" s="81" t="str">
        <f t="shared" si="401"/>
        <v>IE-MN</v>
      </c>
    </row>
    <row r="499" spans="2:30">
      <c r="B499" t="s">
        <v>614</v>
      </c>
      <c r="C499" t="s">
        <v>578</v>
      </c>
      <c r="D499" s="177">
        <f>SUMPRODUCT(D473:D479,D486:D492)</f>
        <v>0.58782667363481544</v>
      </c>
      <c r="E499" s="177">
        <f>IF(E466&gt;1,SUMPRODUCT(E473:E479,E486:E492),$D$210)</f>
        <v>0.55978971428571422</v>
      </c>
      <c r="F499" s="177">
        <f t="shared" ref="F499:AD499" si="402">IF(F466&gt;1,SUMPRODUCT(F473:F479,F486:F492),$D$210)</f>
        <v>0.58837933042447998</v>
      </c>
      <c r="G499" s="177">
        <f t="shared" si="402"/>
        <v>0.59079058817025443</v>
      </c>
      <c r="H499" s="177">
        <f t="shared" si="402"/>
        <v>0.59832871335978832</v>
      </c>
      <c r="I499" s="177">
        <f t="shared" si="402"/>
        <v>0.6044465349489796</v>
      </c>
      <c r="J499" s="177">
        <f t="shared" si="402"/>
        <v>0.57239307428571429</v>
      </c>
      <c r="K499" s="177">
        <f t="shared" si="402"/>
        <v>0.59058078460471564</v>
      </c>
      <c r="L499" s="177">
        <f t="shared" si="402"/>
        <v>0.58923888193664076</v>
      </c>
      <c r="M499" s="177">
        <f t="shared" si="402"/>
        <v>0.55750141950738907</v>
      </c>
      <c r="N499" s="177">
        <f t="shared" si="402"/>
        <v>0.59641300492711358</v>
      </c>
      <c r="O499" s="177">
        <f t="shared" si="402"/>
        <v>0.59342002219858159</v>
      </c>
      <c r="P499" s="177">
        <f t="shared" si="402"/>
        <v>0.58956322797665373</v>
      </c>
      <c r="Q499" s="177">
        <f t="shared" si="402"/>
        <v>0.58472721273698258</v>
      </c>
      <c r="R499" s="177">
        <f t="shared" si="402"/>
        <v>0.58933582893274039</v>
      </c>
      <c r="S499" s="177">
        <f t="shared" si="402"/>
        <v>0.58290120800291534</v>
      </c>
      <c r="T499" s="177">
        <f t="shared" si="402"/>
        <v>0.59408065448315917</v>
      </c>
      <c r="U499" s="177">
        <f t="shared" si="402"/>
        <v>0.58825810446808502</v>
      </c>
      <c r="V499" s="177">
        <f t="shared" si="402"/>
        <v>0.58241497172857126</v>
      </c>
      <c r="W499" s="177">
        <f t="shared" si="402"/>
        <v>0.58974890598997487</v>
      </c>
      <c r="X499" s="177">
        <f t="shared" si="402"/>
        <v>0.55951737277310909</v>
      </c>
      <c r="Y499" s="177">
        <f t="shared" si="402"/>
        <v>0.60422522270935952</v>
      </c>
      <c r="Z499" s="177">
        <f t="shared" si="402"/>
        <v>0.55701183085714279</v>
      </c>
      <c r="AA499" s="177">
        <f t="shared" si="402"/>
        <v>0.55750141950738907</v>
      </c>
      <c r="AB499" s="177">
        <f t="shared" si="402"/>
        <v>0.56715331004081626</v>
      </c>
      <c r="AC499" s="177">
        <f t="shared" si="402"/>
        <v>0.56647721142857133</v>
      </c>
      <c r="AD499" s="177">
        <f t="shared" si="402"/>
        <v>0.55655382857142843</v>
      </c>
    </row>
    <row r="500" spans="2:30">
      <c r="B500" s="79"/>
      <c r="C500" s="79" t="s">
        <v>566</v>
      </c>
      <c r="D500" s="180">
        <f>1000/D499</f>
        <v>1701.1817340926677</v>
      </c>
      <c r="E500" s="180">
        <f>1000/E499</f>
        <v>1786.3850915445803</v>
      </c>
      <c r="F500" s="180">
        <f>1000/F499</f>
        <v>1699.5838369756475</v>
      </c>
      <c r="G500" s="180">
        <f>1000/G499</f>
        <v>1692.647141006619</v>
      </c>
      <c r="H500" s="180">
        <f t="shared" ref="H500" si="403">1000/H499</f>
        <v>1671.322097154107</v>
      </c>
      <c r="I500" s="180">
        <f t="shared" ref="I500" si="404">1000/I499</f>
        <v>1654.4060428510993</v>
      </c>
      <c r="J500" s="180">
        <f t="shared" ref="J500" si="405">1000/J499</f>
        <v>1747.0511872420777</v>
      </c>
      <c r="K500" s="180">
        <f t="shared" ref="K500" si="406">1000/K499</f>
        <v>1693.2484531634645</v>
      </c>
      <c r="L500" s="180">
        <f t="shared" ref="L500" si="407">1000/L499</f>
        <v>1697.1045710923186</v>
      </c>
      <c r="M500" s="180">
        <f t="shared" ref="M500" si="408">1000/M499</f>
        <v>1793.717405928051</v>
      </c>
      <c r="N500" s="180">
        <f t="shared" ref="N500" si="409">1000/N499</f>
        <v>1676.6904674089189</v>
      </c>
      <c r="O500" s="180">
        <f t="shared" ref="O500" si="410">1000/O499</f>
        <v>1685.1470503052235</v>
      </c>
      <c r="P500" s="180">
        <f t="shared" ref="P500" si="411">1000/P499</f>
        <v>1696.1709152586418</v>
      </c>
      <c r="Q500" s="180">
        <f t="shared" ref="Q500" si="412">1000/Q499</f>
        <v>1710.1991804335814</v>
      </c>
      <c r="R500" s="180">
        <f t="shared" ref="R500" si="413">1000/R499</f>
        <v>1696.8253937843101</v>
      </c>
      <c r="S500" s="180">
        <f t="shared" ref="S500" si="414">1000/S499</f>
        <v>1715.5565750603121</v>
      </c>
      <c r="T500" s="180">
        <f t="shared" ref="T500" si="415">1000/T499</f>
        <v>1683.2731253805669</v>
      </c>
      <c r="U500" s="180">
        <f t="shared" ref="U500" si="416">1000/U499</f>
        <v>1699.9340806434284</v>
      </c>
      <c r="V500" s="180">
        <f t="shared" ref="V500" si="417">1000/V499</f>
        <v>1716.9888284843751</v>
      </c>
      <c r="W500" s="180">
        <f t="shared" ref="W500" si="418">1000/W499</f>
        <v>1695.6368885862739</v>
      </c>
      <c r="X500" s="180">
        <f t="shared" ref="X500" si="419">1000/X499</f>
        <v>1787.2546030943561</v>
      </c>
      <c r="Y500" s="180">
        <f t="shared" ref="Y500" si="420">1000/Y499</f>
        <v>1655.0120094556421</v>
      </c>
      <c r="Z500" s="180">
        <f t="shared" ref="Z500" si="421">1000/Z499</f>
        <v>1795.2940038296433</v>
      </c>
      <c r="AA500" s="180">
        <f t="shared" ref="AA500" si="422">1000/AA499</f>
        <v>1793.717405928051</v>
      </c>
      <c r="AB500" s="180">
        <f t="shared" ref="AB500" si="423">1000/AB499</f>
        <v>1763.191684322592</v>
      </c>
      <c r="AC500" s="180">
        <f t="shared" ref="AC500" si="424">1000/AC499</f>
        <v>1765.2960786862875</v>
      </c>
      <c r="AD500" s="180">
        <f t="shared" ref="AD500" si="425">1000/AD499</f>
        <v>1796.7713968778482</v>
      </c>
    </row>
    <row r="504" spans="2:30">
      <c r="B504" s="182"/>
      <c r="C504" s="182"/>
      <c r="D504" s="182"/>
      <c r="E504" s="182"/>
      <c r="F504" s="182"/>
      <c r="G504" s="182"/>
      <c r="H504" s="182"/>
      <c r="I504" s="182"/>
      <c r="J504" s="182"/>
      <c r="K504" s="182"/>
      <c r="L504" s="182"/>
      <c r="M504" s="182"/>
      <c r="N504" s="182"/>
      <c r="O504" s="182"/>
      <c r="P504" s="182"/>
      <c r="Q504" s="182"/>
      <c r="R504" s="182"/>
      <c r="S504" s="182"/>
      <c r="T504" s="182"/>
      <c r="U504" s="182"/>
      <c r="V504" s="182"/>
      <c r="W504" s="182"/>
      <c r="X504" s="182"/>
      <c r="Y504" s="182"/>
      <c r="Z504" s="182"/>
      <c r="AA504" s="182"/>
      <c r="AB504" s="182"/>
      <c r="AC504" s="182"/>
      <c r="AD504" s="182"/>
    </row>
    <row r="505" spans="2:30" ht="15.5">
      <c r="B505" s="101" t="s">
        <v>623</v>
      </c>
    </row>
    <row r="506" spans="2:30">
      <c r="B506" s="81" t="s">
        <v>573</v>
      </c>
      <c r="C506" s="81" t="s">
        <v>63</v>
      </c>
      <c r="D506" s="81" t="str">
        <f>D498</f>
        <v>IE</v>
      </c>
      <c r="E506" s="81" t="str">
        <f t="shared" ref="E506:AD506" si="426">E498</f>
        <v>IE-CW</v>
      </c>
      <c r="F506" s="81" t="str">
        <f t="shared" si="426"/>
        <v>IE-D</v>
      </c>
      <c r="G506" s="81" t="str">
        <f t="shared" si="426"/>
        <v>IE-KE</v>
      </c>
      <c r="H506" s="81" t="str">
        <f t="shared" si="426"/>
        <v>IE-KK</v>
      </c>
      <c r="I506" s="81" t="str">
        <f t="shared" si="426"/>
        <v>IE-LS</v>
      </c>
      <c r="J506" s="81" t="str">
        <f t="shared" si="426"/>
        <v>IE-LD</v>
      </c>
      <c r="K506" s="81" t="str">
        <f t="shared" si="426"/>
        <v>IE-LH</v>
      </c>
      <c r="L506" s="81" t="str">
        <f t="shared" si="426"/>
        <v>IE-MH</v>
      </c>
      <c r="M506" s="81" t="str">
        <f t="shared" si="426"/>
        <v>IE-OY</v>
      </c>
      <c r="N506" s="81" t="str">
        <f t="shared" si="426"/>
        <v>IE-WH</v>
      </c>
      <c r="O506" s="81" t="str">
        <f t="shared" si="426"/>
        <v>IE-WX</v>
      </c>
      <c r="P506" s="81" t="str">
        <f t="shared" si="426"/>
        <v>IE-WW</v>
      </c>
      <c r="Q506" s="81" t="str">
        <f t="shared" si="426"/>
        <v>IE-CE</v>
      </c>
      <c r="R506" s="81" t="str">
        <f t="shared" si="426"/>
        <v>IE-CO</v>
      </c>
      <c r="S506" s="81" t="str">
        <f t="shared" si="426"/>
        <v>IE-KY</v>
      </c>
      <c r="T506" s="81" t="str">
        <f t="shared" si="426"/>
        <v>IE-LK</v>
      </c>
      <c r="U506" s="81" t="str">
        <f t="shared" si="426"/>
        <v>IE-TA</v>
      </c>
      <c r="V506" s="81" t="str">
        <f t="shared" si="426"/>
        <v>IE-WD</v>
      </c>
      <c r="W506" s="81" t="str">
        <f t="shared" si="426"/>
        <v>IE-G</v>
      </c>
      <c r="X506" s="81" t="str">
        <f t="shared" si="426"/>
        <v>IE-LM</v>
      </c>
      <c r="Y506" s="81" t="str">
        <f t="shared" si="426"/>
        <v>IE-MO</v>
      </c>
      <c r="Z506" s="81" t="str">
        <f t="shared" si="426"/>
        <v>IE-RN</v>
      </c>
      <c r="AA506" s="81" t="str">
        <f t="shared" si="426"/>
        <v>IE-SO</v>
      </c>
      <c r="AB506" s="81" t="str">
        <f t="shared" si="426"/>
        <v>IE-CN</v>
      </c>
      <c r="AC506" s="81" t="str">
        <f t="shared" si="426"/>
        <v>IE-DL</v>
      </c>
      <c r="AD506" s="81" t="str">
        <f t="shared" si="426"/>
        <v>IE-MN</v>
      </c>
    </row>
    <row r="507" spans="2:30">
      <c r="B507" t="s">
        <v>317</v>
      </c>
      <c r="C507" t="s">
        <v>501</v>
      </c>
      <c r="D507" s="30">
        <f>SUM(E507:AD507)</f>
        <v>5</v>
      </c>
      <c r="E507">
        <v>0</v>
      </c>
      <c r="F507">
        <v>4</v>
      </c>
      <c r="G507">
        <v>0</v>
      </c>
      <c r="H507">
        <v>0</v>
      </c>
      <c r="I507">
        <v>0</v>
      </c>
      <c r="J507">
        <v>0</v>
      </c>
      <c r="K507">
        <v>0</v>
      </c>
      <c r="L507">
        <v>0</v>
      </c>
      <c r="M507">
        <v>0</v>
      </c>
      <c r="N507">
        <v>0</v>
      </c>
      <c r="O507">
        <v>0</v>
      </c>
      <c r="P507">
        <v>0</v>
      </c>
      <c r="Q507">
        <v>0</v>
      </c>
      <c r="R507">
        <v>1</v>
      </c>
      <c r="S507">
        <v>0</v>
      </c>
      <c r="T507">
        <v>0</v>
      </c>
      <c r="U507">
        <v>0</v>
      </c>
      <c r="V507">
        <v>0</v>
      </c>
      <c r="W507">
        <v>0</v>
      </c>
      <c r="X507">
        <v>0</v>
      </c>
      <c r="Y507">
        <v>0</v>
      </c>
      <c r="Z507">
        <v>0</v>
      </c>
      <c r="AA507">
        <v>0</v>
      </c>
      <c r="AB507">
        <v>0</v>
      </c>
      <c r="AC507">
        <v>0</v>
      </c>
      <c r="AD507">
        <v>0</v>
      </c>
    </row>
    <row r="508" spans="2:30">
      <c r="B508" t="s">
        <v>318</v>
      </c>
      <c r="C508" t="s">
        <v>501</v>
      </c>
      <c r="D508" s="30">
        <f t="shared" ref="D508:D513" si="427">SUM(E508:AD508)</f>
        <v>49</v>
      </c>
      <c r="E508">
        <v>0</v>
      </c>
      <c r="F508">
        <v>35</v>
      </c>
      <c r="G508">
        <v>5</v>
      </c>
      <c r="H508">
        <v>0</v>
      </c>
      <c r="I508">
        <v>0</v>
      </c>
      <c r="J508">
        <v>0</v>
      </c>
      <c r="K508">
        <v>2</v>
      </c>
      <c r="L508">
        <v>0</v>
      </c>
      <c r="M508">
        <v>0</v>
      </c>
      <c r="N508">
        <v>0</v>
      </c>
      <c r="O508">
        <v>0</v>
      </c>
      <c r="P508">
        <v>0</v>
      </c>
      <c r="Q508">
        <v>0</v>
      </c>
      <c r="R508">
        <v>2</v>
      </c>
      <c r="S508">
        <v>1</v>
      </c>
      <c r="T508">
        <v>1</v>
      </c>
      <c r="U508">
        <v>0</v>
      </c>
      <c r="V508">
        <v>1</v>
      </c>
      <c r="W508">
        <v>0</v>
      </c>
      <c r="X508">
        <v>0</v>
      </c>
      <c r="Y508">
        <v>0</v>
      </c>
      <c r="Z508">
        <v>0</v>
      </c>
      <c r="AA508">
        <v>0</v>
      </c>
      <c r="AB508">
        <v>1</v>
      </c>
      <c r="AC508">
        <v>1</v>
      </c>
      <c r="AD508">
        <v>0</v>
      </c>
    </row>
    <row r="509" spans="2:30">
      <c r="B509" t="s">
        <v>319</v>
      </c>
      <c r="C509" t="s">
        <v>501</v>
      </c>
      <c r="D509" s="30">
        <f t="shared" si="427"/>
        <v>150</v>
      </c>
      <c r="E509">
        <v>0</v>
      </c>
      <c r="F509">
        <v>104</v>
      </c>
      <c r="G509">
        <v>3</v>
      </c>
      <c r="H509">
        <v>1</v>
      </c>
      <c r="I509">
        <v>2</v>
      </c>
      <c r="J509">
        <v>0</v>
      </c>
      <c r="K509">
        <v>2</v>
      </c>
      <c r="L509">
        <v>3</v>
      </c>
      <c r="M509">
        <v>1</v>
      </c>
      <c r="N509">
        <v>1</v>
      </c>
      <c r="O509">
        <v>1</v>
      </c>
      <c r="P509">
        <v>0</v>
      </c>
      <c r="Q509">
        <v>2</v>
      </c>
      <c r="R509">
        <v>12</v>
      </c>
      <c r="S509">
        <v>3</v>
      </c>
      <c r="T509">
        <v>8</v>
      </c>
      <c r="U509">
        <v>1</v>
      </c>
      <c r="V509">
        <v>1</v>
      </c>
      <c r="W509">
        <v>2</v>
      </c>
      <c r="X509">
        <v>0</v>
      </c>
      <c r="Y509">
        <v>1</v>
      </c>
      <c r="Z509">
        <v>0</v>
      </c>
      <c r="AA509">
        <v>2</v>
      </c>
      <c r="AB509">
        <v>0</v>
      </c>
      <c r="AC509">
        <v>0</v>
      </c>
      <c r="AD509">
        <v>0</v>
      </c>
    </row>
    <row r="510" spans="2:30">
      <c r="B510" t="s">
        <v>320</v>
      </c>
      <c r="C510" t="s">
        <v>501</v>
      </c>
      <c r="D510" s="30">
        <f t="shared" si="427"/>
        <v>1287</v>
      </c>
      <c r="E510">
        <v>2</v>
      </c>
      <c r="F510">
        <v>810</v>
      </c>
      <c r="G510">
        <v>32</v>
      </c>
      <c r="H510">
        <v>6</v>
      </c>
      <c r="I510">
        <v>5</v>
      </c>
      <c r="J510">
        <v>0</v>
      </c>
      <c r="K510">
        <v>21</v>
      </c>
      <c r="L510">
        <v>48</v>
      </c>
      <c r="M510">
        <v>3</v>
      </c>
      <c r="N510">
        <v>9</v>
      </c>
      <c r="O510">
        <v>9</v>
      </c>
      <c r="P510">
        <v>15</v>
      </c>
      <c r="Q510">
        <v>26</v>
      </c>
      <c r="R510">
        <v>95</v>
      </c>
      <c r="S510">
        <v>10</v>
      </c>
      <c r="T510">
        <v>84</v>
      </c>
      <c r="U510">
        <v>6</v>
      </c>
      <c r="V510">
        <v>25</v>
      </c>
      <c r="W510">
        <v>51</v>
      </c>
      <c r="X510">
        <v>0</v>
      </c>
      <c r="Y510">
        <v>12</v>
      </c>
      <c r="Z510">
        <v>1</v>
      </c>
      <c r="AA510">
        <v>6</v>
      </c>
      <c r="AB510">
        <v>3</v>
      </c>
      <c r="AC510">
        <v>7</v>
      </c>
      <c r="AD510">
        <v>1</v>
      </c>
    </row>
    <row r="511" spans="2:30">
      <c r="B511" t="s">
        <v>321</v>
      </c>
      <c r="C511" t="s">
        <v>501</v>
      </c>
      <c r="D511" s="30">
        <f t="shared" si="427"/>
        <v>577</v>
      </c>
      <c r="E511">
        <v>0</v>
      </c>
      <c r="F511">
        <v>413</v>
      </c>
      <c r="G511">
        <v>21</v>
      </c>
      <c r="H511">
        <v>1</v>
      </c>
      <c r="I511">
        <v>2</v>
      </c>
      <c r="J511">
        <v>1</v>
      </c>
      <c r="K511">
        <v>11</v>
      </c>
      <c r="L511">
        <v>16</v>
      </c>
      <c r="M511">
        <v>4</v>
      </c>
      <c r="N511">
        <v>2</v>
      </c>
      <c r="O511">
        <v>2</v>
      </c>
      <c r="P511">
        <v>5</v>
      </c>
      <c r="Q511">
        <v>10</v>
      </c>
      <c r="R511">
        <v>27</v>
      </c>
      <c r="S511">
        <v>4</v>
      </c>
      <c r="T511">
        <v>13</v>
      </c>
      <c r="U511">
        <v>1</v>
      </c>
      <c r="V511">
        <v>3</v>
      </c>
      <c r="W511">
        <v>33</v>
      </c>
      <c r="X511">
        <v>0</v>
      </c>
      <c r="Y511">
        <v>2</v>
      </c>
      <c r="Z511">
        <v>0</v>
      </c>
      <c r="AA511">
        <v>1</v>
      </c>
      <c r="AB511">
        <v>2</v>
      </c>
      <c r="AC511">
        <v>3</v>
      </c>
      <c r="AD511">
        <v>0</v>
      </c>
    </row>
    <row r="512" spans="2:30">
      <c r="B512" t="s">
        <v>322</v>
      </c>
      <c r="C512" t="s">
        <v>501</v>
      </c>
      <c r="D512" s="30">
        <f t="shared" si="427"/>
        <v>161</v>
      </c>
      <c r="E512">
        <v>3</v>
      </c>
      <c r="F512">
        <v>103</v>
      </c>
      <c r="G512">
        <v>2</v>
      </c>
      <c r="H512">
        <v>0</v>
      </c>
      <c r="I512">
        <v>0</v>
      </c>
      <c r="J512">
        <v>0</v>
      </c>
      <c r="K512">
        <v>1</v>
      </c>
      <c r="L512">
        <v>10</v>
      </c>
      <c r="M512">
        <v>0</v>
      </c>
      <c r="N512">
        <v>0</v>
      </c>
      <c r="O512">
        <v>1</v>
      </c>
      <c r="P512">
        <v>4</v>
      </c>
      <c r="Q512">
        <v>1</v>
      </c>
      <c r="R512">
        <v>6</v>
      </c>
      <c r="S512">
        <v>2</v>
      </c>
      <c r="T512">
        <v>5</v>
      </c>
      <c r="U512">
        <v>1</v>
      </c>
      <c r="V512">
        <v>7</v>
      </c>
      <c r="W512">
        <v>8</v>
      </c>
      <c r="X512">
        <v>0</v>
      </c>
      <c r="Y512">
        <v>1</v>
      </c>
      <c r="Z512">
        <v>0</v>
      </c>
      <c r="AA512">
        <v>1</v>
      </c>
      <c r="AB512">
        <v>0</v>
      </c>
      <c r="AC512">
        <v>5</v>
      </c>
      <c r="AD512">
        <v>0</v>
      </c>
    </row>
    <row r="513" spans="2:30">
      <c r="B513" t="s">
        <v>323</v>
      </c>
      <c r="C513" t="s">
        <v>501</v>
      </c>
      <c r="D513" s="30">
        <f t="shared" si="427"/>
        <v>271</v>
      </c>
      <c r="E513">
        <v>5</v>
      </c>
      <c r="F513">
        <v>110</v>
      </c>
      <c r="G513">
        <v>8</v>
      </c>
      <c r="H513">
        <v>2</v>
      </c>
      <c r="I513">
        <v>3</v>
      </c>
      <c r="J513">
        <v>3</v>
      </c>
      <c r="K513">
        <v>11</v>
      </c>
      <c r="L513">
        <v>18</v>
      </c>
      <c r="M513">
        <v>6</v>
      </c>
      <c r="N513">
        <v>2</v>
      </c>
      <c r="O513">
        <v>4</v>
      </c>
      <c r="P513">
        <v>7</v>
      </c>
      <c r="Q513">
        <v>5</v>
      </c>
      <c r="R513">
        <v>21</v>
      </c>
      <c r="S513">
        <v>8</v>
      </c>
      <c r="T513">
        <v>14</v>
      </c>
      <c r="U513">
        <v>3</v>
      </c>
      <c r="V513">
        <v>7</v>
      </c>
      <c r="W513">
        <v>21</v>
      </c>
      <c r="X513">
        <v>0</v>
      </c>
      <c r="Y513">
        <v>4</v>
      </c>
      <c r="Z513">
        <v>2</v>
      </c>
      <c r="AA513">
        <v>2</v>
      </c>
      <c r="AB513">
        <v>1</v>
      </c>
      <c r="AC513">
        <v>1</v>
      </c>
      <c r="AD513">
        <v>3</v>
      </c>
    </row>
    <row r="514" spans="2:30">
      <c r="B514" s="79" t="s">
        <v>16</v>
      </c>
      <c r="C514" s="79" t="s">
        <v>501</v>
      </c>
      <c r="D514" s="176">
        <f>SUM(E514:AD514)</f>
        <v>2500</v>
      </c>
      <c r="E514" s="176">
        <f t="shared" ref="E514:AD514" si="428">SUM(E507:E513)</f>
        <v>10</v>
      </c>
      <c r="F514" s="176">
        <f t="shared" si="428"/>
        <v>1579</v>
      </c>
      <c r="G514" s="176">
        <f t="shared" si="428"/>
        <v>71</v>
      </c>
      <c r="H514" s="176">
        <f t="shared" si="428"/>
        <v>10</v>
      </c>
      <c r="I514" s="176">
        <f t="shared" si="428"/>
        <v>12</v>
      </c>
      <c r="J514" s="176">
        <f t="shared" si="428"/>
        <v>4</v>
      </c>
      <c r="K514" s="176">
        <f t="shared" si="428"/>
        <v>48</v>
      </c>
      <c r="L514" s="176">
        <f t="shared" si="428"/>
        <v>95</v>
      </c>
      <c r="M514" s="176">
        <f t="shared" si="428"/>
        <v>14</v>
      </c>
      <c r="N514" s="176">
        <f t="shared" si="428"/>
        <v>14</v>
      </c>
      <c r="O514" s="176">
        <f t="shared" si="428"/>
        <v>17</v>
      </c>
      <c r="P514" s="176">
        <f t="shared" si="428"/>
        <v>31</v>
      </c>
      <c r="Q514" s="176">
        <f t="shared" si="428"/>
        <v>44</v>
      </c>
      <c r="R514" s="176">
        <f t="shared" si="428"/>
        <v>164</v>
      </c>
      <c r="S514" s="176">
        <f t="shared" si="428"/>
        <v>28</v>
      </c>
      <c r="T514" s="176">
        <f t="shared" si="428"/>
        <v>125</v>
      </c>
      <c r="U514" s="176">
        <f t="shared" si="428"/>
        <v>12</v>
      </c>
      <c r="V514" s="176">
        <f t="shared" si="428"/>
        <v>44</v>
      </c>
      <c r="W514" s="176">
        <f t="shared" si="428"/>
        <v>115</v>
      </c>
      <c r="X514" s="176">
        <f t="shared" si="428"/>
        <v>0</v>
      </c>
      <c r="Y514" s="176">
        <f t="shared" si="428"/>
        <v>20</v>
      </c>
      <c r="Z514" s="176">
        <f t="shared" si="428"/>
        <v>3</v>
      </c>
      <c r="AA514" s="176">
        <f t="shared" si="428"/>
        <v>12</v>
      </c>
      <c r="AB514" s="176">
        <f t="shared" si="428"/>
        <v>7</v>
      </c>
      <c r="AC514" s="176">
        <f t="shared" si="428"/>
        <v>17</v>
      </c>
      <c r="AD514" s="176">
        <f t="shared" si="428"/>
        <v>4</v>
      </c>
    </row>
    <row r="515" spans="2:30">
      <c r="B515" t="s">
        <v>584</v>
      </c>
    </row>
    <row r="519" spans="2:30" ht="15.5">
      <c r="B519" s="101" t="s">
        <v>624</v>
      </c>
    </row>
    <row r="520" spans="2:30">
      <c r="B520" s="81" t="s">
        <v>573</v>
      </c>
      <c r="C520" s="81" t="s">
        <v>63</v>
      </c>
      <c r="D520" s="81" t="str">
        <f>D506</f>
        <v>IE</v>
      </c>
      <c r="E520" s="81" t="str">
        <f t="shared" ref="E520:AD520" si="429">E506</f>
        <v>IE-CW</v>
      </c>
      <c r="F520" s="81" t="str">
        <f t="shared" si="429"/>
        <v>IE-D</v>
      </c>
      <c r="G520" s="81" t="str">
        <f t="shared" si="429"/>
        <v>IE-KE</v>
      </c>
      <c r="H520" s="81" t="str">
        <f t="shared" si="429"/>
        <v>IE-KK</v>
      </c>
      <c r="I520" s="81" t="str">
        <f t="shared" si="429"/>
        <v>IE-LS</v>
      </c>
      <c r="J520" s="81" t="str">
        <f t="shared" si="429"/>
        <v>IE-LD</v>
      </c>
      <c r="K520" s="81" t="str">
        <f t="shared" si="429"/>
        <v>IE-LH</v>
      </c>
      <c r="L520" s="81" t="str">
        <f t="shared" si="429"/>
        <v>IE-MH</v>
      </c>
      <c r="M520" s="81" t="str">
        <f t="shared" si="429"/>
        <v>IE-OY</v>
      </c>
      <c r="N520" s="81" t="str">
        <f t="shared" si="429"/>
        <v>IE-WH</v>
      </c>
      <c r="O520" s="81" t="str">
        <f t="shared" si="429"/>
        <v>IE-WX</v>
      </c>
      <c r="P520" s="81" t="str">
        <f t="shared" si="429"/>
        <v>IE-WW</v>
      </c>
      <c r="Q520" s="81" t="str">
        <f t="shared" si="429"/>
        <v>IE-CE</v>
      </c>
      <c r="R520" s="81" t="str">
        <f t="shared" si="429"/>
        <v>IE-CO</v>
      </c>
      <c r="S520" s="81" t="str">
        <f t="shared" si="429"/>
        <v>IE-KY</v>
      </c>
      <c r="T520" s="81" t="str">
        <f t="shared" si="429"/>
        <v>IE-LK</v>
      </c>
      <c r="U520" s="81" t="str">
        <f t="shared" si="429"/>
        <v>IE-TA</v>
      </c>
      <c r="V520" s="81" t="str">
        <f t="shared" si="429"/>
        <v>IE-WD</v>
      </c>
      <c r="W520" s="81" t="str">
        <f t="shared" si="429"/>
        <v>IE-G</v>
      </c>
      <c r="X520" s="81" t="str">
        <f t="shared" si="429"/>
        <v>IE-LM</v>
      </c>
      <c r="Y520" s="81" t="str">
        <f t="shared" si="429"/>
        <v>IE-MO</v>
      </c>
      <c r="Z520" s="81" t="str">
        <f t="shared" si="429"/>
        <v>IE-RN</v>
      </c>
      <c r="AA520" s="81" t="str">
        <f t="shared" si="429"/>
        <v>IE-SO</v>
      </c>
      <c r="AB520" s="81" t="str">
        <f t="shared" si="429"/>
        <v>IE-CN</v>
      </c>
      <c r="AC520" s="81" t="str">
        <f t="shared" si="429"/>
        <v>IE-DL</v>
      </c>
      <c r="AD520" s="81" t="str">
        <f t="shared" si="429"/>
        <v>IE-MN</v>
      </c>
    </row>
    <row r="521" spans="2:30">
      <c r="B521" t="s">
        <v>317</v>
      </c>
      <c r="C521" s="179" t="s">
        <v>577</v>
      </c>
      <c r="D521" s="29">
        <f>D507/D$514</f>
        <v>2E-3</v>
      </c>
      <c r="E521" s="29">
        <f>E507/E$514</f>
        <v>0</v>
      </c>
      <c r="F521" s="29">
        <f t="shared" ref="F521:AD527" si="430">F507/F$514</f>
        <v>2.5332488917036099E-3</v>
      </c>
      <c r="G521" s="29">
        <f t="shared" si="430"/>
        <v>0</v>
      </c>
      <c r="H521" s="29">
        <f t="shared" si="430"/>
        <v>0</v>
      </c>
      <c r="I521" s="29">
        <f t="shared" si="430"/>
        <v>0</v>
      </c>
      <c r="J521" s="29">
        <f t="shared" si="430"/>
        <v>0</v>
      </c>
      <c r="K521" s="29">
        <f t="shared" si="430"/>
        <v>0</v>
      </c>
      <c r="L521" s="29">
        <f t="shared" si="430"/>
        <v>0</v>
      </c>
      <c r="M521" s="29">
        <f t="shared" si="430"/>
        <v>0</v>
      </c>
      <c r="N521" s="29">
        <f t="shared" si="430"/>
        <v>0</v>
      </c>
      <c r="O521" s="29">
        <f t="shared" si="430"/>
        <v>0</v>
      </c>
      <c r="P521" s="29">
        <f t="shared" si="430"/>
        <v>0</v>
      </c>
      <c r="Q521" s="29">
        <f t="shared" si="430"/>
        <v>0</v>
      </c>
      <c r="R521" s="29">
        <f t="shared" si="430"/>
        <v>6.0975609756097563E-3</v>
      </c>
      <c r="S521" s="29">
        <f t="shared" si="430"/>
        <v>0</v>
      </c>
      <c r="T521" s="29">
        <f t="shared" si="430"/>
        <v>0</v>
      </c>
      <c r="U521" s="29">
        <f t="shared" si="430"/>
        <v>0</v>
      </c>
      <c r="V521" s="29">
        <f t="shared" si="430"/>
        <v>0</v>
      </c>
      <c r="W521" s="29">
        <f t="shared" si="430"/>
        <v>0</v>
      </c>
      <c r="X521" s="186" t="e">
        <f>X507/X$514</f>
        <v>#DIV/0!</v>
      </c>
      <c r="Y521" s="29">
        <f t="shared" si="430"/>
        <v>0</v>
      </c>
      <c r="Z521" s="29">
        <f t="shared" si="430"/>
        <v>0</v>
      </c>
      <c r="AA521" s="29">
        <f t="shared" si="430"/>
        <v>0</v>
      </c>
      <c r="AB521" s="29">
        <f t="shared" si="430"/>
        <v>0</v>
      </c>
      <c r="AC521" s="29">
        <f t="shared" si="430"/>
        <v>0</v>
      </c>
      <c r="AD521" s="29">
        <f t="shared" si="430"/>
        <v>0</v>
      </c>
    </row>
    <row r="522" spans="2:30">
      <c r="B522" t="s">
        <v>318</v>
      </c>
      <c r="C522" t="s">
        <v>577</v>
      </c>
      <c r="D522" s="29">
        <f t="shared" ref="D522:D527" si="431">D508/D$514</f>
        <v>1.9599999999999999E-2</v>
      </c>
      <c r="E522" s="29">
        <f t="shared" ref="E522:T527" si="432">E508/E$514</f>
        <v>0</v>
      </c>
      <c r="F522" s="29">
        <f t="shared" si="432"/>
        <v>2.2165927802406588E-2</v>
      </c>
      <c r="G522" s="29">
        <f t="shared" si="432"/>
        <v>7.0422535211267609E-2</v>
      </c>
      <c r="H522" s="29">
        <f t="shared" si="432"/>
        <v>0</v>
      </c>
      <c r="I522" s="29">
        <f t="shared" si="432"/>
        <v>0</v>
      </c>
      <c r="J522" s="29">
        <f t="shared" si="432"/>
        <v>0</v>
      </c>
      <c r="K522" s="29">
        <f t="shared" si="432"/>
        <v>4.1666666666666664E-2</v>
      </c>
      <c r="L522" s="29">
        <f t="shared" si="432"/>
        <v>0</v>
      </c>
      <c r="M522" s="29">
        <f t="shared" si="432"/>
        <v>0</v>
      </c>
      <c r="N522" s="29">
        <f t="shared" si="432"/>
        <v>0</v>
      </c>
      <c r="O522" s="29">
        <f t="shared" si="432"/>
        <v>0</v>
      </c>
      <c r="P522" s="29">
        <f t="shared" si="432"/>
        <v>0</v>
      </c>
      <c r="Q522" s="29">
        <f t="shared" si="432"/>
        <v>0</v>
      </c>
      <c r="R522" s="29">
        <f t="shared" si="432"/>
        <v>1.2195121951219513E-2</v>
      </c>
      <c r="S522" s="29">
        <f t="shared" si="432"/>
        <v>3.5714285714285712E-2</v>
      </c>
      <c r="T522" s="29">
        <f t="shared" si="432"/>
        <v>8.0000000000000002E-3</v>
      </c>
      <c r="U522" s="29">
        <f t="shared" si="430"/>
        <v>0</v>
      </c>
      <c r="V522" s="29">
        <f t="shared" si="430"/>
        <v>2.2727272727272728E-2</v>
      </c>
      <c r="W522" s="29">
        <f t="shared" si="430"/>
        <v>0</v>
      </c>
      <c r="X522" s="29" t="e">
        <f t="shared" si="430"/>
        <v>#DIV/0!</v>
      </c>
      <c r="Y522" s="29">
        <f t="shared" si="430"/>
        <v>0</v>
      </c>
      <c r="Z522" s="29">
        <f t="shared" si="430"/>
        <v>0</v>
      </c>
      <c r="AA522" s="29">
        <f t="shared" si="430"/>
        <v>0</v>
      </c>
      <c r="AB522" s="29">
        <f t="shared" si="430"/>
        <v>0.14285714285714285</v>
      </c>
      <c r="AC522" s="29">
        <f t="shared" si="430"/>
        <v>5.8823529411764705E-2</v>
      </c>
      <c r="AD522" s="29">
        <f t="shared" si="430"/>
        <v>0</v>
      </c>
    </row>
    <row r="523" spans="2:30">
      <c r="B523" t="s">
        <v>319</v>
      </c>
      <c r="C523" t="s">
        <v>577</v>
      </c>
      <c r="D523" s="29">
        <f t="shared" si="431"/>
        <v>0.06</v>
      </c>
      <c r="E523" s="29">
        <f t="shared" si="432"/>
        <v>0</v>
      </c>
      <c r="F523" s="29">
        <f t="shared" si="430"/>
        <v>6.5864471184293852E-2</v>
      </c>
      <c r="G523" s="29">
        <f t="shared" si="430"/>
        <v>4.2253521126760563E-2</v>
      </c>
      <c r="H523" s="29">
        <f t="shared" si="430"/>
        <v>0.1</v>
      </c>
      <c r="I523" s="29">
        <f t="shared" si="430"/>
        <v>0.16666666666666666</v>
      </c>
      <c r="J523" s="29">
        <f t="shared" si="430"/>
        <v>0</v>
      </c>
      <c r="K523" s="29">
        <f t="shared" si="430"/>
        <v>4.1666666666666664E-2</v>
      </c>
      <c r="L523" s="29">
        <f t="shared" si="430"/>
        <v>3.1578947368421054E-2</v>
      </c>
      <c r="M523" s="29">
        <f t="shared" si="430"/>
        <v>7.1428571428571425E-2</v>
      </c>
      <c r="N523" s="29">
        <f t="shared" si="430"/>
        <v>7.1428571428571425E-2</v>
      </c>
      <c r="O523" s="29">
        <f t="shared" si="430"/>
        <v>5.8823529411764705E-2</v>
      </c>
      <c r="P523" s="29">
        <f t="shared" si="430"/>
        <v>0</v>
      </c>
      <c r="Q523" s="29">
        <f t="shared" si="430"/>
        <v>4.5454545454545456E-2</v>
      </c>
      <c r="R523" s="29">
        <f t="shared" si="430"/>
        <v>7.3170731707317069E-2</v>
      </c>
      <c r="S523" s="29">
        <f t="shared" si="430"/>
        <v>0.10714285714285714</v>
      </c>
      <c r="T523" s="29">
        <f t="shared" si="430"/>
        <v>6.4000000000000001E-2</v>
      </c>
      <c r="U523" s="29">
        <f t="shared" si="430"/>
        <v>8.3333333333333329E-2</v>
      </c>
      <c r="V523" s="29">
        <f t="shared" si="430"/>
        <v>2.2727272727272728E-2</v>
      </c>
      <c r="W523" s="29">
        <f t="shared" si="430"/>
        <v>1.7391304347826087E-2</v>
      </c>
      <c r="X523" s="29" t="e">
        <f t="shared" si="430"/>
        <v>#DIV/0!</v>
      </c>
      <c r="Y523" s="29">
        <f t="shared" si="430"/>
        <v>0.05</v>
      </c>
      <c r="Z523" s="29">
        <f t="shared" si="430"/>
        <v>0</v>
      </c>
      <c r="AA523" s="29">
        <f t="shared" si="430"/>
        <v>0.16666666666666666</v>
      </c>
      <c r="AB523" s="29">
        <f t="shared" si="430"/>
        <v>0</v>
      </c>
      <c r="AC523" s="29">
        <f t="shared" si="430"/>
        <v>0</v>
      </c>
      <c r="AD523" s="29">
        <f t="shared" si="430"/>
        <v>0</v>
      </c>
    </row>
    <row r="524" spans="2:30">
      <c r="B524" t="s">
        <v>320</v>
      </c>
      <c r="C524" t="s">
        <v>577</v>
      </c>
      <c r="D524" s="29">
        <f t="shared" si="431"/>
        <v>0.51480000000000004</v>
      </c>
      <c r="E524" s="29">
        <f t="shared" si="432"/>
        <v>0.2</v>
      </c>
      <c r="F524" s="29">
        <f t="shared" si="430"/>
        <v>0.51298290056998097</v>
      </c>
      <c r="G524" s="29">
        <f t="shared" si="430"/>
        <v>0.45070422535211269</v>
      </c>
      <c r="H524" s="29">
        <f t="shared" si="430"/>
        <v>0.6</v>
      </c>
      <c r="I524" s="29">
        <f t="shared" si="430"/>
        <v>0.41666666666666669</v>
      </c>
      <c r="J524" s="29">
        <f t="shared" si="430"/>
        <v>0</v>
      </c>
      <c r="K524" s="29">
        <f t="shared" si="430"/>
        <v>0.4375</v>
      </c>
      <c r="L524" s="29">
        <f t="shared" si="430"/>
        <v>0.50526315789473686</v>
      </c>
      <c r="M524" s="29">
        <f t="shared" si="430"/>
        <v>0.21428571428571427</v>
      </c>
      <c r="N524" s="29">
        <f t="shared" si="430"/>
        <v>0.6428571428571429</v>
      </c>
      <c r="O524" s="29">
        <f t="shared" si="430"/>
        <v>0.52941176470588236</v>
      </c>
      <c r="P524" s="29">
        <f t="shared" si="430"/>
        <v>0.4838709677419355</v>
      </c>
      <c r="Q524" s="29">
        <f t="shared" si="430"/>
        <v>0.59090909090909094</v>
      </c>
      <c r="R524" s="29">
        <f t="shared" si="430"/>
        <v>0.57926829268292679</v>
      </c>
      <c r="S524" s="29">
        <f t="shared" si="430"/>
        <v>0.35714285714285715</v>
      </c>
      <c r="T524" s="29">
        <f t="shared" si="430"/>
        <v>0.67200000000000004</v>
      </c>
      <c r="U524" s="29">
        <f t="shared" si="430"/>
        <v>0.5</v>
      </c>
      <c r="V524" s="29">
        <f t="shared" si="430"/>
        <v>0.56818181818181823</v>
      </c>
      <c r="W524" s="29">
        <f t="shared" si="430"/>
        <v>0.44347826086956521</v>
      </c>
      <c r="X524" s="29" t="e">
        <f t="shared" si="430"/>
        <v>#DIV/0!</v>
      </c>
      <c r="Y524" s="29">
        <f t="shared" si="430"/>
        <v>0.6</v>
      </c>
      <c r="Z524" s="29">
        <f t="shared" si="430"/>
        <v>0.33333333333333331</v>
      </c>
      <c r="AA524" s="29">
        <f t="shared" si="430"/>
        <v>0.5</v>
      </c>
      <c r="AB524" s="29">
        <f t="shared" si="430"/>
        <v>0.42857142857142855</v>
      </c>
      <c r="AC524" s="29">
        <f t="shared" si="430"/>
        <v>0.41176470588235292</v>
      </c>
      <c r="AD524" s="29">
        <f t="shared" si="430"/>
        <v>0.25</v>
      </c>
    </row>
    <row r="525" spans="2:30">
      <c r="B525" t="s">
        <v>321</v>
      </c>
      <c r="C525" t="s">
        <v>577</v>
      </c>
      <c r="D525" s="29">
        <f t="shared" si="431"/>
        <v>0.23080000000000001</v>
      </c>
      <c r="E525" s="29">
        <f t="shared" si="432"/>
        <v>0</v>
      </c>
      <c r="F525" s="29">
        <f t="shared" si="430"/>
        <v>0.26155794806839772</v>
      </c>
      <c r="G525" s="29">
        <f t="shared" si="430"/>
        <v>0.29577464788732394</v>
      </c>
      <c r="H525" s="29">
        <f t="shared" si="430"/>
        <v>0.1</v>
      </c>
      <c r="I525" s="29">
        <f t="shared" si="430"/>
        <v>0.16666666666666666</v>
      </c>
      <c r="J525" s="29">
        <f t="shared" si="430"/>
        <v>0.25</v>
      </c>
      <c r="K525" s="29">
        <f t="shared" si="430"/>
        <v>0.22916666666666666</v>
      </c>
      <c r="L525" s="29">
        <f t="shared" si="430"/>
        <v>0.16842105263157894</v>
      </c>
      <c r="M525" s="29">
        <f t="shared" si="430"/>
        <v>0.2857142857142857</v>
      </c>
      <c r="N525" s="29">
        <f t="shared" si="430"/>
        <v>0.14285714285714285</v>
      </c>
      <c r="O525" s="29">
        <f t="shared" si="430"/>
        <v>0.11764705882352941</v>
      </c>
      <c r="P525" s="29">
        <f t="shared" si="430"/>
        <v>0.16129032258064516</v>
      </c>
      <c r="Q525" s="29">
        <f t="shared" si="430"/>
        <v>0.22727272727272727</v>
      </c>
      <c r="R525" s="29">
        <f t="shared" si="430"/>
        <v>0.16463414634146342</v>
      </c>
      <c r="S525" s="29">
        <f t="shared" si="430"/>
        <v>0.14285714285714285</v>
      </c>
      <c r="T525" s="29">
        <f t="shared" si="430"/>
        <v>0.104</v>
      </c>
      <c r="U525" s="29">
        <f t="shared" si="430"/>
        <v>8.3333333333333329E-2</v>
      </c>
      <c r="V525" s="29">
        <f t="shared" si="430"/>
        <v>6.8181818181818177E-2</v>
      </c>
      <c r="W525" s="29">
        <f t="shared" si="430"/>
        <v>0.28695652173913044</v>
      </c>
      <c r="X525" s="29" t="e">
        <f t="shared" si="430"/>
        <v>#DIV/0!</v>
      </c>
      <c r="Y525" s="29">
        <f t="shared" si="430"/>
        <v>0.1</v>
      </c>
      <c r="Z525" s="29">
        <f t="shared" si="430"/>
        <v>0</v>
      </c>
      <c r="AA525" s="29">
        <f t="shared" si="430"/>
        <v>8.3333333333333329E-2</v>
      </c>
      <c r="AB525" s="29">
        <f t="shared" si="430"/>
        <v>0.2857142857142857</v>
      </c>
      <c r="AC525" s="29">
        <f t="shared" si="430"/>
        <v>0.17647058823529413</v>
      </c>
      <c r="AD525" s="29">
        <f t="shared" si="430"/>
        <v>0</v>
      </c>
    </row>
    <row r="526" spans="2:30">
      <c r="B526" t="s">
        <v>322</v>
      </c>
      <c r="C526" t="s">
        <v>577</v>
      </c>
      <c r="D526" s="29">
        <f t="shared" si="431"/>
        <v>6.4399999999999999E-2</v>
      </c>
      <c r="E526" s="29">
        <f t="shared" si="432"/>
        <v>0.3</v>
      </c>
      <c r="F526" s="29">
        <f t="shared" si="430"/>
        <v>6.5231158961367955E-2</v>
      </c>
      <c r="G526" s="29">
        <f t="shared" si="430"/>
        <v>2.8169014084507043E-2</v>
      </c>
      <c r="H526" s="29">
        <f t="shared" si="430"/>
        <v>0</v>
      </c>
      <c r="I526" s="29">
        <f t="shared" si="430"/>
        <v>0</v>
      </c>
      <c r="J526" s="29">
        <f t="shared" si="430"/>
        <v>0</v>
      </c>
      <c r="K526" s="29">
        <f t="shared" si="430"/>
        <v>2.0833333333333332E-2</v>
      </c>
      <c r="L526" s="29">
        <f t="shared" si="430"/>
        <v>0.10526315789473684</v>
      </c>
      <c r="M526" s="29">
        <f t="shared" si="430"/>
        <v>0</v>
      </c>
      <c r="N526" s="29">
        <f t="shared" si="430"/>
        <v>0</v>
      </c>
      <c r="O526" s="29">
        <f t="shared" si="430"/>
        <v>5.8823529411764705E-2</v>
      </c>
      <c r="P526" s="29">
        <f t="shared" si="430"/>
        <v>0.12903225806451613</v>
      </c>
      <c r="Q526" s="29">
        <f t="shared" si="430"/>
        <v>2.2727272727272728E-2</v>
      </c>
      <c r="R526" s="29">
        <f t="shared" si="430"/>
        <v>3.6585365853658534E-2</v>
      </c>
      <c r="S526" s="29">
        <f t="shared" si="430"/>
        <v>7.1428571428571425E-2</v>
      </c>
      <c r="T526" s="29">
        <f t="shared" si="430"/>
        <v>0.04</v>
      </c>
      <c r="U526" s="29">
        <f t="shared" si="430"/>
        <v>8.3333333333333329E-2</v>
      </c>
      <c r="V526" s="29">
        <f t="shared" si="430"/>
        <v>0.15909090909090909</v>
      </c>
      <c r="W526" s="29">
        <f t="shared" si="430"/>
        <v>6.9565217391304349E-2</v>
      </c>
      <c r="X526" s="29" t="e">
        <f t="shared" si="430"/>
        <v>#DIV/0!</v>
      </c>
      <c r="Y526" s="29">
        <f t="shared" si="430"/>
        <v>0.05</v>
      </c>
      <c r="Z526" s="29">
        <f t="shared" si="430"/>
        <v>0</v>
      </c>
      <c r="AA526" s="29">
        <f t="shared" si="430"/>
        <v>8.3333333333333329E-2</v>
      </c>
      <c r="AB526" s="29">
        <f t="shared" si="430"/>
        <v>0</v>
      </c>
      <c r="AC526" s="29">
        <f t="shared" si="430"/>
        <v>0.29411764705882354</v>
      </c>
      <c r="AD526" s="29">
        <f t="shared" si="430"/>
        <v>0</v>
      </c>
    </row>
    <row r="527" spans="2:30">
      <c r="B527" t="s">
        <v>323</v>
      </c>
      <c r="C527" t="s">
        <v>577</v>
      </c>
      <c r="D527" s="29">
        <f t="shared" si="431"/>
        <v>0.1084</v>
      </c>
      <c r="E527" s="29">
        <f t="shared" si="432"/>
        <v>0.5</v>
      </c>
      <c r="F527" s="29">
        <f t="shared" si="430"/>
        <v>6.9664344521849275E-2</v>
      </c>
      <c r="G527" s="29">
        <f t="shared" si="430"/>
        <v>0.11267605633802817</v>
      </c>
      <c r="H527" s="29">
        <f t="shared" si="430"/>
        <v>0.2</v>
      </c>
      <c r="I527" s="29">
        <f t="shared" si="430"/>
        <v>0.25</v>
      </c>
      <c r="J527" s="29">
        <f t="shared" si="430"/>
        <v>0.75</v>
      </c>
      <c r="K527" s="29">
        <f t="shared" si="430"/>
        <v>0.22916666666666666</v>
      </c>
      <c r="L527" s="29">
        <f t="shared" si="430"/>
        <v>0.18947368421052632</v>
      </c>
      <c r="M527" s="29">
        <f t="shared" si="430"/>
        <v>0.42857142857142855</v>
      </c>
      <c r="N527" s="29">
        <f t="shared" si="430"/>
        <v>0.14285714285714285</v>
      </c>
      <c r="O527" s="29">
        <f t="shared" si="430"/>
        <v>0.23529411764705882</v>
      </c>
      <c r="P527" s="29">
        <f t="shared" si="430"/>
        <v>0.22580645161290322</v>
      </c>
      <c r="Q527" s="29">
        <f t="shared" si="430"/>
        <v>0.11363636363636363</v>
      </c>
      <c r="R527" s="29">
        <f t="shared" si="430"/>
        <v>0.12804878048780488</v>
      </c>
      <c r="S527" s="29">
        <f t="shared" si="430"/>
        <v>0.2857142857142857</v>
      </c>
      <c r="T527" s="29">
        <f t="shared" si="430"/>
        <v>0.112</v>
      </c>
      <c r="U527" s="29">
        <f t="shared" si="430"/>
        <v>0.25</v>
      </c>
      <c r="V527" s="29">
        <f t="shared" si="430"/>
        <v>0.15909090909090909</v>
      </c>
      <c r="W527" s="29">
        <f t="shared" si="430"/>
        <v>0.18260869565217391</v>
      </c>
      <c r="X527" s="29" t="e">
        <f t="shared" si="430"/>
        <v>#DIV/0!</v>
      </c>
      <c r="Y527" s="29">
        <f t="shared" si="430"/>
        <v>0.2</v>
      </c>
      <c r="Z527" s="29">
        <f t="shared" si="430"/>
        <v>0.66666666666666663</v>
      </c>
      <c r="AA527" s="29">
        <f t="shared" si="430"/>
        <v>0.16666666666666666</v>
      </c>
      <c r="AB527" s="29">
        <f t="shared" si="430"/>
        <v>0.14285714285714285</v>
      </c>
      <c r="AC527" s="29">
        <f t="shared" si="430"/>
        <v>5.8823529411764705E-2</v>
      </c>
      <c r="AD527" s="29">
        <f t="shared" si="430"/>
        <v>0.75</v>
      </c>
    </row>
    <row r="528" spans="2:30">
      <c r="B528" s="79" t="s">
        <v>16</v>
      </c>
      <c r="C528" s="79" t="s">
        <v>577</v>
      </c>
      <c r="D528" s="102">
        <f t="shared" ref="D528:AD528" si="433">SUM(D521:D527)</f>
        <v>1</v>
      </c>
      <c r="E528" s="102">
        <f t="shared" si="433"/>
        <v>1</v>
      </c>
      <c r="F528" s="102">
        <f t="shared" si="433"/>
        <v>1</v>
      </c>
      <c r="G528" s="102">
        <f t="shared" si="433"/>
        <v>0.99999999999999989</v>
      </c>
      <c r="H528" s="102">
        <f t="shared" si="433"/>
        <v>1</v>
      </c>
      <c r="I528" s="102">
        <f t="shared" si="433"/>
        <v>1</v>
      </c>
      <c r="J528" s="102">
        <f t="shared" si="433"/>
        <v>1</v>
      </c>
      <c r="K528" s="102">
        <f t="shared" si="433"/>
        <v>1</v>
      </c>
      <c r="L528" s="102">
        <f t="shared" si="433"/>
        <v>1</v>
      </c>
      <c r="M528" s="102">
        <f t="shared" si="433"/>
        <v>1</v>
      </c>
      <c r="N528" s="102">
        <f t="shared" si="433"/>
        <v>1</v>
      </c>
      <c r="O528" s="102">
        <f t="shared" si="433"/>
        <v>1</v>
      </c>
      <c r="P528" s="102">
        <f t="shared" si="433"/>
        <v>1</v>
      </c>
      <c r="Q528" s="102">
        <f t="shared" si="433"/>
        <v>1</v>
      </c>
      <c r="R528" s="102">
        <f t="shared" si="433"/>
        <v>1</v>
      </c>
      <c r="S528" s="102">
        <f t="shared" si="433"/>
        <v>0.99999999999999989</v>
      </c>
      <c r="T528" s="102">
        <f t="shared" si="433"/>
        <v>1</v>
      </c>
      <c r="U528" s="102">
        <f t="shared" si="433"/>
        <v>1</v>
      </c>
      <c r="V528" s="102">
        <f t="shared" si="433"/>
        <v>1</v>
      </c>
      <c r="W528" s="102">
        <f t="shared" si="433"/>
        <v>1</v>
      </c>
      <c r="X528" s="102" t="e">
        <f t="shared" si="433"/>
        <v>#DIV/0!</v>
      </c>
      <c r="Y528" s="102">
        <f t="shared" si="433"/>
        <v>1</v>
      </c>
      <c r="Z528" s="102">
        <f t="shared" si="433"/>
        <v>1</v>
      </c>
      <c r="AA528" s="102">
        <f t="shared" si="433"/>
        <v>1</v>
      </c>
      <c r="AB528" s="102">
        <f t="shared" si="433"/>
        <v>1</v>
      </c>
      <c r="AC528" s="102">
        <f t="shared" si="433"/>
        <v>1</v>
      </c>
      <c r="AD528" s="102">
        <f t="shared" si="433"/>
        <v>1</v>
      </c>
    </row>
    <row r="532" spans="2:30" ht="15.5">
      <c r="B532" s="101" t="s">
        <v>625</v>
      </c>
    </row>
    <row r="533" spans="2:30">
      <c r="B533" s="81" t="s">
        <v>573</v>
      </c>
      <c r="C533" s="81" t="s">
        <v>63</v>
      </c>
      <c r="D533" s="81" t="str">
        <f>D520</f>
        <v>IE</v>
      </c>
      <c r="E533" s="81" t="str">
        <f t="shared" ref="E533:AD533" si="434">E520</f>
        <v>IE-CW</v>
      </c>
      <c r="F533" s="81" t="str">
        <f t="shared" si="434"/>
        <v>IE-D</v>
      </c>
      <c r="G533" s="81" t="str">
        <f t="shared" si="434"/>
        <v>IE-KE</v>
      </c>
      <c r="H533" s="81" t="str">
        <f t="shared" si="434"/>
        <v>IE-KK</v>
      </c>
      <c r="I533" s="81" t="str">
        <f t="shared" si="434"/>
        <v>IE-LS</v>
      </c>
      <c r="J533" s="81" t="str">
        <f t="shared" si="434"/>
        <v>IE-LD</v>
      </c>
      <c r="K533" s="81" t="str">
        <f t="shared" si="434"/>
        <v>IE-LH</v>
      </c>
      <c r="L533" s="81" t="str">
        <f t="shared" si="434"/>
        <v>IE-MH</v>
      </c>
      <c r="M533" s="81" t="str">
        <f t="shared" si="434"/>
        <v>IE-OY</v>
      </c>
      <c r="N533" s="81" t="str">
        <f t="shared" si="434"/>
        <v>IE-WH</v>
      </c>
      <c r="O533" s="81" t="str">
        <f t="shared" si="434"/>
        <v>IE-WX</v>
      </c>
      <c r="P533" s="81" t="str">
        <f t="shared" si="434"/>
        <v>IE-WW</v>
      </c>
      <c r="Q533" s="81" t="str">
        <f t="shared" si="434"/>
        <v>IE-CE</v>
      </c>
      <c r="R533" s="81" t="str">
        <f t="shared" si="434"/>
        <v>IE-CO</v>
      </c>
      <c r="S533" s="81" t="str">
        <f t="shared" si="434"/>
        <v>IE-KY</v>
      </c>
      <c r="T533" s="81" t="str">
        <f t="shared" si="434"/>
        <v>IE-LK</v>
      </c>
      <c r="U533" s="81" t="str">
        <f t="shared" si="434"/>
        <v>IE-TA</v>
      </c>
      <c r="V533" s="81" t="str">
        <f t="shared" si="434"/>
        <v>IE-WD</v>
      </c>
      <c r="W533" s="81" t="str">
        <f t="shared" si="434"/>
        <v>IE-G</v>
      </c>
      <c r="X533" s="81" t="str">
        <f t="shared" si="434"/>
        <v>IE-LM</v>
      </c>
      <c r="Y533" s="81" t="str">
        <f t="shared" si="434"/>
        <v>IE-MO</v>
      </c>
      <c r="Z533" s="81" t="str">
        <f t="shared" si="434"/>
        <v>IE-RN</v>
      </c>
      <c r="AA533" s="81" t="str">
        <f t="shared" si="434"/>
        <v>IE-SO</v>
      </c>
      <c r="AB533" s="81" t="str">
        <f t="shared" si="434"/>
        <v>IE-CN</v>
      </c>
      <c r="AC533" s="81" t="str">
        <f t="shared" si="434"/>
        <v>IE-DL</v>
      </c>
      <c r="AD533" s="81" t="str">
        <f t="shared" si="434"/>
        <v>IE-MN</v>
      </c>
    </row>
    <row r="534" spans="2:30">
      <c r="B534" t="s">
        <v>317</v>
      </c>
      <c r="C534" t="s">
        <v>578</v>
      </c>
      <c r="D534" s="177">
        <v>1.5410369892896236</v>
      </c>
      <c r="E534" s="177">
        <v>1.5410369892896236</v>
      </c>
      <c r="F534" s="177">
        <v>1.5410369892896236</v>
      </c>
      <c r="G534" s="177">
        <v>1.5410369892896236</v>
      </c>
      <c r="H534" s="177">
        <v>1.5410369892896236</v>
      </c>
      <c r="I534" s="177">
        <v>1.5410369892896236</v>
      </c>
      <c r="J534" s="177">
        <v>1.5410369892896236</v>
      </c>
      <c r="K534" s="177">
        <v>1.5410369892896236</v>
      </c>
      <c r="L534" s="177">
        <v>1.5410369892896236</v>
      </c>
      <c r="M534" s="177">
        <v>1.5410369892896236</v>
      </c>
      <c r="N534" s="177">
        <v>1.5410369892896236</v>
      </c>
      <c r="O534" s="177">
        <v>1.5410369892896236</v>
      </c>
      <c r="P534" s="177">
        <v>1.5410369892896236</v>
      </c>
      <c r="Q534" s="177">
        <v>1.5410369892896236</v>
      </c>
      <c r="R534" s="177">
        <v>1.5410369892896236</v>
      </c>
      <c r="S534" s="177">
        <v>1.5410369892896236</v>
      </c>
      <c r="T534" s="177">
        <v>1.5410369892896236</v>
      </c>
      <c r="U534" s="177">
        <v>1.5410369892896236</v>
      </c>
      <c r="V534" s="177">
        <v>1.5410369892896236</v>
      </c>
      <c r="W534" s="177">
        <v>1.5410369892896236</v>
      </c>
      <c r="X534" s="177">
        <v>1.5410369892896236</v>
      </c>
      <c r="Y534" s="177">
        <v>1.5410369892896236</v>
      </c>
      <c r="Z534" s="177">
        <v>1.5410369892896236</v>
      </c>
      <c r="AA534" s="177">
        <v>1.5410369892896236</v>
      </c>
      <c r="AB534" s="177">
        <v>1.5410369892896236</v>
      </c>
      <c r="AC534" s="177">
        <v>1.5410369892896236</v>
      </c>
      <c r="AD534" s="177">
        <v>1.5410369892896236</v>
      </c>
    </row>
    <row r="535" spans="2:30">
      <c r="B535" t="s">
        <v>318</v>
      </c>
      <c r="C535" t="s">
        <v>578</v>
      </c>
      <c r="D535" s="177">
        <v>1.5689674081337737</v>
      </c>
      <c r="E535" s="177">
        <v>1.5689674081337737</v>
      </c>
      <c r="F535" s="177">
        <v>1.5689674081337737</v>
      </c>
      <c r="G535" s="177">
        <v>1.5689674081337737</v>
      </c>
      <c r="H535" s="177">
        <v>1.5689674081337737</v>
      </c>
      <c r="I535" s="177">
        <v>1.5689674081337737</v>
      </c>
      <c r="J535" s="177">
        <v>1.5689674081337737</v>
      </c>
      <c r="K535" s="177">
        <v>1.5689674081337737</v>
      </c>
      <c r="L535" s="177">
        <v>1.5689674081337737</v>
      </c>
      <c r="M535" s="177">
        <v>1.5689674081337737</v>
      </c>
      <c r="N535" s="177">
        <v>1.5689674081337737</v>
      </c>
      <c r="O535" s="177">
        <v>1.5689674081337737</v>
      </c>
      <c r="P535" s="177">
        <v>1.5689674081337737</v>
      </c>
      <c r="Q535" s="177">
        <v>1.5689674081337737</v>
      </c>
      <c r="R535" s="177">
        <v>1.5689674081337737</v>
      </c>
      <c r="S535" s="177">
        <v>1.5689674081337737</v>
      </c>
      <c r="T535" s="177">
        <v>1.5689674081337737</v>
      </c>
      <c r="U535" s="177">
        <v>1.5689674081337737</v>
      </c>
      <c r="V535" s="177">
        <v>1.5689674081337737</v>
      </c>
      <c r="W535" s="177">
        <v>1.5689674081337737</v>
      </c>
      <c r="X535" s="177">
        <v>1.5689674081337737</v>
      </c>
      <c r="Y535" s="177">
        <v>1.5689674081337737</v>
      </c>
      <c r="Z535" s="177">
        <v>1.5689674081337737</v>
      </c>
      <c r="AA535" s="177">
        <v>1.5689674081337737</v>
      </c>
      <c r="AB535" s="177">
        <v>1.5689674081337737</v>
      </c>
      <c r="AC535" s="177">
        <v>1.5689674081337737</v>
      </c>
      <c r="AD535" s="177">
        <v>1.5689674081337737</v>
      </c>
    </row>
    <row r="536" spans="2:30">
      <c r="B536" t="s">
        <v>319</v>
      </c>
      <c r="C536" t="s">
        <v>578</v>
      </c>
      <c r="D536" s="177">
        <v>1.7415357309829498</v>
      </c>
      <c r="E536" s="177">
        <v>1.7415357309829498</v>
      </c>
      <c r="F536" s="177">
        <v>1.7415357309829498</v>
      </c>
      <c r="G536" s="177">
        <v>1.7415357309829498</v>
      </c>
      <c r="H536" s="177">
        <v>1.7415357309829498</v>
      </c>
      <c r="I536" s="177">
        <v>1.7415357309829498</v>
      </c>
      <c r="J536" s="177">
        <v>1.7415357309829498</v>
      </c>
      <c r="K536" s="177">
        <v>1.7415357309829498</v>
      </c>
      <c r="L536" s="177">
        <v>1.7415357309829498</v>
      </c>
      <c r="M536" s="177">
        <v>1.7415357309829498</v>
      </c>
      <c r="N536" s="177">
        <v>1.7415357309829498</v>
      </c>
      <c r="O536" s="177">
        <v>1.7415357309829498</v>
      </c>
      <c r="P536" s="177">
        <v>1.7415357309829498</v>
      </c>
      <c r="Q536" s="177">
        <v>1.7415357309829498</v>
      </c>
      <c r="R536" s="177">
        <v>1.7415357309829498</v>
      </c>
      <c r="S536" s="177">
        <v>1.7415357309829498</v>
      </c>
      <c r="T536" s="177">
        <v>1.7415357309829498</v>
      </c>
      <c r="U536" s="177">
        <v>1.7415357309829498</v>
      </c>
      <c r="V536" s="177">
        <v>1.7415357309829498</v>
      </c>
      <c r="W536" s="177">
        <v>1.7415357309829498</v>
      </c>
      <c r="X536" s="177">
        <v>1.7415357309829498</v>
      </c>
      <c r="Y536" s="177">
        <v>1.7415357309829498</v>
      </c>
      <c r="Z536" s="177">
        <v>1.7415357309829498</v>
      </c>
      <c r="AA536" s="177">
        <v>1.7415357309829498</v>
      </c>
      <c r="AB536" s="177">
        <v>1.7415357309829498</v>
      </c>
      <c r="AC536" s="177">
        <v>1.7415357309829498</v>
      </c>
      <c r="AD536" s="177">
        <v>1.7415357309829498</v>
      </c>
    </row>
    <row r="537" spans="2:30">
      <c r="B537" t="s">
        <v>320</v>
      </c>
      <c r="C537" t="s">
        <v>578</v>
      </c>
      <c r="D537" s="177">
        <v>1.7596865383612372</v>
      </c>
      <c r="E537" s="177">
        <v>1.7596865383612372</v>
      </c>
      <c r="F537" s="177">
        <v>1.7596865383612372</v>
      </c>
      <c r="G537" s="177">
        <v>1.7596865383612372</v>
      </c>
      <c r="H537" s="177">
        <v>1.7596865383612372</v>
      </c>
      <c r="I537" s="177">
        <v>1.7596865383612372</v>
      </c>
      <c r="J537" s="177">
        <v>1.7596865383612372</v>
      </c>
      <c r="K537" s="177">
        <v>1.7596865383612372</v>
      </c>
      <c r="L537" s="177">
        <v>1.7596865383612372</v>
      </c>
      <c r="M537" s="177">
        <v>1.7596865383612372</v>
      </c>
      <c r="N537" s="177">
        <v>1.7596865383612372</v>
      </c>
      <c r="O537" s="177">
        <v>1.7596865383612372</v>
      </c>
      <c r="P537" s="177">
        <v>1.7596865383612372</v>
      </c>
      <c r="Q537" s="177">
        <v>1.7596865383612372</v>
      </c>
      <c r="R537" s="177">
        <v>1.7596865383612372</v>
      </c>
      <c r="S537" s="177">
        <v>1.7596865383612372</v>
      </c>
      <c r="T537" s="177">
        <v>1.7596865383612372</v>
      </c>
      <c r="U537" s="177">
        <v>1.7596865383612372</v>
      </c>
      <c r="V537" s="177">
        <v>1.7596865383612372</v>
      </c>
      <c r="W537" s="177">
        <v>1.7596865383612372</v>
      </c>
      <c r="X537" s="177">
        <v>1.7596865383612372</v>
      </c>
      <c r="Y537" s="177">
        <v>1.7596865383612372</v>
      </c>
      <c r="Z537" s="177">
        <v>1.7596865383612372</v>
      </c>
      <c r="AA537" s="177">
        <v>1.7596865383612372</v>
      </c>
      <c r="AB537" s="177">
        <v>1.7596865383612372</v>
      </c>
      <c r="AC537" s="177">
        <v>1.7596865383612372</v>
      </c>
      <c r="AD537" s="177">
        <v>1.7596865383612372</v>
      </c>
    </row>
    <row r="538" spans="2:30">
      <c r="B538" t="s">
        <v>321</v>
      </c>
      <c r="C538" t="s">
        <v>578</v>
      </c>
      <c r="D538" s="177">
        <v>1.8433586255014824</v>
      </c>
      <c r="E538" s="177">
        <v>1.8433586255014824</v>
      </c>
      <c r="F538" s="177">
        <v>1.8433586255014824</v>
      </c>
      <c r="G538" s="177">
        <v>1.8433586255014824</v>
      </c>
      <c r="H538" s="177">
        <v>1.8433586255014824</v>
      </c>
      <c r="I538" s="177">
        <v>1.8433586255014824</v>
      </c>
      <c r="J538" s="177">
        <v>1.8433586255014824</v>
      </c>
      <c r="K538" s="177">
        <v>1.8433586255014824</v>
      </c>
      <c r="L538" s="177">
        <v>1.8433586255014824</v>
      </c>
      <c r="M538" s="177">
        <v>1.8433586255014824</v>
      </c>
      <c r="N538" s="177">
        <v>1.8433586255014824</v>
      </c>
      <c r="O538" s="177">
        <v>1.8433586255014824</v>
      </c>
      <c r="P538" s="177">
        <v>1.8433586255014824</v>
      </c>
      <c r="Q538" s="177">
        <v>1.8433586255014824</v>
      </c>
      <c r="R538" s="177">
        <v>1.8433586255014824</v>
      </c>
      <c r="S538" s="177">
        <v>1.8433586255014824</v>
      </c>
      <c r="T538" s="177">
        <v>1.8433586255014824</v>
      </c>
      <c r="U538" s="177">
        <v>1.8433586255014824</v>
      </c>
      <c r="V538" s="177">
        <v>1.8433586255014824</v>
      </c>
      <c r="W538" s="177">
        <v>1.8433586255014824</v>
      </c>
      <c r="X538" s="177">
        <v>1.8433586255014824</v>
      </c>
      <c r="Y538" s="177">
        <v>1.8433586255014824</v>
      </c>
      <c r="Z538" s="177">
        <v>1.8433586255014824</v>
      </c>
      <c r="AA538" s="177">
        <v>1.8433586255014824</v>
      </c>
      <c r="AB538" s="177">
        <v>1.8433586255014824</v>
      </c>
      <c r="AC538" s="177">
        <v>1.8433586255014824</v>
      </c>
      <c r="AD538" s="177">
        <v>1.8433586255014824</v>
      </c>
    </row>
    <row r="539" spans="2:30">
      <c r="B539" t="s">
        <v>322</v>
      </c>
      <c r="C539" t="s">
        <v>578</v>
      </c>
      <c r="D539" s="177">
        <v>1.8529030871906271</v>
      </c>
      <c r="E539" s="177">
        <v>1.8529030871906271</v>
      </c>
      <c r="F539" s="177">
        <v>1.8529030871906271</v>
      </c>
      <c r="G539" s="177">
        <v>1.8529030871906271</v>
      </c>
      <c r="H539" s="177">
        <v>1.8529030871906271</v>
      </c>
      <c r="I539" s="177">
        <v>1.8529030871906271</v>
      </c>
      <c r="J539" s="177">
        <v>1.8529030871906271</v>
      </c>
      <c r="K539" s="177">
        <v>1.8529030871906271</v>
      </c>
      <c r="L539" s="177">
        <v>1.8529030871906271</v>
      </c>
      <c r="M539" s="177">
        <v>1.8529030871906271</v>
      </c>
      <c r="N539" s="177">
        <v>1.8529030871906271</v>
      </c>
      <c r="O539" s="177">
        <v>1.8529030871906271</v>
      </c>
      <c r="P539" s="177">
        <v>1.8529030871906271</v>
      </c>
      <c r="Q539" s="177">
        <v>1.8529030871906271</v>
      </c>
      <c r="R539" s="177">
        <v>1.8529030871906271</v>
      </c>
      <c r="S539" s="177">
        <v>1.8529030871906271</v>
      </c>
      <c r="T539" s="177">
        <v>1.8529030871906271</v>
      </c>
      <c r="U539" s="177">
        <v>1.8529030871906271</v>
      </c>
      <c r="V539" s="177">
        <v>1.8529030871906271</v>
      </c>
      <c r="W539" s="177">
        <v>1.8529030871906271</v>
      </c>
      <c r="X539" s="177">
        <v>1.8529030871906271</v>
      </c>
      <c r="Y539" s="177">
        <v>1.8529030871906271</v>
      </c>
      <c r="Z539" s="177">
        <v>1.8529030871906271</v>
      </c>
      <c r="AA539" s="177">
        <v>1.8529030871906271</v>
      </c>
      <c r="AB539" s="177">
        <v>1.8529030871906271</v>
      </c>
      <c r="AC539" s="177">
        <v>1.8529030871906271</v>
      </c>
      <c r="AD539" s="177">
        <v>1.8529030871906271</v>
      </c>
    </row>
    <row r="540" spans="2:30">
      <c r="B540" s="79" t="s">
        <v>323</v>
      </c>
      <c r="C540" s="79" t="s">
        <v>578</v>
      </c>
      <c r="D540" s="178">
        <v>2.076438345513917</v>
      </c>
      <c r="E540" s="178">
        <v>2.076438345513917</v>
      </c>
      <c r="F540" s="178">
        <v>2.076438345513917</v>
      </c>
      <c r="G540" s="178">
        <v>2.076438345513917</v>
      </c>
      <c r="H540" s="178">
        <v>2.076438345513917</v>
      </c>
      <c r="I540" s="178">
        <v>2.076438345513917</v>
      </c>
      <c r="J540" s="178">
        <v>2.076438345513917</v>
      </c>
      <c r="K540" s="178">
        <v>2.076438345513917</v>
      </c>
      <c r="L540" s="178">
        <v>2.076438345513917</v>
      </c>
      <c r="M540" s="178">
        <v>2.076438345513917</v>
      </c>
      <c r="N540" s="178">
        <v>2.076438345513917</v>
      </c>
      <c r="O540" s="178">
        <v>2.076438345513917</v>
      </c>
      <c r="P540" s="178">
        <v>2.076438345513917</v>
      </c>
      <c r="Q540" s="178">
        <v>2.076438345513917</v>
      </c>
      <c r="R540" s="178">
        <v>2.076438345513917</v>
      </c>
      <c r="S540" s="178">
        <v>2.076438345513917</v>
      </c>
      <c r="T540" s="178">
        <v>2.076438345513917</v>
      </c>
      <c r="U540" s="178">
        <v>2.076438345513917</v>
      </c>
      <c r="V540" s="178">
        <v>2.076438345513917</v>
      </c>
      <c r="W540" s="178">
        <v>2.076438345513917</v>
      </c>
      <c r="X540" s="178">
        <v>2.076438345513917</v>
      </c>
      <c r="Y540" s="178">
        <v>2.076438345513917</v>
      </c>
      <c r="Z540" s="178">
        <v>2.076438345513917</v>
      </c>
      <c r="AA540" s="178">
        <v>2.076438345513917</v>
      </c>
      <c r="AB540" s="178">
        <v>2.076438345513917</v>
      </c>
      <c r="AC540" s="178">
        <v>2.076438345513917</v>
      </c>
      <c r="AD540" s="178">
        <v>2.076438345513917</v>
      </c>
    </row>
    <row r="541" spans="2:30">
      <c r="B541" t="s">
        <v>582</v>
      </c>
    </row>
    <row r="545" spans="2:30" ht="15.5">
      <c r="B545" s="101" t="s">
        <v>625</v>
      </c>
    </row>
    <row r="546" spans="2:30">
      <c r="B546" s="81" t="s">
        <v>573</v>
      </c>
      <c r="C546" s="81" t="s">
        <v>63</v>
      </c>
      <c r="D546" s="81" t="str">
        <f t="shared" ref="D546:AD546" si="435">D533</f>
        <v>IE</v>
      </c>
      <c r="E546" s="81" t="str">
        <f t="shared" si="435"/>
        <v>IE-CW</v>
      </c>
      <c r="F546" s="81" t="str">
        <f t="shared" si="435"/>
        <v>IE-D</v>
      </c>
      <c r="G546" s="81" t="str">
        <f t="shared" si="435"/>
        <v>IE-KE</v>
      </c>
      <c r="H546" s="81" t="str">
        <f t="shared" si="435"/>
        <v>IE-KK</v>
      </c>
      <c r="I546" s="81" t="str">
        <f t="shared" si="435"/>
        <v>IE-LS</v>
      </c>
      <c r="J546" s="81" t="str">
        <f t="shared" si="435"/>
        <v>IE-LD</v>
      </c>
      <c r="K546" s="81" t="str">
        <f t="shared" si="435"/>
        <v>IE-LH</v>
      </c>
      <c r="L546" s="81" t="str">
        <f t="shared" si="435"/>
        <v>IE-MH</v>
      </c>
      <c r="M546" s="81" t="str">
        <f t="shared" si="435"/>
        <v>IE-OY</v>
      </c>
      <c r="N546" s="81" t="str">
        <f t="shared" si="435"/>
        <v>IE-WH</v>
      </c>
      <c r="O546" s="81" t="str">
        <f t="shared" si="435"/>
        <v>IE-WX</v>
      </c>
      <c r="P546" s="81" t="str">
        <f t="shared" si="435"/>
        <v>IE-WW</v>
      </c>
      <c r="Q546" s="81" t="str">
        <f t="shared" si="435"/>
        <v>IE-CE</v>
      </c>
      <c r="R546" s="81" t="str">
        <f t="shared" si="435"/>
        <v>IE-CO</v>
      </c>
      <c r="S546" s="81" t="str">
        <f t="shared" si="435"/>
        <v>IE-KY</v>
      </c>
      <c r="T546" s="81" t="str">
        <f t="shared" si="435"/>
        <v>IE-LK</v>
      </c>
      <c r="U546" s="81" t="str">
        <f t="shared" si="435"/>
        <v>IE-TA</v>
      </c>
      <c r="V546" s="81" t="str">
        <f t="shared" si="435"/>
        <v>IE-WD</v>
      </c>
      <c r="W546" s="81" t="str">
        <f t="shared" si="435"/>
        <v>IE-G</v>
      </c>
      <c r="X546" s="81" t="str">
        <f t="shared" si="435"/>
        <v>IE-LM</v>
      </c>
      <c r="Y546" s="81" t="str">
        <f t="shared" si="435"/>
        <v>IE-MO</v>
      </c>
      <c r="Z546" s="81" t="str">
        <f t="shared" si="435"/>
        <v>IE-RN</v>
      </c>
      <c r="AA546" s="81" t="str">
        <f t="shared" si="435"/>
        <v>IE-SO</v>
      </c>
      <c r="AB546" s="81" t="str">
        <f t="shared" si="435"/>
        <v>IE-CN</v>
      </c>
      <c r="AC546" s="81" t="str">
        <f t="shared" si="435"/>
        <v>IE-DL</v>
      </c>
      <c r="AD546" s="81" t="str">
        <f t="shared" si="435"/>
        <v>IE-MN</v>
      </c>
    </row>
    <row r="547" spans="2:30">
      <c r="B547" t="s">
        <v>594</v>
      </c>
      <c r="C547" t="s">
        <v>578</v>
      </c>
      <c r="D547" s="177">
        <f t="shared" ref="D547:W547" si="436">SUMPRODUCT(D521:D527,D534:D540)</f>
        <v>1.8140726552198705</v>
      </c>
      <c r="E547" s="177">
        <f t="shared" si="436"/>
        <v>1.9460274065863941</v>
      </c>
      <c r="F547" s="177">
        <f t="shared" si="436"/>
        <v>1.8037417147916066</v>
      </c>
      <c r="G547" s="177">
        <f t="shared" si="436"/>
        <v>1.8085529230310002</v>
      </c>
      <c r="H547" s="177">
        <f t="shared" si="436"/>
        <v>1.8295890277679689</v>
      </c>
      <c r="I547" s="177">
        <f t="shared" si="436"/>
        <v>1.8497947034430671</v>
      </c>
      <c r="J547" s="177">
        <f t="shared" si="436"/>
        <v>2.0181684155108082</v>
      </c>
      <c r="K547" s="177">
        <f t="shared" si="436"/>
        <v>1.8446894448370716</v>
      </c>
      <c r="L547" s="177">
        <f t="shared" si="436"/>
        <v>1.8430338961417763</v>
      </c>
      <c r="M547" s="177">
        <f t="shared" si="436"/>
        <v>1.9180471372254353</v>
      </c>
      <c r="N547" s="177">
        <f t="shared" si="436"/>
        <v>1.815593465590349</v>
      </c>
      <c r="O547" s="177">
        <f t="shared" si="436"/>
        <v>1.8484757821460791</v>
      </c>
      <c r="P547" s="177">
        <f t="shared" si="436"/>
        <v>1.8567345796866417</v>
      </c>
      <c r="Q547" s="177">
        <f t="shared" si="436"/>
        <v>1.8159909665712068</v>
      </c>
      <c r="R547" s="177">
        <f t="shared" si="436"/>
        <v>1.8124446852996714</v>
      </c>
      <c r="S547" s="177">
        <f t="shared" si="436"/>
        <v>1.8600424080426254</v>
      </c>
      <c r="T547" s="177">
        <f t="shared" si="436"/>
        <v>1.8049058950640684</v>
      </c>
      <c r="U547" s="177">
        <f t="shared" si="436"/>
        <v>1.8521026425320195</v>
      </c>
      <c r="V547" s="177">
        <f t="shared" si="436"/>
        <v>1.8258666478087255</v>
      </c>
      <c r="W547" s="177">
        <f t="shared" si="436"/>
        <v>1.8477073870717844</v>
      </c>
      <c r="X547" s="177">
        <f>D547</f>
        <v>1.8140726552198705</v>
      </c>
      <c r="Y547" s="177">
        <f t="shared" ref="Y547:AD547" si="437">SUMPRODUCT(Y521:Y527,Y534:Y540)</f>
        <v>1.8351573955783527</v>
      </c>
      <c r="Z547" s="177">
        <f t="shared" si="437"/>
        <v>1.970854409796357</v>
      </c>
      <c r="AA547" s="177">
        <f t="shared" si="437"/>
        <v>1.8241940913211054</v>
      </c>
      <c r="AB547" s="177">
        <f t="shared" si="437"/>
        <v>1.8015975171049097</v>
      </c>
      <c r="AC547" s="177">
        <f t="shared" si="437"/>
        <v>1.8092825196843492</v>
      </c>
      <c r="AD547" s="177">
        <f t="shared" si="437"/>
        <v>1.9972503937257469</v>
      </c>
    </row>
    <row r="548" spans="2:30">
      <c r="B548" s="79"/>
      <c r="C548" s="79" t="s">
        <v>566</v>
      </c>
      <c r="D548" s="180">
        <f>1000/D547</f>
        <v>551.24583743797041</v>
      </c>
      <c r="E548" s="180">
        <f>1000/E547</f>
        <v>513.86737751763769</v>
      </c>
      <c r="F548" s="180">
        <f>1000/F547</f>
        <v>554.40310095369387</v>
      </c>
      <c r="G548" s="180">
        <f>1000/G547</f>
        <v>552.92824847175291</v>
      </c>
      <c r="H548" s="180">
        <f t="shared" ref="H548" si="438">1000/H547</f>
        <v>546.57083357127647</v>
      </c>
      <c r="I548" s="180">
        <f t="shared" ref="I548" si="439">1000/I547</f>
        <v>540.60053158259996</v>
      </c>
      <c r="J548" s="180">
        <f t="shared" ref="J548" si="440">1000/J547</f>
        <v>495.49878608465644</v>
      </c>
      <c r="K548" s="180">
        <f t="shared" ref="K548" si="441">1000/K547</f>
        <v>542.09666716465813</v>
      </c>
      <c r="L548" s="180">
        <f t="shared" ref="L548" si="442">1000/L547</f>
        <v>542.58361829015132</v>
      </c>
      <c r="M548" s="180">
        <f t="shared" ref="M548" si="443">1000/M547</f>
        <v>521.36362062850924</v>
      </c>
      <c r="N548" s="180">
        <f t="shared" ref="N548" si="444">1000/N547</f>
        <v>550.78409288879277</v>
      </c>
      <c r="O548" s="180">
        <f t="shared" ref="O548" si="445">1000/O547</f>
        <v>540.98625995467501</v>
      </c>
      <c r="P548" s="180">
        <f t="shared" ref="P548" si="446">1000/P547</f>
        <v>538.57994079518278</v>
      </c>
      <c r="Q548" s="180">
        <f t="shared" ref="Q548" si="447">1000/Q547</f>
        <v>550.66353214747062</v>
      </c>
      <c r="R548" s="180">
        <f t="shared" ref="R548" si="448">1000/R547</f>
        <v>551.74097621338387</v>
      </c>
      <c r="S548" s="180">
        <f t="shared" ref="S548" si="449">1000/S547</f>
        <v>537.62215080479154</v>
      </c>
      <c r="T548" s="180">
        <f t="shared" ref="T548" si="450">1000/T547</f>
        <v>554.04550604811629</v>
      </c>
      <c r="U548" s="180">
        <f t="shared" ref="U548" si="451">1000/U547</f>
        <v>539.92687934017226</v>
      </c>
      <c r="V548" s="180">
        <f t="shared" ref="V548" si="452">1000/V547</f>
        <v>547.68512322634751</v>
      </c>
      <c r="W548" s="180">
        <f t="shared" ref="W548" si="453">1000/W547</f>
        <v>541.21123669088274</v>
      </c>
      <c r="X548" s="180">
        <f t="shared" ref="X548" si="454">1000/X547</f>
        <v>551.24583743797041</v>
      </c>
      <c r="Y548" s="180">
        <f t="shared" ref="Y548" si="455">1000/Y547</f>
        <v>544.91238866454205</v>
      </c>
      <c r="Z548" s="180">
        <f t="shared" ref="Z548" si="456">1000/Z547</f>
        <v>507.39415099836179</v>
      </c>
      <c r="AA548" s="180">
        <f t="shared" ref="AA548" si="457">1000/AA547</f>
        <v>548.18728158240378</v>
      </c>
      <c r="AB548" s="180">
        <f t="shared" ref="AB548" si="458">1000/AB547</f>
        <v>555.06293192885687</v>
      </c>
      <c r="AC548" s="180">
        <f t="shared" ref="AC548" si="459">1000/AC547</f>
        <v>552.70527909287591</v>
      </c>
      <c r="AD548" s="180">
        <f t="shared" ref="AD548" si="460">1000/AD547</f>
        <v>500.68834791143138</v>
      </c>
    </row>
    <row r="552" spans="2:30">
      <c r="B552" s="182"/>
      <c r="C552" s="182"/>
      <c r="D552" s="182"/>
      <c r="E552" s="182"/>
      <c r="F552" s="182"/>
      <c r="G552" s="182"/>
      <c r="H552" s="182"/>
      <c r="I552" s="182"/>
      <c r="J552" s="182"/>
      <c r="K552" s="182"/>
      <c r="L552" s="182"/>
      <c r="M552" s="182"/>
      <c r="N552" s="182"/>
      <c r="O552" s="182"/>
      <c r="P552" s="182"/>
      <c r="Q552" s="182"/>
      <c r="R552" s="182"/>
      <c r="S552" s="182"/>
      <c r="T552" s="182"/>
      <c r="U552" s="182"/>
      <c r="V552" s="182"/>
      <c r="W552" s="182"/>
      <c r="X552" s="182"/>
      <c r="Y552" s="182"/>
      <c r="Z552" s="182"/>
      <c r="AA552" s="182"/>
      <c r="AB552" s="182"/>
      <c r="AC552" s="182"/>
      <c r="AD552" s="182"/>
    </row>
    <row r="553" spans="2:30" ht="15.5">
      <c r="B553" s="101" t="s">
        <v>626</v>
      </c>
    </row>
    <row r="554" spans="2:30">
      <c r="B554" s="81" t="s">
        <v>573</v>
      </c>
      <c r="C554" s="81" t="s">
        <v>63</v>
      </c>
      <c r="D554" s="81" t="str">
        <f>D546</f>
        <v>IE</v>
      </c>
      <c r="E554" s="81" t="str">
        <f t="shared" ref="E554:AD554" si="461">E546</f>
        <v>IE-CW</v>
      </c>
      <c r="F554" s="81" t="str">
        <f t="shared" si="461"/>
        <v>IE-D</v>
      </c>
      <c r="G554" s="81" t="str">
        <f t="shared" si="461"/>
        <v>IE-KE</v>
      </c>
      <c r="H554" s="81" t="str">
        <f t="shared" si="461"/>
        <v>IE-KK</v>
      </c>
      <c r="I554" s="81" t="str">
        <f t="shared" si="461"/>
        <v>IE-LS</v>
      </c>
      <c r="J554" s="81" t="str">
        <f t="shared" si="461"/>
        <v>IE-LD</v>
      </c>
      <c r="K554" s="81" t="str">
        <f t="shared" si="461"/>
        <v>IE-LH</v>
      </c>
      <c r="L554" s="81" t="str">
        <f t="shared" si="461"/>
        <v>IE-MH</v>
      </c>
      <c r="M554" s="81" t="str">
        <f t="shared" si="461"/>
        <v>IE-OY</v>
      </c>
      <c r="N554" s="81" t="str">
        <f t="shared" si="461"/>
        <v>IE-WH</v>
      </c>
      <c r="O554" s="81" t="str">
        <f t="shared" si="461"/>
        <v>IE-WX</v>
      </c>
      <c r="P554" s="81" t="str">
        <f t="shared" si="461"/>
        <v>IE-WW</v>
      </c>
      <c r="Q554" s="81" t="str">
        <f t="shared" si="461"/>
        <v>IE-CE</v>
      </c>
      <c r="R554" s="81" t="str">
        <f t="shared" si="461"/>
        <v>IE-CO</v>
      </c>
      <c r="S554" s="81" t="str">
        <f t="shared" si="461"/>
        <v>IE-KY</v>
      </c>
      <c r="T554" s="81" t="str">
        <f t="shared" si="461"/>
        <v>IE-LK</v>
      </c>
      <c r="U554" s="81" t="str">
        <f t="shared" si="461"/>
        <v>IE-TA</v>
      </c>
      <c r="V554" s="81" t="str">
        <f t="shared" si="461"/>
        <v>IE-WD</v>
      </c>
      <c r="W554" s="81" t="str">
        <f t="shared" si="461"/>
        <v>IE-G</v>
      </c>
      <c r="X554" s="81" t="str">
        <f t="shared" si="461"/>
        <v>IE-LM</v>
      </c>
      <c r="Y554" s="81" t="str">
        <f t="shared" si="461"/>
        <v>IE-MO</v>
      </c>
      <c r="Z554" s="81" t="str">
        <f t="shared" si="461"/>
        <v>IE-RN</v>
      </c>
      <c r="AA554" s="81" t="str">
        <f t="shared" si="461"/>
        <v>IE-SO</v>
      </c>
      <c r="AB554" s="81" t="str">
        <f t="shared" si="461"/>
        <v>IE-CN</v>
      </c>
      <c r="AC554" s="81" t="str">
        <f t="shared" si="461"/>
        <v>IE-DL</v>
      </c>
      <c r="AD554" s="81" t="str">
        <f t="shared" si="461"/>
        <v>IE-MN</v>
      </c>
    </row>
    <row r="555" spans="2:30">
      <c r="B555" t="s">
        <v>317</v>
      </c>
      <c r="C555" t="s">
        <v>501</v>
      </c>
      <c r="D555" s="30">
        <f>SUM(E555:AD555)</f>
        <v>3</v>
      </c>
      <c r="E555">
        <v>0</v>
      </c>
      <c r="F555">
        <v>3</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row>
    <row r="556" spans="2:30">
      <c r="B556" t="s">
        <v>318</v>
      </c>
      <c r="C556" t="s">
        <v>501</v>
      </c>
      <c r="D556" s="30">
        <f t="shared" ref="D556:D561" si="462">SUM(E556:AD556)</f>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row>
    <row r="557" spans="2:30">
      <c r="B557" t="s">
        <v>319</v>
      </c>
      <c r="C557" t="s">
        <v>501</v>
      </c>
      <c r="D557" s="30">
        <f t="shared" si="462"/>
        <v>225</v>
      </c>
      <c r="E557">
        <v>1</v>
      </c>
      <c r="F557">
        <v>63</v>
      </c>
      <c r="G557">
        <v>7</v>
      </c>
      <c r="H557">
        <v>2</v>
      </c>
      <c r="I557">
        <v>2</v>
      </c>
      <c r="J557">
        <v>1</v>
      </c>
      <c r="K557">
        <v>6</v>
      </c>
      <c r="L557">
        <v>3</v>
      </c>
      <c r="M557">
        <v>0</v>
      </c>
      <c r="N557">
        <v>0</v>
      </c>
      <c r="O557">
        <v>0</v>
      </c>
      <c r="P557">
        <v>2</v>
      </c>
      <c r="Q557">
        <v>5</v>
      </c>
      <c r="R557">
        <v>103</v>
      </c>
      <c r="S557">
        <v>5</v>
      </c>
      <c r="T557">
        <v>8</v>
      </c>
      <c r="U557">
        <v>2</v>
      </c>
      <c r="V557">
        <v>4</v>
      </c>
      <c r="W557">
        <v>2</v>
      </c>
      <c r="X557">
        <v>1</v>
      </c>
      <c r="Y557">
        <v>1</v>
      </c>
      <c r="Z557">
        <v>1</v>
      </c>
      <c r="AA557">
        <v>2</v>
      </c>
      <c r="AB557">
        <v>4</v>
      </c>
      <c r="AC557">
        <v>0</v>
      </c>
      <c r="AD557">
        <v>0</v>
      </c>
    </row>
    <row r="558" spans="2:30">
      <c r="B558" t="s">
        <v>320</v>
      </c>
      <c r="C558" t="s">
        <v>501</v>
      </c>
      <c r="D558" s="30">
        <f t="shared" si="462"/>
        <v>5215</v>
      </c>
      <c r="E558">
        <v>40</v>
      </c>
      <c r="F558">
        <v>3035</v>
      </c>
      <c r="G558">
        <v>217</v>
      </c>
      <c r="H558">
        <v>74</v>
      </c>
      <c r="I558">
        <v>71</v>
      </c>
      <c r="J558">
        <v>16</v>
      </c>
      <c r="K558">
        <v>120</v>
      </c>
      <c r="L558">
        <v>251</v>
      </c>
      <c r="M558">
        <v>27</v>
      </c>
      <c r="N558">
        <v>73</v>
      </c>
      <c r="O558">
        <v>70</v>
      </c>
      <c r="P558">
        <v>69</v>
      </c>
      <c r="Q558">
        <v>49</v>
      </c>
      <c r="R558">
        <v>375</v>
      </c>
      <c r="S558">
        <v>64</v>
      </c>
      <c r="T558">
        <v>93</v>
      </c>
      <c r="U558">
        <v>37</v>
      </c>
      <c r="V558">
        <v>83</v>
      </c>
      <c r="W558">
        <v>189</v>
      </c>
      <c r="X558">
        <v>10</v>
      </c>
      <c r="Y558">
        <v>54</v>
      </c>
      <c r="Z558">
        <v>31</v>
      </c>
      <c r="AA558">
        <v>46</v>
      </c>
      <c r="AB558">
        <v>39</v>
      </c>
      <c r="AC558">
        <v>67</v>
      </c>
      <c r="AD558">
        <v>15</v>
      </c>
    </row>
    <row r="559" spans="2:30">
      <c r="B559" t="s">
        <v>321</v>
      </c>
      <c r="C559" t="s">
        <v>501</v>
      </c>
      <c r="D559" s="30">
        <f t="shared" si="462"/>
        <v>673</v>
      </c>
      <c r="E559">
        <v>9</v>
      </c>
      <c r="F559">
        <v>344</v>
      </c>
      <c r="G559">
        <v>34</v>
      </c>
      <c r="H559">
        <v>8</v>
      </c>
      <c r="I559">
        <v>8</v>
      </c>
      <c r="J559">
        <v>3</v>
      </c>
      <c r="K559">
        <v>17</v>
      </c>
      <c r="L559">
        <v>35</v>
      </c>
      <c r="M559">
        <v>4</v>
      </c>
      <c r="N559">
        <v>8</v>
      </c>
      <c r="O559">
        <v>11</v>
      </c>
      <c r="P559">
        <v>11</v>
      </c>
      <c r="Q559">
        <v>7</v>
      </c>
      <c r="R559">
        <v>51</v>
      </c>
      <c r="S559">
        <v>16</v>
      </c>
      <c r="T559">
        <v>25</v>
      </c>
      <c r="U559">
        <v>8</v>
      </c>
      <c r="V559">
        <v>7</v>
      </c>
      <c r="W559">
        <v>28</v>
      </c>
      <c r="X559">
        <v>5</v>
      </c>
      <c r="Y559">
        <v>10</v>
      </c>
      <c r="Z559">
        <v>5</v>
      </c>
      <c r="AA559">
        <v>5</v>
      </c>
      <c r="AB559">
        <v>6</v>
      </c>
      <c r="AC559">
        <v>7</v>
      </c>
      <c r="AD559">
        <v>1</v>
      </c>
    </row>
    <row r="560" spans="2:30">
      <c r="B560" t="s">
        <v>322</v>
      </c>
      <c r="C560" t="s">
        <v>501</v>
      </c>
      <c r="D560" s="30">
        <f t="shared" si="462"/>
        <v>8244</v>
      </c>
      <c r="E560">
        <v>74</v>
      </c>
      <c r="F560">
        <v>3896</v>
      </c>
      <c r="G560">
        <v>316</v>
      </c>
      <c r="H560">
        <v>76</v>
      </c>
      <c r="I560">
        <v>95</v>
      </c>
      <c r="J560">
        <v>49</v>
      </c>
      <c r="K560">
        <v>268</v>
      </c>
      <c r="L560">
        <v>395</v>
      </c>
      <c r="M560">
        <v>81</v>
      </c>
      <c r="N560">
        <v>142</v>
      </c>
      <c r="O560">
        <v>106</v>
      </c>
      <c r="P560">
        <v>135</v>
      </c>
      <c r="Q560">
        <v>130</v>
      </c>
      <c r="R560">
        <v>776</v>
      </c>
      <c r="S560">
        <v>193</v>
      </c>
      <c r="T560">
        <v>219</v>
      </c>
      <c r="U560">
        <v>120</v>
      </c>
      <c r="V560">
        <v>111</v>
      </c>
      <c r="W560">
        <v>404</v>
      </c>
      <c r="X560">
        <v>38</v>
      </c>
      <c r="Y560">
        <v>133</v>
      </c>
      <c r="Z560">
        <v>71</v>
      </c>
      <c r="AA560">
        <v>69</v>
      </c>
      <c r="AB560">
        <v>85</v>
      </c>
      <c r="AC560">
        <v>220</v>
      </c>
      <c r="AD560">
        <v>42</v>
      </c>
    </row>
    <row r="561" spans="2:30">
      <c r="B561" t="s">
        <v>323</v>
      </c>
      <c r="C561" t="s">
        <v>501</v>
      </c>
      <c r="D561" s="30">
        <f t="shared" si="462"/>
        <v>3103</v>
      </c>
      <c r="E561">
        <v>23</v>
      </c>
      <c r="F561">
        <v>1173</v>
      </c>
      <c r="G561">
        <v>141</v>
      </c>
      <c r="H561">
        <v>44</v>
      </c>
      <c r="I561">
        <v>24</v>
      </c>
      <c r="J561">
        <v>14</v>
      </c>
      <c r="K561">
        <v>97</v>
      </c>
      <c r="L561">
        <v>148</v>
      </c>
      <c r="M561">
        <v>38</v>
      </c>
      <c r="N561">
        <v>36</v>
      </c>
      <c r="O561">
        <v>63</v>
      </c>
      <c r="P561">
        <v>98</v>
      </c>
      <c r="Q561">
        <v>110</v>
      </c>
      <c r="R561">
        <v>233</v>
      </c>
      <c r="S561">
        <v>158</v>
      </c>
      <c r="T561">
        <v>142</v>
      </c>
      <c r="U561">
        <v>74</v>
      </c>
      <c r="V561">
        <v>57</v>
      </c>
      <c r="W561">
        <v>199</v>
      </c>
      <c r="X561">
        <v>11</v>
      </c>
      <c r="Y561">
        <v>72</v>
      </c>
      <c r="Z561">
        <v>21</v>
      </c>
      <c r="AA561">
        <v>33</v>
      </c>
      <c r="AB561">
        <v>23</v>
      </c>
      <c r="AC561">
        <v>54</v>
      </c>
      <c r="AD561">
        <v>17</v>
      </c>
    </row>
    <row r="562" spans="2:30">
      <c r="B562" s="79" t="s">
        <v>16</v>
      </c>
      <c r="C562" s="79" t="s">
        <v>501</v>
      </c>
      <c r="D562" s="176">
        <f>SUM(E562:AD562)</f>
        <v>17463</v>
      </c>
      <c r="E562" s="176">
        <f t="shared" ref="E562:AD562" si="463">SUM(E555:E561)</f>
        <v>147</v>
      </c>
      <c r="F562" s="176">
        <f t="shared" si="463"/>
        <v>8514</v>
      </c>
      <c r="G562" s="176">
        <f t="shared" si="463"/>
        <v>715</v>
      </c>
      <c r="H562" s="176">
        <f t="shared" si="463"/>
        <v>204</v>
      </c>
      <c r="I562" s="176">
        <f t="shared" si="463"/>
        <v>200</v>
      </c>
      <c r="J562" s="176">
        <f t="shared" si="463"/>
        <v>83</v>
      </c>
      <c r="K562" s="176">
        <f t="shared" si="463"/>
        <v>508</v>
      </c>
      <c r="L562" s="176">
        <f t="shared" si="463"/>
        <v>832</v>
      </c>
      <c r="M562" s="176">
        <f t="shared" si="463"/>
        <v>150</v>
      </c>
      <c r="N562" s="176">
        <f t="shared" si="463"/>
        <v>259</v>
      </c>
      <c r="O562" s="176">
        <f t="shared" si="463"/>
        <v>250</v>
      </c>
      <c r="P562" s="176">
        <f t="shared" si="463"/>
        <v>315</v>
      </c>
      <c r="Q562" s="176">
        <f t="shared" si="463"/>
        <v>301</v>
      </c>
      <c r="R562" s="176">
        <f t="shared" si="463"/>
        <v>1538</v>
      </c>
      <c r="S562" s="176">
        <f t="shared" si="463"/>
        <v>436</v>
      </c>
      <c r="T562" s="176">
        <f t="shared" si="463"/>
        <v>487</v>
      </c>
      <c r="U562" s="176">
        <f t="shared" si="463"/>
        <v>241</v>
      </c>
      <c r="V562" s="176">
        <f t="shared" si="463"/>
        <v>262</v>
      </c>
      <c r="W562" s="176">
        <f t="shared" si="463"/>
        <v>822</v>
      </c>
      <c r="X562" s="176">
        <f t="shared" si="463"/>
        <v>65</v>
      </c>
      <c r="Y562" s="176">
        <f t="shared" si="463"/>
        <v>270</v>
      </c>
      <c r="Z562" s="176">
        <f t="shared" si="463"/>
        <v>129</v>
      </c>
      <c r="AA562" s="176">
        <f t="shared" si="463"/>
        <v>155</v>
      </c>
      <c r="AB562" s="176">
        <f t="shared" si="463"/>
        <v>157</v>
      </c>
      <c r="AC562" s="176">
        <f t="shared" si="463"/>
        <v>348</v>
      </c>
      <c r="AD562" s="176">
        <f t="shared" si="463"/>
        <v>75</v>
      </c>
    </row>
    <row r="563" spans="2:30">
      <c r="B563" t="s">
        <v>584</v>
      </c>
    </row>
    <row r="567" spans="2:30" ht="15.5">
      <c r="B567" s="101" t="s">
        <v>627</v>
      </c>
    </row>
    <row r="568" spans="2:30">
      <c r="B568" s="81" t="s">
        <v>573</v>
      </c>
      <c r="C568" s="81" t="s">
        <v>63</v>
      </c>
      <c r="D568" s="81" t="str">
        <f>D554</f>
        <v>IE</v>
      </c>
      <c r="E568" s="81" t="str">
        <f t="shared" ref="E568:AD568" si="464">E554</f>
        <v>IE-CW</v>
      </c>
      <c r="F568" s="81" t="str">
        <f t="shared" si="464"/>
        <v>IE-D</v>
      </c>
      <c r="G568" s="81" t="str">
        <f t="shared" si="464"/>
        <v>IE-KE</v>
      </c>
      <c r="H568" s="81" t="str">
        <f t="shared" si="464"/>
        <v>IE-KK</v>
      </c>
      <c r="I568" s="81" t="str">
        <f t="shared" si="464"/>
        <v>IE-LS</v>
      </c>
      <c r="J568" s="81" t="str">
        <f t="shared" si="464"/>
        <v>IE-LD</v>
      </c>
      <c r="K568" s="81" t="str">
        <f t="shared" si="464"/>
        <v>IE-LH</v>
      </c>
      <c r="L568" s="81" t="str">
        <f t="shared" si="464"/>
        <v>IE-MH</v>
      </c>
      <c r="M568" s="81" t="str">
        <f t="shared" si="464"/>
        <v>IE-OY</v>
      </c>
      <c r="N568" s="81" t="str">
        <f t="shared" si="464"/>
        <v>IE-WH</v>
      </c>
      <c r="O568" s="81" t="str">
        <f t="shared" si="464"/>
        <v>IE-WX</v>
      </c>
      <c r="P568" s="81" t="str">
        <f t="shared" si="464"/>
        <v>IE-WW</v>
      </c>
      <c r="Q568" s="81" t="str">
        <f t="shared" si="464"/>
        <v>IE-CE</v>
      </c>
      <c r="R568" s="81" t="str">
        <f t="shared" si="464"/>
        <v>IE-CO</v>
      </c>
      <c r="S568" s="81" t="str">
        <f t="shared" si="464"/>
        <v>IE-KY</v>
      </c>
      <c r="T568" s="81" t="str">
        <f t="shared" si="464"/>
        <v>IE-LK</v>
      </c>
      <c r="U568" s="81" t="str">
        <f t="shared" si="464"/>
        <v>IE-TA</v>
      </c>
      <c r="V568" s="81" t="str">
        <f t="shared" si="464"/>
        <v>IE-WD</v>
      </c>
      <c r="W568" s="81" t="str">
        <f t="shared" si="464"/>
        <v>IE-G</v>
      </c>
      <c r="X568" s="81" t="str">
        <f t="shared" si="464"/>
        <v>IE-LM</v>
      </c>
      <c r="Y568" s="81" t="str">
        <f t="shared" si="464"/>
        <v>IE-MO</v>
      </c>
      <c r="Z568" s="81" t="str">
        <f t="shared" si="464"/>
        <v>IE-RN</v>
      </c>
      <c r="AA568" s="81" t="str">
        <f t="shared" si="464"/>
        <v>IE-SO</v>
      </c>
      <c r="AB568" s="81" t="str">
        <f t="shared" si="464"/>
        <v>IE-CN</v>
      </c>
      <c r="AC568" s="81" t="str">
        <f t="shared" si="464"/>
        <v>IE-DL</v>
      </c>
      <c r="AD568" s="81" t="str">
        <f t="shared" si="464"/>
        <v>IE-MN</v>
      </c>
    </row>
    <row r="569" spans="2:30">
      <c r="B569" t="s">
        <v>317</v>
      </c>
      <c r="C569" s="179" t="s">
        <v>577</v>
      </c>
      <c r="D569" s="29">
        <f>D555/D$562</f>
        <v>1.7179178835251675E-4</v>
      </c>
      <c r="E569" s="29">
        <f t="shared" ref="E569:AD575" si="465">E555/E$562</f>
        <v>0</v>
      </c>
      <c r="F569" s="29">
        <f t="shared" si="465"/>
        <v>3.5236081747709656E-4</v>
      </c>
      <c r="G569" s="29">
        <f t="shared" si="465"/>
        <v>0</v>
      </c>
      <c r="H569" s="29">
        <f t="shared" si="465"/>
        <v>0</v>
      </c>
      <c r="I569" s="29">
        <f t="shared" si="465"/>
        <v>0</v>
      </c>
      <c r="J569" s="29">
        <f t="shared" si="465"/>
        <v>0</v>
      </c>
      <c r="K569" s="29">
        <f t="shared" si="465"/>
        <v>0</v>
      </c>
      <c r="L569" s="29">
        <f t="shared" si="465"/>
        <v>0</v>
      </c>
      <c r="M569" s="29">
        <f t="shared" si="465"/>
        <v>0</v>
      </c>
      <c r="N569" s="29">
        <f t="shared" si="465"/>
        <v>0</v>
      </c>
      <c r="O569" s="29">
        <f t="shared" si="465"/>
        <v>0</v>
      </c>
      <c r="P569" s="29">
        <f t="shared" si="465"/>
        <v>0</v>
      </c>
      <c r="Q569" s="29">
        <f t="shared" si="465"/>
        <v>0</v>
      </c>
      <c r="R569" s="29">
        <f t="shared" si="465"/>
        <v>0</v>
      </c>
      <c r="S569" s="29">
        <f t="shared" si="465"/>
        <v>0</v>
      </c>
      <c r="T569" s="29">
        <f t="shared" si="465"/>
        <v>0</v>
      </c>
      <c r="U569" s="29">
        <f t="shared" si="465"/>
        <v>0</v>
      </c>
      <c r="V569" s="29">
        <f t="shared" si="465"/>
        <v>0</v>
      </c>
      <c r="W569" s="29">
        <f t="shared" si="465"/>
        <v>0</v>
      </c>
      <c r="X569" s="29">
        <f t="shared" si="465"/>
        <v>0</v>
      </c>
      <c r="Y569" s="29">
        <f t="shared" si="465"/>
        <v>0</v>
      </c>
      <c r="Z569" s="29">
        <f t="shared" si="465"/>
        <v>0</v>
      </c>
      <c r="AA569" s="29">
        <f t="shared" si="465"/>
        <v>0</v>
      </c>
      <c r="AB569" s="29">
        <f t="shared" si="465"/>
        <v>0</v>
      </c>
      <c r="AC569" s="29">
        <f t="shared" si="465"/>
        <v>0</v>
      </c>
      <c r="AD569" s="29">
        <f t="shared" si="465"/>
        <v>0</v>
      </c>
    </row>
    <row r="570" spans="2:30">
      <c r="B570" t="s">
        <v>318</v>
      </c>
      <c r="C570" t="s">
        <v>577</v>
      </c>
      <c r="D570" s="29">
        <f>D556/D$562</f>
        <v>0</v>
      </c>
      <c r="E570" s="29">
        <f t="shared" ref="D570:S575" si="466">E556/E$562</f>
        <v>0</v>
      </c>
      <c r="F570" s="29">
        <f t="shared" si="466"/>
        <v>0</v>
      </c>
      <c r="G570" s="29">
        <f t="shared" si="466"/>
        <v>0</v>
      </c>
      <c r="H570" s="29">
        <f t="shared" si="466"/>
        <v>0</v>
      </c>
      <c r="I570" s="29">
        <f t="shared" si="466"/>
        <v>0</v>
      </c>
      <c r="J570" s="29">
        <f t="shared" si="466"/>
        <v>0</v>
      </c>
      <c r="K570" s="29">
        <f t="shared" si="466"/>
        <v>0</v>
      </c>
      <c r="L570" s="29">
        <f t="shared" si="466"/>
        <v>0</v>
      </c>
      <c r="M570" s="29">
        <f t="shared" si="466"/>
        <v>0</v>
      </c>
      <c r="N570" s="29">
        <f t="shared" si="466"/>
        <v>0</v>
      </c>
      <c r="O570" s="29">
        <f t="shared" si="466"/>
        <v>0</v>
      </c>
      <c r="P570" s="29">
        <f t="shared" si="466"/>
        <v>0</v>
      </c>
      <c r="Q570" s="29">
        <f t="shared" si="466"/>
        <v>0</v>
      </c>
      <c r="R570" s="29">
        <f t="shared" si="466"/>
        <v>0</v>
      </c>
      <c r="S570" s="29">
        <f t="shared" si="466"/>
        <v>0</v>
      </c>
      <c r="T570" s="29">
        <f t="shared" si="465"/>
        <v>0</v>
      </c>
      <c r="U570" s="29">
        <f t="shared" si="465"/>
        <v>0</v>
      </c>
      <c r="V570" s="29">
        <f t="shared" si="465"/>
        <v>0</v>
      </c>
      <c r="W570" s="29">
        <f t="shared" si="465"/>
        <v>0</v>
      </c>
      <c r="X570" s="29">
        <f t="shared" si="465"/>
        <v>0</v>
      </c>
      <c r="Y570" s="29">
        <f t="shared" si="465"/>
        <v>0</v>
      </c>
      <c r="Z570" s="29">
        <f t="shared" si="465"/>
        <v>0</v>
      </c>
      <c r="AA570" s="29">
        <f t="shared" si="465"/>
        <v>0</v>
      </c>
      <c r="AB570" s="29">
        <f t="shared" si="465"/>
        <v>0</v>
      </c>
      <c r="AC570" s="29">
        <f t="shared" si="465"/>
        <v>0</v>
      </c>
      <c r="AD570" s="29">
        <f t="shared" si="465"/>
        <v>0</v>
      </c>
    </row>
    <row r="571" spans="2:30">
      <c r="B571" t="s">
        <v>319</v>
      </c>
      <c r="C571" t="s">
        <v>577</v>
      </c>
      <c r="D571" s="29">
        <f t="shared" si="466"/>
        <v>1.2884384126438756E-2</v>
      </c>
      <c r="E571" s="29">
        <f t="shared" si="465"/>
        <v>6.8027210884353739E-3</v>
      </c>
      <c r="F571" s="29">
        <f t="shared" si="465"/>
        <v>7.3995771670190271E-3</v>
      </c>
      <c r="G571" s="29">
        <f t="shared" si="465"/>
        <v>9.7902097902097911E-3</v>
      </c>
      <c r="H571" s="29">
        <f t="shared" si="465"/>
        <v>9.8039215686274508E-3</v>
      </c>
      <c r="I571" s="29">
        <f t="shared" si="465"/>
        <v>0.01</v>
      </c>
      <c r="J571" s="29">
        <f t="shared" si="465"/>
        <v>1.2048192771084338E-2</v>
      </c>
      <c r="K571" s="29">
        <f t="shared" si="465"/>
        <v>1.1811023622047244E-2</v>
      </c>
      <c r="L571" s="29">
        <f t="shared" si="465"/>
        <v>3.605769230769231E-3</v>
      </c>
      <c r="M571" s="29">
        <f t="shared" si="465"/>
        <v>0</v>
      </c>
      <c r="N571" s="29">
        <f t="shared" si="465"/>
        <v>0</v>
      </c>
      <c r="O571" s="29">
        <f t="shared" si="465"/>
        <v>0</v>
      </c>
      <c r="P571" s="29">
        <f t="shared" si="465"/>
        <v>6.3492063492063492E-3</v>
      </c>
      <c r="Q571" s="29">
        <f t="shared" si="465"/>
        <v>1.6611295681063124E-2</v>
      </c>
      <c r="R571" s="29">
        <f t="shared" si="465"/>
        <v>6.6970091027308193E-2</v>
      </c>
      <c r="S571" s="29">
        <f t="shared" si="465"/>
        <v>1.1467889908256881E-2</v>
      </c>
      <c r="T571" s="29">
        <f t="shared" si="465"/>
        <v>1.6427104722792608E-2</v>
      </c>
      <c r="U571" s="29">
        <f t="shared" si="465"/>
        <v>8.2987551867219917E-3</v>
      </c>
      <c r="V571" s="29">
        <f t="shared" si="465"/>
        <v>1.5267175572519083E-2</v>
      </c>
      <c r="W571" s="29">
        <f t="shared" si="465"/>
        <v>2.4330900243309003E-3</v>
      </c>
      <c r="X571" s="29">
        <f t="shared" si="465"/>
        <v>1.5384615384615385E-2</v>
      </c>
      <c r="Y571" s="29">
        <f t="shared" si="465"/>
        <v>3.7037037037037038E-3</v>
      </c>
      <c r="Z571" s="29">
        <f t="shared" si="465"/>
        <v>7.7519379844961239E-3</v>
      </c>
      <c r="AA571" s="29">
        <f t="shared" si="465"/>
        <v>1.2903225806451613E-2</v>
      </c>
      <c r="AB571" s="29">
        <f t="shared" si="465"/>
        <v>2.5477707006369428E-2</v>
      </c>
      <c r="AC571" s="29">
        <f t="shared" si="465"/>
        <v>0</v>
      </c>
      <c r="AD571" s="29">
        <f t="shared" si="465"/>
        <v>0</v>
      </c>
    </row>
    <row r="572" spans="2:30">
      <c r="B572" t="s">
        <v>320</v>
      </c>
      <c r="C572" t="s">
        <v>577</v>
      </c>
      <c r="D572" s="29">
        <f t="shared" si="466"/>
        <v>0.29863139208612494</v>
      </c>
      <c r="E572" s="29">
        <f t="shared" si="465"/>
        <v>0.27210884353741499</v>
      </c>
      <c r="F572" s="29">
        <f t="shared" si="465"/>
        <v>0.35647169368099602</v>
      </c>
      <c r="G572" s="29">
        <f t="shared" si="465"/>
        <v>0.30349650349650348</v>
      </c>
      <c r="H572" s="29">
        <f t="shared" si="465"/>
        <v>0.36274509803921567</v>
      </c>
      <c r="I572" s="29">
        <f t="shared" si="465"/>
        <v>0.35499999999999998</v>
      </c>
      <c r="J572" s="29">
        <f t="shared" si="465"/>
        <v>0.19277108433734941</v>
      </c>
      <c r="K572" s="29">
        <f t="shared" si="465"/>
        <v>0.23622047244094488</v>
      </c>
      <c r="L572" s="29">
        <f t="shared" si="465"/>
        <v>0.30168269230769229</v>
      </c>
      <c r="M572" s="29">
        <f t="shared" si="465"/>
        <v>0.18</v>
      </c>
      <c r="N572" s="29">
        <f t="shared" si="465"/>
        <v>0.28185328185328185</v>
      </c>
      <c r="O572" s="29">
        <f t="shared" si="465"/>
        <v>0.28000000000000003</v>
      </c>
      <c r="P572" s="29">
        <f t="shared" si="465"/>
        <v>0.21904761904761905</v>
      </c>
      <c r="Q572" s="29">
        <f t="shared" si="465"/>
        <v>0.16279069767441862</v>
      </c>
      <c r="R572" s="29">
        <f t="shared" si="465"/>
        <v>0.24382314694408322</v>
      </c>
      <c r="S572" s="29">
        <f t="shared" si="465"/>
        <v>0.14678899082568808</v>
      </c>
      <c r="T572" s="29">
        <f t="shared" si="465"/>
        <v>0.19096509240246407</v>
      </c>
      <c r="U572" s="29">
        <f t="shared" si="465"/>
        <v>0.15352697095435686</v>
      </c>
      <c r="V572" s="29">
        <f t="shared" si="465"/>
        <v>0.31679389312977096</v>
      </c>
      <c r="W572" s="29">
        <f t="shared" si="465"/>
        <v>0.22992700729927007</v>
      </c>
      <c r="X572" s="29">
        <f t="shared" si="465"/>
        <v>0.15384615384615385</v>
      </c>
      <c r="Y572" s="29">
        <f t="shared" si="465"/>
        <v>0.2</v>
      </c>
      <c r="Z572" s="29">
        <f t="shared" si="465"/>
        <v>0.24031007751937986</v>
      </c>
      <c r="AA572" s="29">
        <f t="shared" si="465"/>
        <v>0.29677419354838708</v>
      </c>
      <c r="AB572" s="29">
        <f t="shared" si="465"/>
        <v>0.24840764331210191</v>
      </c>
      <c r="AC572" s="29">
        <f t="shared" si="465"/>
        <v>0.19252873563218389</v>
      </c>
      <c r="AD572" s="29">
        <f t="shared" si="465"/>
        <v>0.2</v>
      </c>
    </row>
    <row r="573" spans="2:30">
      <c r="B573" t="s">
        <v>321</v>
      </c>
      <c r="C573" t="s">
        <v>577</v>
      </c>
      <c r="D573" s="29">
        <f t="shared" si="466"/>
        <v>3.8538624520414594E-2</v>
      </c>
      <c r="E573" s="29">
        <f t="shared" si="465"/>
        <v>6.1224489795918366E-2</v>
      </c>
      <c r="F573" s="29">
        <f t="shared" si="465"/>
        <v>4.0404040404040407E-2</v>
      </c>
      <c r="G573" s="29">
        <f t="shared" si="465"/>
        <v>4.7552447552447551E-2</v>
      </c>
      <c r="H573" s="29">
        <f t="shared" si="465"/>
        <v>3.9215686274509803E-2</v>
      </c>
      <c r="I573" s="29">
        <f t="shared" si="465"/>
        <v>0.04</v>
      </c>
      <c r="J573" s="29">
        <f t="shared" si="465"/>
        <v>3.614457831325301E-2</v>
      </c>
      <c r="K573" s="29">
        <f t="shared" si="465"/>
        <v>3.3464566929133861E-2</v>
      </c>
      <c r="L573" s="29">
        <f t="shared" si="465"/>
        <v>4.2067307692307696E-2</v>
      </c>
      <c r="M573" s="29">
        <f t="shared" si="465"/>
        <v>2.6666666666666668E-2</v>
      </c>
      <c r="N573" s="29">
        <f t="shared" si="465"/>
        <v>3.0888030888030889E-2</v>
      </c>
      <c r="O573" s="29">
        <f t="shared" si="465"/>
        <v>4.3999999999999997E-2</v>
      </c>
      <c r="P573" s="29">
        <f t="shared" si="465"/>
        <v>3.4920634920634921E-2</v>
      </c>
      <c r="Q573" s="29">
        <f t="shared" si="465"/>
        <v>2.3255813953488372E-2</v>
      </c>
      <c r="R573" s="29">
        <f t="shared" si="465"/>
        <v>3.3159947984395317E-2</v>
      </c>
      <c r="S573" s="29">
        <f t="shared" si="465"/>
        <v>3.669724770642202E-2</v>
      </c>
      <c r="T573" s="29">
        <f t="shared" si="465"/>
        <v>5.1334702258726897E-2</v>
      </c>
      <c r="U573" s="29">
        <f t="shared" si="465"/>
        <v>3.3195020746887967E-2</v>
      </c>
      <c r="V573" s="29">
        <f t="shared" si="465"/>
        <v>2.6717557251908396E-2</v>
      </c>
      <c r="W573" s="29">
        <f t="shared" si="465"/>
        <v>3.4063260340632603E-2</v>
      </c>
      <c r="X573" s="29">
        <f t="shared" si="465"/>
        <v>7.6923076923076927E-2</v>
      </c>
      <c r="Y573" s="29">
        <f t="shared" si="465"/>
        <v>3.7037037037037035E-2</v>
      </c>
      <c r="Z573" s="29">
        <f t="shared" si="465"/>
        <v>3.875968992248062E-2</v>
      </c>
      <c r="AA573" s="29">
        <f t="shared" si="465"/>
        <v>3.2258064516129031E-2</v>
      </c>
      <c r="AB573" s="29">
        <f t="shared" si="465"/>
        <v>3.8216560509554139E-2</v>
      </c>
      <c r="AC573" s="29">
        <f t="shared" si="465"/>
        <v>2.0114942528735632E-2</v>
      </c>
      <c r="AD573" s="29">
        <f t="shared" si="465"/>
        <v>1.3333333333333334E-2</v>
      </c>
    </row>
    <row r="574" spans="2:30">
      <c r="B574" t="s">
        <v>322</v>
      </c>
      <c r="C574" t="s">
        <v>577</v>
      </c>
      <c r="D574" s="29">
        <f t="shared" si="466"/>
        <v>0.47208383439271601</v>
      </c>
      <c r="E574" s="29">
        <f t="shared" si="465"/>
        <v>0.50340136054421769</v>
      </c>
      <c r="F574" s="29">
        <f t="shared" si="465"/>
        <v>0.45759924829692272</v>
      </c>
      <c r="G574" s="29">
        <f t="shared" si="465"/>
        <v>0.44195804195804195</v>
      </c>
      <c r="H574" s="29">
        <f t="shared" si="465"/>
        <v>0.37254901960784315</v>
      </c>
      <c r="I574" s="29">
        <f t="shared" si="465"/>
        <v>0.47499999999999998</v>
      </c>
      <c r="J574" s="29">
        <f t="shared" si="465"/>
        <v>0.59036144578313254</v>
      </c>
      <c r="K574" s="29">
        <f t="shared" si="465"/>
        <v>0.52755905511811019</v>
      </c>
      <c r="L574" s="29">
        <f t="shared" si="465"/>
        <v>0.47475961538461536</v>
      </c>
      <c r="M574" s="29">
        <f t="shared" si="465"/>
        <v>0.54</v>
      </c>
      <c r="N574" s="29">
        <f t="shared" si="465"/>
        <v>0.54826254826254828</v>
      </c>
      <c r="O574" s="29">
        <f t="shared" si="465"/>
        <v>0.42399999999999999</v>
      </c>
      <c r="P574" s="29">
        <f t="shared" si="465"/>
        <v>0.42857142857142855</v>
      </c>
      <c r="Q574" s="29">
        <f t="shared" si="465"/>
        <v>0.43189368770764119</v>
      </c>
      <c r="R574" s="29">
        <f t="shared" si="465"/>
        <v>0.50455136540962287</v>
      </c>
      <c r="S574" s="29">
        <f t="shared" si="465"/>
        <v>0.44266055045871561</v>
      </c>
      <c r="T574" s="29">
        <f t="shared" si="465"/>
        <v>0.44969199178644764</v>
      </c>
      <c r="U574" s="29">
        <f t="shared" si="465"/>
        <v>0.49792531120331951</v>
      </c>
      <c r="V574" s="29">
        <f t="shared" si="465"/>
        <v>0.42366412213740456</v>
      </c>
      <c r="W574" s="29">
        <f t="shared" si="465"/>
        <v>0.49148418491484186</v>
      </c>
      <c r="X574" s="29">
        <f t="shared" si="465"/>
        <v>0.58461538461538465</v>
      </c>
      <c r="Y574" s="29">
        <f t="shared" si="465"/>
        <v>0.49259259259259258</v>
      </c>
      <c r="Z574" s="29">
        <f t="shared" si="465"/>
        <v>0.55038759689922478</v>
      </c>
      <c r="AA574" s="29">
        <f t="shared" si="465"/>
        <v>0.44516129032258067</v>
      </c>
      <c r="AB574" s="29">
        <f t="shared" si="465"/>
        <v>0.54140127388535031</v>
      </c>
      <c r="AC574" s="29">
        <f t="shared" si="465"/>
        <v>0.63218390804597702</v>
      </c>
      <c r="AD574" s="29">
        <f t="shared" si="465"/>
        <v>0.56000000000000005</v>
      </c>
    </row>
    <row r="575" spans="2:30">
      <c r="B575" t="s">
        <v>323</v>
      </c>
      <c r="C575" t="s">
        <v>577</v>
      </c>
      <c r="D575" s="29">
        <f t="shared" si="466"/>
        <v>0.17768997308595316</v>
      </c>
      <c r="E575" s="29">
        <f t="shared" si="465"/>
        <v>0.15646258503401361</v>
      </c>
      <c r="F575" s="29">
        <f t="shared" si="465"/>
        <v>0.13777307963354474</v>
      </c>
      <c r="G575" s="29">
        <f t="shared" si="465"/>
        <v>0.19720279720279721</v>
      </c>
      <c r="H575" s="29">
        <f t="shared" si="465"/>
        <v>0.21568627450980393</v>
      </c>
      <c r="I575" s="29">
        <f t="shared" si="465"/>
        <v>0.12</v>
      </c>
      <c r="J575" s="29">
        <f t="shared" si="465"/>
        <v>0.16867469879518071</v>
      </c>
      <c r="K575" s="29">
        <f t="shared" si="465"/>
        <v>0.19094488188976377</v>
      </c>
      <c r="L575" s="29">
        <f t="shared" si="465"/>
        <v>0.17788461538461539</v>
      </c>
      <c r="M575" s="29">
        <f t="shared" si="465"/>
        <v>0.25333333333333335</v>
      </c>
      <c r="N575" s="29">
        <f t="shared" si="465"/>
        <v>0.138996138996139</v>
      </c>
      <c r="O575" s="29">
        <f t="shared" si="465"/>
        <v>0.252</v>
      </c>
      <c r="P575" s="29">
        <f t="shared" si="465"/>
        <v>0.31111111111111112</v>
      </c>
      <c r="Q575" s="29">
        <f t="shared" si="465"/>
        <v>0.36544850498338871</v>
      </c>
      <c r="R575" s="29">
        <f t="shared" si="465"/>
        <v>0.15149544863459039</v>
      </c>
      <c r="S575" s="29">
        <f t="shared" si="465"/>
        <v>0.36238532110091742</v>
      </c>
      <c r="T575" s="29">
        <f t="shared" si="465"/>
        <v>0.29158110882956878</v>
      </c>
      <c r="U575" s="29">
        <f t="shared" si="465"/>
        <v>0.30705394190871371</v>
      </c>
      <c r="V575" s="29">
        <f t="shared" si="465"/>
        <v>0.21755725190839695</v>
      </c>
      <c r="W575" s="29">
        <f t="shared" si="465"/>
        <v>0.24209245742092458</v>
      </c>
      <c r="X575" s="29">
        <f t="shared" si="465"/>
        <v>0.16923076923076924</v>
      </c>
      <c r="Y575" s="29">
        <f t="shared" si="465"/>
        <v>0.26666666666666666</v>
      </c>
      <c r="Z575" s="29">
        <f t="shared" si="465"/>
        <v>0.16279069767441862</v>
      </c>
      <c r="AA575" s="29">
        <f t="shared" si="465"/>
        <v>0.2129032258064516</v>
      </c>
      <c r="AB575" s="29">
        <f t="shared" si="465"/>
        <v>0.1464968152866242</v>
      </c>
      <c r="AC575" s="29">
        <f t="shared" si="465"/>
        <v>0.15517241379310345</v>
      </c>
      <c r="AD575" s="29">
        <f t="shared" si="465"/>
        <v>0.22666666666666666</v>
      </c>
    </row>
    <row r="576" spans="2:30">
      <c r="B576" s="79" t="s">
        <v>16</v>
      </c>
      <c r="C576" s="79" t="s">
        <v>577</v>
      </c>
      <c r="D576" s="102">
        <f t="shared" ref="D576:AD576" si="467">SUM(D569:D575)</f>
        <v>1</v>
      </c>
      <c r="E576" s="102">
        <f t="shared" si="467"/>
        <v>1</v>
      </c>
      <c r="F576" s="102">
        <f t="shared" si="467"/>
        <v>1</v>
      </c>
      <c r="G576" s="102">
        <f t="shared" si="467"/>
        <v>1</v>
      </c>
      <c r="H576" s="102">
        <f t="shared" si="467"/>
        <v>1</v>
      </c>
      <c r="I576" s="102">
        <f t="shared" si="467"/>
        <v>0.99999999999999989</v>
      </c>
      <c r="J576" s="102">
        <f t="shared" si="467"/>
        <v>1</v>
      </c>
      <c r="K576" s="102">
        <f t="shared" si="467"/>
        <v>0.99999999999999989</v>
      </c>
      <c r="L576" s="102">
        <f t="shared" si="467"/>
        <v>1</v>
      </c>
      <c r="M576" s="102">
        <f t="shared" si="467"/>
        <v>1</v>
      </c>
      <c r="N576" s="102">
        <f t="shared" si="467"/>
        <v>1</v>
      </c>
      <c r="O576" s="102">
        <f t="shared" si="467"/>
        <v>1</v>
      </c>
      <c r="P576" s="102">
        <f t="shared" si="467"/>
        <v>1</v>
      </c>
      <c r="Q576" s="102">
        <f t="shared" si="467"/>
        <v>1</v>
      </c>
      <c r="R576" s="102">
        <f t="shared" si="467"/>
        <v>1</v>
      </c>
      <c r="S576" s="102">
        <f t="shared" si="467"/>
        <v>1</v>
      </c>
      <c r="T576" s="102">
        <f t="shared" si="467"/>
        <v>1</v>
      </c>
      <c r="U576" s="102">
        <f t="shared" si="467"/>
        <v>1</v>
      </c>
      <c r="V576" s="102">
        <f t="shared" si="467"/>
        <v>0.99999999999999989</v>
      </c>
      <c r="W576" s="102">
        <f t="shared" si="467"/>
        <v>1</v>
      </c>
      <c r="X576" s="102">
        <f t="shared" si="467"/>
        <v>1</v>
      </c>
      <c r="Y576" s="102">
        <f t="shared" si="467"/>
        <v>1</v>
      </c>
      <c r="Z576" s="102">
        <f t="shared" si="467"/>
        <v>1</v>
      </c>
      <c r="AA576" s="102">
        <f t="shared" si="467"/>
        <v>1</v>
      </c>
      <c r="AB576" s="102">
        <f t="shared" si="467"/>
        <v>1</v>
      </c>
      <c r="AC576" s="102">
        <f t="shared" si="467"/>
        <v>1</v>
      </c>
      <c r="AD576" s="102">
        <f t="shared" si="467"/>
        <v>1</v>
      </c>
    </row>
    <row r="580" spans="2:30" ht="15.5">
      <c r="B580" s="101" t="s">
        <v>628</v>
      </c>
    </row>
    <row r="581" spans="2:30">
      <c r="B581" s="81" t="s">
        <v>573</v>
      </c>
      <c r="C581" s="81" t="s">
        <v>63</v>
      </c>
      <c r="D581" s="81" t="str">
        <f>D568</f>
        <v>IE</v>
      </c>
      <c r="E581" s="81" t="str">
        <f t="shared" ref="E581:AD581" si="468">E568</f>
        <v>IE-CW</v>
      </c>
      <c r="F581" s="81" t="str">
        <f t="shared" si="468"/>
        <v>IE-D</v>
      </c>
      <c r="G581" s="81" t="str">
        <f t="shared" si="468"/>
        <v>IE-KE</v>
      </c>
      <c r="H581" s="81" t="str">
        <f t="shared" si="468"/>
        <v>IE-KK</v>
      </c>
      <c r="I581" s="81" t="str">
        <f t="shared" si="468"/>
        <v>IE-LS</v>
      </c>
      <c r="J581" s="81" t="str">
        <f t="shared" si="468"/>
        <v>IE-LD</v>
      </c>
      <c r="K581" s="81" t="str">
        <f t="shared" si="468"/>
        <v>IE-LH</v>
      </c>
      <c r="L581" s="81" t="str">
        <f t="shared" si="468"/>
        <v>IE-MH</v>
      </c>
      <c r="M581" s="81" t="str">
        <f t="shared" si="468"/>
        <v>IE-OY</v>
      </c>
      <c r="N581" s="81" t="str">
        <f t="shared" si="468"/>
        <v>IE-WH</v>
      </c>
      <c r="O581" s="81" t="str">
        <f t="shared" si="468"/>
        <v>IE-WX</v>
      </c>
      <c r="P581" s="81" t="str">
        <f t="shared" si="468"/>
        <v>IE-WW</v>
      </c>
      <c r="Q581" s="81" t="str">
        <f t="shared" si="468"/>
        <v>IE-CE</v>
      </c>
      <c r="R581" s="81" t="str">
        <f t="shared" si="468"/>
        <v>IE-CO</v>
      </c>
      <c r="S581" s="81" t="str">
        <f t="shared" si="468"/>
        <v>IE-KY</v>
      </c>
      <c r="T581" s="81" t="str">
        <f t="shared" si="468"/>
        <v>IE-LK</v>
      </c>
      <c r="U581" s="81" t="str">
        <f t="shared" si="468"/>
        <v>IE-TA</v>
      </c>
      <c r="V581" s="81" t="str">
        <f t="shared" si="468"/>
        <v>IE-WD</v>
      </c>
      <c r="W581" s="81" t="str">
        <f t="shared" si="468"/>
        <v>IE-G</v>
      </c>
      <c r="X581" s="81" t="str">
        <f t="shared" si="468"/>
        <v>IE-LM</v>
      </c>
      <c r="Y581" s="81" t="str">
        <f t="shared" si="468"/>
        <v>IE-MO</v>
      </c>
      <c r="Z581" s="81" t="str">
        <f t="shared" si="468"/>
        <v>IE-RN</v>
      </c>
      <c r="AA581" s="81" t="str">
        <f t="shared" si="468"/>
        <v>IE-SO</v>
      </c>
      <c r="AB581" s="81" t="str">
        <f t="shared" si="468"/>
        <v>IE-CN</v>
      </c>
      <c r="AC581" s="81" t="str">
        <f t="shared" si="468"/>
        <v>IE-DL</v>
      </c>
      <c r="AD581" s="81" t="str">
        <f t="shared" si="468"/>
        <v>IE-MN</v>
      </c>
    </row>
    <row r="582" spans="2:30">
      <c r="B582" t="s">
        <v>317</v>
      </c>
      <c r="C582" t="s">
        <v>578</v>
      </c>
      <c r="D582" s="177">
        <v>1.376629219195896</v>
      </c>
      <c r="E582" s="177">
        <v>1.376629219195896</v>
      </c>
      <c r="F582" s="177">
        <v>1.376629219195896</v>
      </c>
      <c r="G582" s="177">
        <v>1.376629219195896</v>
      </c>
      <c r="H582" s="177">
        <v>1.376629219195896</v>
      </c>
      <c r="I582" s="177">
        <v>1.376629219195896</v>
      </c>
      <c r="J582" s="177">
        <v>1.376629219195896</v>
      </c>
      <c r="K582" s="177">
        <v>1.376629219195896</v>
      </c>
      <c r="L582" s="177">
        <v>1.376629219195896</v>
      </c>
      <c r="M582" s="177">
        <v>1.376629219195896</v>
      </c>
      <c r="N582" s="177">
        <v>1.376629219195896</v>
      </c>
      <c r="O582" s="177">
        <v>1.376629219195896</v>
      </c>
      <c r="P582" s="177">
        <v>1.376629219195896</v>
      </c>
      <c r="Q582" s="177">
        <v>1.376629219195896</v>
      </c>
      <c r="R582" s="177">
        <v>1.376629219195896</v>
      </c>
      <c r="S582" s="177">
        <v>1.376629219195896</v>
      </c>
      <c r="T582" s="177">
        <v>1.376629219195896</v>
      </c>
      <c r="U582" s="177">
        <v>1.376629219195896</v>
      </c>
      <c r="V582" s="177">
        <v>1.376629219195896</v>
      </c>
      <c r="W582" s="177">
        <v>1.376629219195896</v>
      </c>
      <c r="X582" s="177">
        <v>1.376629219195896</v>
      </c>
      <c r="Y582" s="177">
        <v>1.376629219195896</v>
      </c>
      <c r="Z582" s="177">
        <v>1.376629219195896</v>
      </c>
      <c r="AA582" s="177">
        <v>1.376629219195896</v>
      </c>
      <c r="AB582" s="177">
        <v>1.376629219195896</v>
      </c>
      <c r="AC582" s="177">
        <v>1.376629219195896</v>
      </c>
      <c r="AD582" s="177">
        <v>1.376629219195896</v>
      </c>
    </row>
    <row r="583" spans="2:30">
      <c r="B583" t="s">
        <v>318</v>
      </c>
      <c r="C583" t="s">
        <v>578</v>
      </c>
      <c r="D583" s="177">
        <v>1.3798479828493471</v>
      </c>
      <c r="E583" s="177">
        <v>1.3798479828493471</v>
      </c>
      <c r="F583" s="177">
        <v>1.3798479828493471</v>
      </c>
      <c r="G583" s="177">
        <v>1.3798479828493471</v>
      </c>
      <c r="H583" s="177">
        <v>1.3798479828493471</v>
      </c>
      <c r="I583" s="177">
        <v>1.3798479828493471</v>
      </c>
      <c r="J583" s="177">
        <v>1.3798479828493471</v>
      </c>
      <c r="K583" s="177">
        <v>1.3798479828493471</v>
      </c>
      <c r="L583" s="177">
        <v>1.3798479828493471</v>
      </c>
      <c r="M583" s="177">
        <v>1.3798479828493471</v>
      </c>
      <c r="N583" s="177">
        <v>1.3798479828493471</v>
      </c>
      <c r="O583" s="177">
        <v>1.3798479828493471</v>
      </c>
      <c r="P583" s="177">
        <v>1.3798479828493471</v>
      </c>
      <c r="Q583" s="177">
        <v>1.3798479828493471</v>
      </c>
      <c r="R583" s="177">
        <v>1.3798479828493471</v>
      </c>
      <c r="S583" s="177">
        <v>1.3798479828493471</v>
      </c>
      <c r="T583" s="177">
        <v>1.3798479828493471</v>
      </c>
      <c r="U583" s="177">
        <v>1.3798479828493471</v>
      </c>
      <c r="V583" s="177">
        <v>1.3798479828493471</v>
      </c>
      <c r="W583" s="177">
        <v>1.3798479828493471</v>
      </c>
      <c r="X583" s="177">
        <v>1.3798479828493471</v>
      </c>
      <c r="Y583" s="177">
        <v>1.3798479828493471</v>
      </c>
      <c r="Z583" s="177">
        <v>1.3798479828493471</v>
      </c>
      <c r="AA583" s="177">
        <v>1.3798479828493471</v>
      </c>
      <c r="AB583" s="177">
        <v>1.3798479828493471</v>
      </c>
      <c r="AC583" s="177">
        <v>1.3798479828493471</v>
      </c>
      <c r="AD583" s="177">
        <v>1.3798479828493471</v>
      </c>
    </row>
    <row r="584" spans="2:30">
      <c r="B584" t="s">
        <v>319</v>
      </c>
      <c r="C584" t="s">
        <v>578</v>
      </c>
      <c r="D584" s="177">
        <v>1.4199749047648353</v>
      </c>
      <c r="E584" s="177">
        <v>1.4199749047648353</v>
      </c>
      <c r="F584" s="177">
        <v>1.4199749047648353</v>
      </c>
      <c r="G584" s="177">
        <v>1.4199749047648353</v>
      </c>
      <c r="H584" s="177">
        <v>1.4199749047648353</v>
      </c>
      <c r="I584" s="177">
        <v>1.4199749047648353</v>
      </c>
      <c r="J584" s="177">
        <v>1.4199749047648353</v>
      </c>
      <c r="K584" s="177">
        <v>1.4199749047648353</v>
      </c>
      <c r="L584" s="177">
        <v>1.4199749047648353</v>
      </c>
      <c r="M584" s="177">
        <v>1.4199749047648353</v>
      </c>
      <c r="N584" s="177">
        <v>1.4199749047648353</v>
      </c>
      <c r="O584" s="177">
        <v>1.4199749047648353</v>
      </c>
      <c r="P584" s="177">
        <v>1.4199749047648353</v>
      </c>
      <c r="Q584" s="177">
        <v>1.4199749047648353</v>
      </c>
      <c r="R584" s="177">
        <v>1.4199749047648353</v>
      </c>
      <c r="S584" s="177">
        <v>1.4199749047648353</v>
      </c>
      <c r="T584" s="177">
        <v>1.4199749047648353</v>
      </c>
      <c r="U584" s="177">
        <v>1.4199749047648353</v>
      </c>
      <c r="V584" s="177">
        <v>1.4199749047648353</v>
      </c>
      <c r="W584" s="177">
        <v>1.4199749047648353</v>
      </c>
      <c r="X584" s="177">
        <v>1.4199749047648353</v>
      </c>
      <c r="Y584" s="177">
        <v>1.4199749047648353</v>
      </c>
      <c r="Z584" s="177">
        <v>1.4199749047648353</v>
      </c>
      <c r="AA584" s="177">
        <v>1.4199749047648353</v>
      </c>
      <c r="AB584" s="177">
        <v>1.4199749047648353</v>
      </c>
      <c r="AC584" s="177">
        <v>1.4199749047648353</v>
      </c>
      <c r="AD584" s="177">
        <v>1.4199749047648353</v>
      </c>
    </row>
    <row r="585" spans="2:30">
      <c r="B585" t="s">
        <v>320</v>
      </c>
      <c r="C585" t="s">
        <v>578</v>
      </c>
      <c r="D585" s="177">
        <v>1.4290054727038648</v>
      </c>
      <c r="E585" s="177">
        <v>1.4290054727038648</v>
      </c>
      <c r="F585" s="177">
        <v>1.4290054727038648</v>
      </c>
      <c r="G585" s="177">
        <v>1.4290054727038648</v>
      </c>
      <c r="H585" s="177">
        <v>1.4290054727038648</v>
      </c>
      <c r="I585" s="177">
        <v>1.4290054727038648</v>
      </c>
      <c r="J585" s="177">
        <v>1.4290054727038648</v>
      </c>
      <c r="K585" s="177">
        <v>1.4290054727038648</v>
      </c>
      <c r="L585" s="177">
        <v>1.4290054727038648</v>
      </c>
      <c r="M585" s="177">
        <v>1.4290054727038648</v>
      </c>
      <c r="N585" s="177">
        <v>1.4290054727038648</v>
      </c>
      <c r="O585" s="177">
        <v>1.4290054727038648</v>
      </c>
      <c r="P585" s="177">
        <v>1.4290054727038648</v>
      </c>
      <c r="Q585" s="177">
        <v>1.4290054727038648</v>
      </c>
      <c r="R585" s="177">
        <v>1.4290054727038648</v>
      </c>
      <c r="S585" s="177">
        <v>1.4290054727038648</v>
      </c>
      <c r="T585" s="177">
        <v>1.4290054727038648</v>
      </c>
      <c r="U585" s="177">
        <v>1.4290054727038648</v>
      </c>
      <c r="V585" s="177">
        <v>1.4290054727038648</v>
      </c>
      <c r="W585" s="177">
        <v>1.4290054727038648</v>
      </c>
      <c r="X585" s="177">
        <v>1.4290054727038648</v>
      </c>
      <c r="Y585" s="177">
        <v>1.4290054727038648</v>
      </c>
      <c r="Z585" s="177">
        <v>1.4290054727038648</v>
      </c>
      <c r="AA585" s="177">
        <v>1.4290054727038648</v>
      </c>
      <c r="AB585" s="177">
        <v>1.4290054727038648</v>
      </c>
      <c r="AC585" s="177">
        <v>1.4290054727038648</v>
      </c>
      <c r="AD585" s="177">
        <v>1.4290054727038648</v>
      </c>
    </row>
    <row r="586" spans="2:30">
      <c r="B586" t="s">
        <v>321</v>
      </c>
      <c r="C586" t="s">
        <v>578</v>
      </c>
      <c r="D586" s="177">
        <v>1.6214274500716734</v>
      </c>
      <c r="E586" s="177">
        <v>1.6214274500716734</v>
      </c>
      <c r="F586" s="177">
        <v>1.6214274500716734</v>
      </c>
      <c r="G586" s="177">
        <v>1.6214274500716734</v>
      </c>
      <c r="H586" s="177">
        <v>1.6214274500716734</v>
      </c>
      <c r="I586" s="177">
        <v>1.6214274500716734</v>
      </c>
      <c r="J586" s="177">
        <v>1.6214274500716734</v>
      </c>
      <c r="K586" s="177">
        <v>1.6214274500716734</v>
      </c>
      <c r="L586" s="177">
        <v>1.6214274500716734</v>
      </c>
      <c r="M586" s="177">
        <v>1.6214274500716734</v>
      </c>
      <c r="N586" s="177">
        <v>1.6214274500716734</v>
      </c>
      <c r="O586" s="177">
        <v>1.6214274500716734</v>
      </c>
      <c r="P586" s="177">
        <v>1.6214274500716734</v>
      </c>
      <c r="Q586" s="177">
        <v>1.6214274500716734</v>
      </c>
      <c r="R586" s="177">
        <v>1.6214274500716734</v>
      </c>
      <c r="S586" s="177">
        <v>1.6214274500716734</v>
      </c>
      <c r="T586" s="177">
        <v>1.6214274500716734</v>
      </c>
      <c r="U586" s="177">
        <v>1.6214274500716734</v>
      </c>
      <c r="V586" s="177">
        <v>1.6214274500716734</v>
      </c>
      <c r="W586" s="177">
        <v>1.6214274500716734</v>
      </c>
      <c r="X586" s="177">
        <v>1.6214274500716734</v>
      </c>
      <c r="Y586" s="177">
        <v>1.6214274500716734</v>
      </c>
      <c r="Z586" s="177">
        <v>1.6214274500716734</v>
      </c>
      <c r="AA586" s="177">
        <v>1.6214274500716734</v>
      </c>
      <c r="AB586" s="177">
        <v>1.6214274500716734</v>
      </c>
      <c r="AC586" s="177">
        <v>1.6214274500716734</v>
      </c>
      <c r="AD586" s="177">
        <v>1.6214274500716734</v>
      </c>
    </row>
    <row r="587" spans="2:30">
      <c r="B587" t="s">
        <v>322</v>
      </c>
      <c r="C587" t="s">
        <v>578</v>
      </c>
      <c r="D587" s="177">
        <v>1.7083807871715502</v>
      </c>
      <c r="E587" s="177">
        <v>1.7083807871715502</v>
      </c>
      <c r="F587" s="177">
        <v>1.7083807871715502</v>
      </c>
      <c r="G587" s="177">
        <v>1.7083807871715502</v>
      </c>
      <c r="H587" s="177">
        <v>1.7083807871715502</v>
      </c>
      <c r="I587" s="177">
        <v>1.7083807871715502</v>
      </c>
      <c r="J587" s="177">
        <v>1.7083807871715502</v>
      </c>
      <c r="K587" s="177">
        <v>1.7083807871715502</v>
      </c>
      <c r="L587" s="177">
        <v>1.7083807871715502</v>
      </c>
      <c r="M587" s="177">
        <v>1.7083807871715502</v>
      </c>
      <c r="N587" s="177">
        <v>1.7083807871715502</v>
      </c>
      <c r="O587" s="177">
        <v>1.7083807871715502</v>
      </c>
      <c r="P587" s="177">
        <v>1.7083807871715502</v>
      </c>
      <c r="Q587" s="177">
        <v>1.7083807871715502</v>
      </c>
      <c r="R587" s="177">
        <v>1.7083807871715502</v>
      </c>
      <c r="S587" s="177">
        <v>1.7083807871715502</v>
      </c>
      <c r="T587" s="177">
        <v>1.7083807871715502</v>
      </c>
      <c r="U587" s="177">
        <v>1.7083807871715502</v>
      </c>
      <c r="V587" s="177">
        <v>1.7083807871715502</v>
      </c>
      <c r="W587" s="177">
        <v>1.7083807871715502</v>
      </c>
      <c r="X587" s="177">
        <v>1.7083807871715502</v>
      </c>
      <c r="Y587" s="177">
        <v>1.7083807871715502</v>
      </c>
      <c r="Z587" s="177">
        <v>1.7083807871715502</v>
      </c>
      <c r="AA587" s="177">
        <v>1.7083807871715502</v>
      </c>
      <c r="AB587" s="177">
        <v>1.7083807871715502</v>
      </c>
      <c r="AC587" s="177">
        <v>1.7083807871715502</v>
      </c>
      <c r="AD587" s="177">
        <v>1.7083807871715502</v>
      </c>
    </row>
    <row r="588" spans="2:30">
      <c r="B588" s="79" t="s">
        <v>323</v>
      </c>
      <c r="C588" s="79" t="s">
        <v>578</v>
      </c>
      <c r="D588" s="178">
        <v>1.8833978763305677</v>
      </c>
      <c r="E588" s="178">
        <v>1.8833978763305677</v>
      </c>
      <c r="F588" s="178">
        <v>1.8833978763305677</v>
      </c>
      <c r="G588" s="178">
        <v>1.8833978763305677</v>
      </c>
      <c r="H588" s="178">
        <v>1.8833978763305677</v>
      </c>
      <c r="I588" s="178">
        <v>1.8833978763305677</v>
      </c>
      <c r="J588" s="178">
        <v>1.8833978763305677</v>
      </c>
      <c r="K588" s="178">
        <v>1.8833978763305677</v>
      </c>
      <c r="L588" s="178">
        <v>1.8833978763305677</v>
      </c>
      <c r="M588" s="178">
        <v>1.8833978763305677</v>
      </c>
      <c r="N588" s="178">
        <v>1.8833978763305677</v>
      </c>
      <c r="O588" s="178">
        <v>1.8833978763305677</v>
      </c>
      <c r="P588" s="178">
        <v>1.8833978763305677</v>
      </c>
      <c r="Q588" s="178">
        <v>1.8833978763305677</v>
      </c>
      <c r="R588" s="178">
        <v>1.8833978763305677</v>
      </c>
      <c r="S588" s="178">
        <v>1.8833978763305677</v>
      </c>
      <c r="T588" s="178">
        <v>1.8833978763305677</v>
      </c>
      <c r="U588" s="178">
        <v>1.8833978763305677</v>
      </c>
      <c r="V588" s="178">
        <v>1.8833978763305677</v>
      </c>
      <c r="W588" s="178">
        <v>1.8833978763305677</v>
      </c>
      <c r="X588" s="178">
        <v>1.8833978763305677</v>
      </c>
      <c r="Y588" s="178">
        <v>1.8833978763305677</v>
      </c>
      <c r="Z588" s="178">
        <v>1.8833978763305677</v>
      </c>
      <c r="AA588" s="178">
        <v>1.8833978763305677</v>
      </c>
      <c r="AB588" s="178">
        <v>1.8833978763305677</v>
      </c>
      <c r="AC588" s="178">
        <v>1.8833978763305677</v>
      </c>
      <c r="AD588" s="178">
        <v>1.8833978763305677</v>
      </c>
    </row>
    <row r="589" spans="2:30">
      <c r="B589" t="s">
        <v>582</v>
      </c>
    </row>
    <row r="593" spans="2:30" ht="15.5">
      <c r="B593" s="101" t="s">
        <v>628</v>
      </c>
    </row>
    <row r="594" spans="2:30">
      <c r="B594" s="81" t="s">
        <v>573</v>
      </c>
      <c r="C594" s="81" t="s">
        <v>63</v>
      </c>
      <c r="D594" s="81" t="str">
        <f t="shared" ref="D594:AD594" si="469">D581</f>
        <v>IE</v>
      </c>
      <c r="E594" s="81" t="str">
        <f t="shared" si="469"/>
        <v>IE-CW</v>
      </c>
      <c r="F594" s="81" t="str">
        <f t="shared" si="469"/>
        <v>IE-D</v>
      </c>
      <c r="G594" s="81" t="str">
        <f t="shared" si="469"/>
        <v>IE-KE</v>
      </c>
      <c r="H594" s="81" t="str">
        <f t="shared" si="469"/>
        <v>IE-KK</v>
      </c>
      <c r="I594" s="81" t="str">
        <f t="shared" si="469"/>
        <v>IE-LS</v>
      </c>
      <c r="J594" s="81" t="str">
        <f t="shared" si="469"/>
        <v>IE-LD</v>
      </c>
      <c r="K594" s="81" t="str">
        <f t="shared" si="469"/>
        <v>IE-LH</v>
      </c>
      <c r="L594" s="81" t="str">
        <f t="shared" si="469"/>
        <v>IE-MH</v>
      </c>
      <c r="M594" s="81" t="str">
        <f t="shared" si="469"/>
        <v>IE-OY</v>
      </c>
      <c r="N594" s="81" t="str">
        <f t="shared" si="469"/>
        <v>IE-WH</v>
      </c>
      <c r="O594" s="81" t="str">
        <f t="shared" si="469"/>
        <v>IE-WX</v>
      </c>
      <c r="P594" s="81" t="str">
        <f t="shared" si="469"/>
        <v>IE-WW</v>
      </c>
      <c r="Q594" s="81" t="str">
        <f t="shared" si="469"/>
        <v>IE-CE</v>
      </c>
      <c r="R594" s="81" t="str">
        <f t="shared" si="469"/>
        <v>IE-CO</v>
      </c>
      <c r="S594" s="81" t="str">
        <f t="shared" si="469"/>
        <v>IE-KY</v>
      </c>
      <c r="T594" s="81" t="str">
        <f t="shared" si="469"/>
        <v>IE-LK</v>
      </c>
      <c r="U594" s="81" t="str">
        <f t="shared" si="469"/>
        <v>IE-TA</v>
      </c>
      <c r="V594" s="81" t="str">
        <f t="shared" si="469"/>
        <v>IE-WD</v>
      </c>
      <c r="W594" s="81" t="str">
        <f t="shared" si="469"/>
        <v>IE-G</v>
      </c>
      <c r="X594" s="81" t="str">
        <f t="shared" si="469"/>
        <v>IE-LM</v>
      </c>
      <c r="Y594" s="81" t="str">
        <f t="shared" si="469"/>
        <v>IE-MO</v>
      </c>
      <c r="Z594" s="81" t="str">
        <f t="shared" si="469"/>
        <v>IE-RN</v>
      </c>
      <c r="AA594" s="81" t="str">
        <f t="shared" si="469"/>
        <v>IE-SO</v>
      </c>
      <c r="AB594" s="81" t="str">
        <f t="shared" si="469"/>
        <v>IE-CN</v>
      </c>
      <c r="AC594" s="81" t="str">
        <f t="shared" si="469"/>
        <v>IE-DL</v>
      </c>
      <c r="AD594" s="81" t="str">
        <f t="shared" si="469"/>
        <v>IE-MN</v>
      </c>
    </row>
    <row r="595" spans="2:30">
      <c r="B595" t="s">
        <v>594</v>
      </c>
      <c r="C595" t="s">
        <v>578</v>
      </c>
      <c r="D595" s="177">
        <f t="shared" ref="D595:W595" si="470">SUMPRODUCT(D569:D575,D582:D588)</f>
        <v>1.648925343582121</v>
      </c>
      <c r="E595" s="177">
        <f t="shared" si="470"/>
        <v>1.6524583011555254</v>
      </c>
      <c r="F595" s="177">
        <f t="shared" si="470"/>
        <v>1.6271397950310984</v>
      </c>
      <c r="G595" s="177">
        <f t="shared" si="470"/>
        <v>1.6511468175123767</v>
      </c>
      <c r="H595" s="177">
        <f t="shared" si="470"/>
        <v>1.6385501018322151</v>
      </c>
      <c r="I595" s="177">
        <f t="shared" si="470"/>
        <v>1.6238424089265415</v>
      </c>
      <c r="J595" s="177">
        <f t="shared" si="470"/>
        <v>1.677428598292477</v>
      </c>
      <c r="K595" s="177">
        <f t="shared" si="470"/>
        <v>1.6694890113588812</v>
      </c>
      <c r="L595" s="177">
        <f t="shared" si="470"/>
        <v>1.6505331198860089</v>
      </c>
      <c r="M595" s="177">
        <f t="shared" si="470"/>
        <v>1.7001121374983212</v>
      </c>
      <c r="N595" s="177">
        <f t="shared" si="470"/>
        <v>1.6512788202093285</v>
      </c>
      <c r="O595" s="177">
        <f t="shared" si="470"/>
        <v>1.670434058756276</v>
      </c>
      <c r="P595" s="177">
        <f t="shared" si="470"/>
        <v>1.6967664365886974</v>
      </c>
      <c r="Q595" s="177">
        <f t="shared" si="470"/>
        <v>1.7200478523770075</v>
      </c>
      <c r="R595" s="177">
        <f t="shared" si="470"/>
        <v>1.6445789749275215</v>
      </c>
      <c r="S595" s="177">
        <f t="shared" si="470"/>
        <v>1.7242968356934796</v>
      </c>
      <c r="T595" s="177">
        <f t="shared" si="470"/>
        <v>1.6968601340469815</v>
      </c>
      <c r="U595" s="177">
        <f t="shared" si="470"/>
        <v>1.7139490008680254</v>
      </c>
      <c r="V595" s="177">
        <f t="shared" si="470"/>
        <v>1.6512263066063597</v>
      </c>
      <c r="W595" s="177">
        <f t="shared" si="470"/>
        <v>1.6828515427733044</v>
      </c>
      <c r="X595" s="177">
        <f>D595</f>
        <v>1.648925343582121</v>
      </c>
      <c r="Y595" s="177">
        <f t="shared" ref="Y595:AD595" si="471">SUMPRODUCT(Y569:Y575,Y582:Y588)</f>
        <v>1.6948882841522495</v>
      </c>
      <c r="Z595" s="177">
        <f t="shared" si="471"/>
        <v>1.6641292488454651</v>
      </c>
      <c r="AA595" s="177">
        <f t="shared" si="471"/>
        <v>1.6562047937936228</v>
      </c>
      <c r="AB595" s="177">
        <f t="shared" si="471"/>
        <v>1.6539502918479294</v>
      </c>
      <c r="AC595" s="177">
        <f t="shared" si="471"/>
        <v>1.6800017739116448</v>
      </c>
      <c r="AD595" s="177">
        <f t="shared" si="471"/>
        <v>1.691016886659392</v>
      </c>
    </row>
    <row r="596" spans="2:30">
      <c r="B596" s="79"/>
      <c r="C596" s="79" t="s">
        <v>566</v>
      </c>
      <c r="D596" s="180">
        <f>1000/D595</f>
        <v>606.45559478611847</v>
      </c>
      <c r="E596" s="180">
        <f>1000/E595</f>
        <v>605.15899209119129</v>
      </c>
      <c r="F596" s="180">
        <f>1000/F595</f>
        <v>614.57534445028284</v>
      </c>
      <c r="G596" s="180">
        <f>1000/G595</f>
        <v>605.63966171500329</v>
      </c>
      <c r="H596" s="180">
        <f t="shared" ref="H596" si="472">1000/H595</f>
        <v>610.29565033245376</v>
      </c>
      <c r="I596" s="180">
        <f t="shared" ref="I596" si="473">1000/I595</f>
        <v>615.82330557622322</v>
      </c>
      <c r="J596" s="180">
        <f t="shared" ref="J596" si="474">1000/J595</f>
        <v>596.15056105394933</v>
      </c>
      <c r="K596" s="180">
        <f t="shared" ref="K596" si="475">1000/K595</f>
        <v>598.9856735780786</v>
      </c>
      <c r="L596" s="180">
        <f t="shared" ref="L596" si="476">1000/L595</f>
        <v>605.86484933368877</v>
      </c>
      <c r="M596" s="180">
        <f t="shared" ref="M596" si="477">1000/M595</f>
        <v>588.19649477444398</v>
      </c>
      <c r="N596" s="180">
        <f t="shared" ref="N596" si="478">1000/N595</f>
        <v>605.59124707554383</v>
      </c>
      <c r="O596" s="180">
        <f t="shared" ref="O596" si="479">1000/O595</f>
        <v>598.64679767398388</v>
      </c>
      <c r="P596" s="180">
        <f t="shared" ref="P596" si="480">1000/P595</f>
        <v>589.35630646400148</v>
      </c>
      <c r="Q596" s="180">
        <f t="shared" ref="Q596" si="481">1000/Q595</f>
        <v>581.3791742003325</v>
      </c>
      <c r="R596" s="180">
        <f t="shared" ref="R596" si="482">1000/R595</f>
        <v>608.05836341430256</v>
      </c>
      <c r="S596" s="180">
        <f t="shared" ref="S596" si="483">1000/S595</f>
        <v>579.94654939897225</v>
      </c>
      <c r="T596" s="180">
        <f t="shared" ref="T596" si="484">1000/T595</f>
        <v>589.32376330571071</v>
      </c>
      <c r="U596" s="180">
        <f t="shared" ref="U596" si="485">1000/U595</f>
        <v>583.44793193586997</v>
      </c>
      <c r="V596" s="180">
        <f t="shared" ref="V596" si="486">1000/V595</f>
        <v>605.6105065666161</v>
      </c>
      <c r="W596" s="180">
        <f t="shared" ref="W596" si="487">1000/W595</f>
        <v>594.2294816760965</v>
      </c>
      <c r="X596" s="180">
        <f t="shared" ref="X596" si="488">1000/X595</f>
        <v>606.45559478611847</v>
      </c>
      <c r="Y596" s="180">
        <f t="shared" ref="Y596" si="489">1000/Y595</f>
        <v>590.00938843599408</v>
      </c>
      <c r="Z596" s="180">
        <f t="shared" ref="Z596" si="490">1000/Z595</f>
        <v>600.914863249821</v>
      </c>
      <c r="AA596" s="180">
        <f t="shared" ref="AA596" si="491">1000/AA595</f>
        <v>603.79006494085081</v>
      </c>
      <c r="AB596" s="180">
        <f t="shared" ref="AB596" si="492">1000/AB595</f>
        <v>604.61309201905806</v>
      </c>
      <c r="AC596" s="180">
        <f t="shared" ref="AC596" si="493">1000/AC595</f>
        <v>595.23746672697996</v>
      </c>
      <c r="AD596" s="180">
        <f t="shared" ref="AD596" si="494">1000/AD595</f>
        <v>591.36015014935924</v>
      </c>
    </row>
    <row r="600" spans="2:30">
      <c r="B600" s="182"/>
      <c r="C600" s="182"/>
      <c r="D600" s="182"/>
      <c r="E600" s="182"/>
      <c r="F600" s="182"/>
      <c r="G600" s="182"/>
      <c r="H600" s="182"/>
      <c r="I600" s="182"/>
      <c r="J600" s="182"/>
      <c r="K600" s="182"/>
      <c r="L600" s="182"/>
      <c r="M600" s="182"/>
      <c r="N600" s="182"/>
      <c r="O600" s="182"/>
      <c r="P600" s="182"/>
      <c r="Q600" s="182"/>
      <c r="R600" s="182"/>
      <c r="S600" s="182"/>
      <c r="T600" s="182"/>
      <c r="U600" s="182"/>
      <c r="V600" s="182"/>
      <c r="W600" s="182"/>
      <c r="X600" s="182"/>
      <c r="Y600" s="182"/>
      <c r="Z600" s="182"/>
      <c r="AA600" s="182"/>
      <c r="AB600" s="182"/>
      <c r="AC600" s="182"/>
      <c r="AD600" s="182"/>
    </row>
    <row r="601" spans="2:30" ht="15.5">
      <c r="B601" s="101" t="s">
        <v>629</v>
      </c>
    </row>
    <row r="602" spans="2:30">
      <c r="B602" s="81" t="s">
        <v>573</v>
      </c>
      <c r="C602" s="81" t="s">
        <v>63</v>
      </c>
      <c r="D602" s="81" t="str">
        <f t="shared" ref="D602:AD602" si="495">D594</f>
        <v>IE</v>
      </c>
      <c r="E602" s="81" t="str">
        <f t="shared" si="495"/>
        <v>IE-CW</v>
      </c>
      <c r="F602" s="81" t="str">
        <f t="shared" si="495"/>
        <v>IE-D</v>
      </c>
      <c r="G602" s="81" t="str">
        <f t="shared" si="495"/>
        <v>IE-KE</v>
      </c>
      <c r="H602" s="81" t="str">
        <f t="shared" si="495"/>
        <v>IE-KK</v>
      </c>
      <c r="I602" s="81" t="str">
        <f t="shared" si="495"/>
        <v>IE-LS</v>
      </c>
      <c r="J602" s="81" t="str">
        <f t="shared" si="495"/>
        <v>IE-LD</v>
      </c>
      <c r="K602" s="81" t="str">
        <f t="shared" si="495"/>
        <v>IE-LH</v>
      </c>
      <c r="L602" s="81" t="str">
        <f t="shared" si="495"/>
        <v>IE-MH</v>
      </c>
      <c r="M602" s="81" t="str">
        <f t="shared" si="495"/>
        <v>IE-OY</v>
      </c>
      <c r="N602" s="81" t="str">
        <f t="shared" si="495"/>
        <v>IE-WH</v>
      </c>
      <c r="O602" s="81" t="str">
        <f t="shared" si="495"/>
        <v>IE-WX</v>
      </c>
      <c r="P602" s="81" t="str">
        <f t="shared" si="495"/>
        <v>IE-WW</v>
      </c>
      <c r="Q602" s="81" t="str">
        <f t="shared" si="495"/>
        <v>IE-CE</v>
      </c>
      <c r="R602" s="81" t="str">
        <f t="shared" si="495"/>
        <v>IE-CO</v>
      </c>
      <c r="S602" s="81" t="str">
        <f t="shared" si="495"/>
        <v>IE-KY</v>
      </c>
      <c r="T602" s="81" t="str">
        <f t="shared" si="495"/>
        <v>IE-LK</v>
      </c>
      <c r="U602" s="81" t="str">
        <f t="shared" si="495"/>
        <v>IE-TA</v>
      </c>
      <c r="V602" s="81" t="str">
        <f t="shared" si="495"/>
        <v>IE-WD</v>
      </c>
      <c r="W602" s="81" t="str">
        <f t="shared" si="495"/>
        <v>IE-G</v>
      </c>
      <c r="X602" s="81" t="str">
        <f t="shared" si="495"/>
        <v>IE-LM</v>
      </c>
      <c r="Y602" s="81" t="str">
        <f t="shared" si="495"/>
        <v>IE-MO</v>
      </c>
      <c r="Z602" s="81" t="str">
        <f t="shared" si="495"/>
        <v>IE-RN</v>
      </c>
      <c r="AA602" s="81" t="str">
        <f t="shared" si="495"/>
        <v>IE-SO</v>
      </c>
      <c r="AB602" s="81" t="str">
        <f t="shared" si="495"/>
        <v>IE-CN</v>
      </c>
      <c r="AC602" s="81" t="str">
        <f t="shared" si="495"/>
        <v>IE-DL</v>
      </c>
      <c r="AD602" s="81" t="str">
        <f t="shared" si="495"/>
        <v>IE-MN</v>
      </c>
    </row>
    <row r="603" spans="2:30">
      <c r="B603" t="s">
        <v>317</v>
      </c>
      <c r="C603" t="s">
        <v>501</v>
      </c>
      <c r="D603" s="9">
        <f>SUM(E603:AD603)</f>
        <v>18</v>
      </c>
      <c r="E603">
        <v>0</v>
      </c>
      <c r="F603">
        <v>10</v>
      </c>
      <c r="G603">
        <v>0</v>
      </c>
      <c r="H603">
        <v>0</v>
      </c>
      <c r="I603">
        <v>2</v>
      </c>
      <c r="J603">
        <v>0</v>
      </c>
      <c r="K603">
        <v>0</v>
      </c>
      <c r="L603">
        <v>1</v>
      </c>
      <c r="M603">
        <v>0</v>
      </c>
      <c r="N603">
        <v>0</v>
      </c>
      <c r="O603">
        <v>0</v>
      </c>
      <c r="P603">
        <v>0</v>
      </c>
      <c r="Q603">
        <v>0</v>
      </c>
      <c r="R603">
        <v>3</v>
      </c>
      <c r="S603">
        <v>1</v>
      </c>
      <c r="T603">
        <v>0</v>
      </c>
      <c r="U603">
        <v>0</v>
      </c>
      <c r="V603">
        <v>0</v>
      </c>
      <c r="W603">
        <v>0</v>
      </c>
      <c r="X603">
        <v>0</v>
      </c>
      <c r="Y603">
        <v>0</v>
      </c>
      <c r="Z603">
        <v>0</v>
      </c>
      <c r="AA603">
        <v>0</v>
      </c>
      <c r="AB603">
        <v>1</v>
      </c>
      <c r="AC603">
        <v>0</v>
      </c>
      <c r="AD603">
        <v>0</v>
      </c>
    </row>
    <row r="604" spans="2:30">
      <c r="B604" t="s">
        <v>318</v>
      </c>
      <c r="C604" t="s">
        <v>501</v>
      </c>
      <c r="D604" s="9">
        <f t="shared" ref="D604:D609" si="496">SUM(E604:AD604)</f>
        <v>0</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row>
    <row r="605" spans="2:30">
      <c r="B605" t="s">
        <v>319</v>
      </c>
      <c r="C605" t="s">
        <v>501</v>
      </c>
      <c r="D605" s="9">
        <f t="shared" si="496"/>
        <v>49</v>
      </c>
      <c r="E605">
        <v>0</v>
      </c>
      <c r="F605">
        <v>39</v>
      </c>
      <c r="G605">
        <v>2</v>
      </c>
      <c r="H605">
        <v>0</v>
      </c>
      <c r="I605">
        <v>2</v>
      </c>
      <c r="J605">
        <v>0</v>
      </c>
      <c r="K605">
        <v>2</v>
      </c>
      <c r="L605">
        <v>3</v>
      </c>
      <c r="M605">
        <v>0</v>
      </c>
      <c r="N605">
        <v>0</v>
      </c>
      <c r="O605">
        <v>0</v>
      </c>
      <c r="P605">
        <v>0</v>
      </c>
      <c r="Q605">
        <v>0</v>
      </c>
      <c r="R605">
        <v>0</v>
      </c>
      <c r="S605">
        <v>0</v>
      </c>
      <c r="T605">
        <v>1</v>
      </c>
      <c r="U605">
        <v>0</v>
      </c>
      <c r="V605">
        <v>0</v>
      </c>
      <c r="W605">
        <v>0</v>
      </c>
      <c r="X605">
        <v>0</v>
      </c>
      <c r="Y605">
        <v>0</v>
      </c>
      <c r="Z605">
        <v>0</v>
      </c>
      <c r="AA605">
        <v>0</v>
      </c>
      <c r="AB605">
        <v>0</v>
      </c>
      <c r="AC605">
        <v>0</v>
      </c>
      <c r="AD605">
        <v>0</v>
      </c>
    </row>
    <row r="606" spans="2:30">
      <c r="B606" t="s">
        <v>320</v>
      </c>
      <c r="C606" t="s">
        <v>501</v>
      </c>
      <c r="D606" s="9">
        <f t="shared" si="496"/>
        <v>165</v>
      </c>
      <c r="E606">
        <v>1</v>
      </c>
      <c r="F606">
        <v>131</v>
      </c>
      <c r="G606">
        <v>5</v>
      </c>
      <c r="H606">
        <v>0</v>
      </c>
      <c r="I606">
        <v>0</v>
      </c>
      <c r="J606">
        <v>0</v>
      </c>
      <c r="K606">
        <v>1</v>
      </c>
      <c r="L606">
        <v>6</v>
      </c>
      <c r="M606">
        <v>0</v>
      </c>
      <c r="N606">
        <v>2</v>
      </c>
      <c r="O606">
        <v>0</v>
      </c>
      <c r="P606">
        <v>2</v>
      </c>
      <c r="Q606">
        <v>2</v>
      </c>
      <c r="R606">
        <v>2</v>
      </c>
      <c r="S606">
        <v>0</v>
      </c>
      <c r="T606">
        <v>9</v>
      </c>
      <c r="U606">
        <v>0</v>
      </c>
      <c r="V606">
        <v>0</v>
      </c>
      <c r="W606">
        <v>3</v>
      </c>
      <c r="X606">
        <v>0</v>
      </c>
      <c r="Y606">
        <v>1</v>
      </c>
      <c r="Z606">
        <v>0</v>
      </c>
      <c r="AA606">
        <v>0</v>
      </c>
      <c r="AB606">
        <v>0</v>
      </c>
      <c r="AC606">
        <v>0</v>
      </c>
      <c r="AD606">
        <v>0</v>
      </c>
    </row>
    <row r="607" spans="2:30">
      <c r="B607" t="s">
        <v>321</v>
      </c>
      <c r="C607" t="s">
        <v>501</v>
      </c>
      <c r="D607" s="9">
        <f t="shared" si="496"/>
        <v>1018</v>
      </c>
      <c r="E607">
        <v>2</v>
      </c>
      <c r="F607">
        <v>810</v>
      </c>
      <c r="G607">
        <v>28</v>
      </c>
      <c r="H607">
        <v>0</v>
      </c>
      <c r="I607">
        <v>11</v>
      </c>
      <c r="J607">
        <v>0</v>
      </c>
      <c r="K607">
        <v>15</v>
      </c>
      <c r="L607">
        <v>38</v>
      </c>
      <c r="M607">
        <v>3</v>
      </c>
      <c r="N607">
        <v>3</v>
      </c>
      <c r="O607">
        <v>3</v>
      </c>
      <c r="P607">
        <v>9</v>
      </c>
      <c r="Q607">
        <v>5</v>
      </c>
      <c r="R607">
        <v>41</v>
      </c>
      <c r="S607">
        <v>3</v>
      </c>
      <c r="T607">
        <v>31</v>
      </c>
      <c r="U607">
        <v>1</v>
      </c>
      <c r="V607">
        <v>0</v>
      </c>
      <c r="W607">
        <v>12</v>
      </c>
      <c r="X607">
        <v>0</v>
      </c>
      <c r="Y607">
        <v>1</v>
      </c>
      <c r="Z607">
        <v>0</v>
      </c>
      <c r="AA607">
        <v>1</v>
      </c>
      <c r="AB607">
        <v>0</v>
      </c>
      <c r="AC607">
        <v>1</v>
      </c>
      <c r="AD607">
        <v>0</v>
      </c>
    </row>
    <row r="608" spans="2:30">
      <c r="B608" t="s">
        <v>322</v>
      </c>
      <c r="C608" t="s">
        <v>501</v>
      </c>
      <c r="D608" s="9">
        <f t="shared" si="496"/>
        <v>17</v>
      </c>
      <c r="E608">
        <v>0</v>
      </c>
      <c r="F608">
        <v>10</v>
      </c>
      <c r="G608">
        <v>0</v>
      </c>
      <c r="H608">
        <v>0</v>
      </c>
      <c r="I608">
        <v>0</v>
      </c>
      <c r="J608">
        <v>0</v>
      </c>
      <c r="K608">
        <v>0</v>
      </c>
      <c r="L608">
        <v>1</v>
      </c>
      <c r="M608">
        <v>0</v>
      </c>
      <c r="N608">
        <v>0</v>
      </c>
      <c r="O608">
        <v>0</v>
      </c>
      <c r="P608">
        <v>0</v>
      </c>
      <c r="Q608">
        <v>0</v>
      </c>
      <c r="R608">
        <v>2</v>
      </c>
      <c r="S608">
        <v>0</v>
      </c>
      <c r="T608">
        <v>1</v>
      </c>
      <c r="U608">
        <v>1</v>
      </c>
      <c r="V608">
        <v>1</v>
      </c>
      <c r="W608">
        <v>0</v>
      </c>
      <c r="X608">
        <v>0</v>
      </c>
      <c r="Y608">
        <v>0</v>
      </c>
      <c r="Z608">
        <v>0</v>
      </c>
      <c r="AA608">
        <v>1</v>
      </c>
      <c r="AB608">
        <v>0</v>
      </c>
      <c r="AC608">
        <v>0</v>
      </c>
      <c r="AD608">
        <v>0</v>
      </c>
    </row>
    <row r="609" spans="2:30">
      <c r="B609" t="s">
        <v>323</v>
      </c>
      <c r="C609" t="s">
        <v>501</v>
      </c>
      <c r="D609" s="9">
        <f t="shared" si="496"/>
        <v>83</v>
      </c>
      <c r="E609">
        <v>1</v>
      </c>
      <c r="F609">
        <v>55</v>
      </c>
      <c r="G609">
        <v>2</v>
      </c>
      <c r="H609">
        <v>1</v>
      </c>
      <c r="I609">
        <v>1</v>
      </c>
      <c r="J609">
        <v>0</v>
      </c>
      <c r="K609">
        <v>7</v>
      </c>
      <c r="L609">
        <v>2</v>
      </c>
      <c r="M609">
        <v>0</v>
      </c>
      <c r="N609">
        <v>1</v>
      </c>
      <c r="O609">
        <v>0</v>
      </c>
      <c r="P609">
        <v>2</v>
      </c>
      <c r="Q609">
        <v>0</v>
      </c>
      <c r="R609">
        <v>1</v>
      </c>
      <c r="S609">
        <v>0</v>
      </c>
      <c r="T609">
        <v>0</v>
      </c>
      <c r="U609">
        <v>1</v>
      </c>
      <c r="V609">
        <v>0</v>
      </c>
      <c r="W609">
        <v>9</v>
      </c>
      <c r="X609">
        <v>0</v>
      </c>
      <c r="Y609">
        <v>0</v>
      </c>
      <c r="Z609">
        <v>0</v>
      </c>
      <c r="AA609">
        <v>0</v>
      </c>
      <c r="AB609">
        <v>0</v>
      </c>
      <c r="AC609">
        <v>0</v>
      </c>
      <c r="AD609">
        <v>0</v>
      </c>
    </row>
    <row r="610" spans="2:30">
      <c r="B610" s="79" t="s">
        <v>16</v>
      </c>
      <c r="C610" s="79" t="s">
        <v>501</v>
      </c>
      <c r="D610" s="176">
        <f>SUM(D603:D609)</f>
        <v>1350</v>
      </c>
      <c r="E610" s="176">
        <f>SUM(E603:E609)</f>
        <v>4</v>
      </c>
      <c r="F610" s="176">
        <f t="shared" ref="F610" si="497">SUM(F603:F609)</f>
        <v>1055</v>
      </c>
      <c r="G610" s="176">
        <f t="shared" ref="G610" si="498">SUM(G603:G609)</f>
        <v>37</v>
      </c>
      <c r="H610" s="176">
        <f t="shared" ref="H610" si="499">SUM(H603:H609)</f>
        <v>1</v>
      </c>
      <c r="I610" s="176">
        <f t="shared" ref="I610" si="500">SUM(I603:I609)</f>
        <v>16</v>
      </c>
      <c r="J610" s="176">
        <f t="shared" ref="J610" si="501">SUM(J603:J609)</f>
        <v>0</v>
      </c>
      <c r="K610" s="176">
        <f t="shared" ref="K610" si="502">SUM(K603:K609)</f>
        <v>25</v>
      </c>
      <c r="L610" s="176">
        <f t="shared" ref="L610" si="503">SUM(L603:L609)</f>
        <v>51</v>
      </c>
      <c r="M610" s="176">
        <f t="shared" ref="M610" si="504">SUM(M603:M609)</f>
        <v>3</v>
      </c>
      <c r="N610" s="176">
        <f t="shared" ref="N610" si="505">SUM(N603:N609)</f>
        <v>6</v>
      </c>
      <c r="O610" s="176">
        <f t="shared" ref="O610" si="506">SUM(O603:O609)</f>
        <v>3</v>
      </c>
      <c r="P610" s="176">
        <f t="shared" ref="P610" si="507">SUM(P603:P609)</f>
        <v>13</v>
      </c>
      <c r="Q610" s="176">
        <f t="shared" ref="Q610" si="508">SUM(Q603:Q609)</f>
        <v>7</v>
      </c>
      <c r="R610" s="176">
        <f t="shared" ref="R610" si="509">SUM(R603:R609)</f>
        <v>49</v>
      </c>
      <c r="S610" s="176">
        <f t="shared" ref="S610" si="510">SUM(S603:S609)</f>
        <v>4</v>
      </c>
      <c r="T610" s="176">
        <f t="shared" ref="T610" si="511">SUM(T603:T609)</f>
        <v>42</v>
      </c>
      <c r="U610" s="176">
        <f t="shared" ref="U610" si="512">SUM(U603:U609)</f>
        <v>3</v>
      </c>
      <c r="V610" s="176">
        <f t="shared" ref="V610" si="513">SUM(V603:V609)</f>
        <v>1</v>
      </c>
      <c r="W610" s="176">
        <f t="shared" ref="W610" si="514">SUM(W603:W609)</f>
        <v>24</v>
      </c>
      <c r="X610" s="176">
        <f t="shared" ref="X610" si="515">SUM(X603:X609)</f>
        <v>0</v>
      </c>
      <c r="Y610" s="176">
        <f t="shared" ref="Y610" si="516">SUM(Y603:Y609)</f>
        <v>2</v>
      </c>
      <c r="Z610" s="176">
        <f t="shared" ref="Z610" si="517">SUM(Z603:Z609)</f>
        <v>0</v>
      </c>
      <c r="AA610" s="176">
        <f t="shared" ref="AA610" si="518">SUM(AA603:AA609)</f>
        <v>2</v>
      </c>
      <c r="AB610" s="176">
        <f t="shared" ref="AB610" si="519">SUM(AB603:AB609)</f>
        <v>1</v>
      </c>
      <c r="AC610" s="176">
        <f t="shared" ref="AC610" si="520">SUM(AC603:AC609)</f>
        <v>1</v>
      </c>
      <c r="AD610" s="176">
        <f t="shared" ref="AD610" si="521">SUM(AD603:AD609)</f>
        <v>0</v>
      </c>
    </row>
    <row r="611" spans="2:30">
      <c r="B611" t="s">
        <v>584</v>
      </c>
    </row>
    <row r="615" spans="2:30" ht="15.5">
      <c r="B615" s="101" t="s">
        <v>630</v>
      </c>
    </row>
    <row r="616" spans="2:30">
      <c r="B616" s="81" t="s">
        <v>573</v>
      </c>
      <c r="C616" s="81" t="s">
        <v>63</v>
      </c>
      <c r="D616" s="81" t="str">
        <f>D602</f>
        <v>IE</v>
      </c>
      <c r="E616" s="81" t="str">
        <f t="shared" ref="E616:AD616" si="522">E602</f>
        <v>IE-CW</v>
      </c>
      <c r="F616" s="81" t="str">
        <f t="shared" si="522"/>
        <v>IE-D</v>
      </c>
      <c r="G616" s="81" t="str">
        <f t="shared" si="522"/>
        <v>IE-KE</v>
      </c>
      <c r="H616" s="81" t="str">
        <f t="shared" si="522"/>
        <v>IE-KK</v>
      </c>
      <c r="I616" s="81" t="str">
        <f t="shared" si="522"/>
        <v>IE-LS</v>
      </c>
      <c r="J616" s="81" t="str">
        <f t="shared" si="522"/>
        <v>IE-LD</v>
      </c>
      <c r="K616" s="81" t="str">
        <f t="shared" si="522"/>
        <v>IE-LH</v>
      </c>
      <c r="L616" s="81" t="str">
        <f t="shared" si="522"/>
        <v>IE-MH</v>
      </c>
      <c r="M616" s="81" t="str">
        <f t="shared" si="522"/>
        <v>IE-OY</v>
      </c>
      <c r="N616" s="81" t="str">
        <f t="shared" si="522"/>
        <v>IE-WH</v>
      </c>
      <c r="O616" s="81" t="str">
        <f t="shared" si="522"/>
        <v>IE-WX</v>
      </c>
      <c r="P616" s="81" t="str">
        <f t="shared" si="522"/>
        <v>IE-WW</v>
      </c>
      <c r="Q616" s="81" t="str">
        <f t="shared" si="522"/>
        <v>IE-CE</v>
      </c>
      <c r="R616" s="81" t="str">
        <f t="shared" si="522"/>
        <v>IE-CO</v>
      </c>
      <c r="S616" s="81" t="str">
        <f t="shared" si="522"/>
        <v>IE-KY</v>
      </c>
      <c r="T616" s="81" t="str">
        <f t="shared" si="522"/>
        <v>IE-LK</v>
      </c>
      <c r="U616" s="81" t="str">
        <f t="shared" si="522"/>
        <v>IE-TA</v>
      </c>
      <c r="V616" s="81" t="str">
        <f t="shared" si="522"/>
        <v>IE-WD</v>
      </c>
      <c r="W616" s="81" t="str">
        <f t="shared" si="522"/>
        <v>IE-G</v>
      </c>
      <c r="X616" s="81" t="str">
        <f t="shared" si="522"/>
        <v>IE-LM</v>
      </c>
      <c r="Y616" s="81" t="str">
        <f t="shared" si="522"/>
        <v>IE-MO</v>
      </c>
      <c r="Z616" s="81" t="str">
        <f t="shared" si="522"/>
        <v>IE-RN</v>
      </c>
      <c r="AA616" s="81" t="str">
        <f t="shared" si="522"/>
        <v>IE-SO</v>
      </c>
      <c r="AB616" s="81" t="str">
        <f t="shared" si="522"/>
        <v>IE-CN</v>
      </c>
      <c r="AC616" s="81" t="str">
        <f t="shared" si="522"/>
        <v>IE-DL</v>
      </c>
      <c r="AD616" s="81" t="str">
        <f t="shared" si="522"/>
        <v>IE-MN</v>
      </c>
    </row>
    <row r="617" spans="2:30">
      <c r="B617" t="s">
        <v>317</v>
      </c>
      <c r="C617" s="179" t="s">
        <v>577</v>
      </c>
      <c r="D617" s="29">
        <f>D603/D$610</f>
        <v>1.3333333333333334E-2</v>
      </c>
      <c r="E617" s="29">
        <f t="shared" ref="E617:AD623" si="523">E603/E$610</f>
        <v>0</v>
      </c>
      <c r="F617" s="29">
        <f t="shared" si="523"/>
        <v>9.4786729857819912E-3</v>
      </c>
      <c r="G617" s="29">
        <f t="shared" si="523"/>
        <v>0</v>
      </c>
      <c r="H617" s="29">
        <f t="shared" si="523"/>
        <v>0</v>
      </c>
      <c r="I617" s="29">
        <f t="shared" si="523"/>
        <v>0.125</v>
      </c>
      <c r="J617" s="29" t="e">
        <f t="shared" si="523"/>
        <v>#DIV/0!</v>
      </c>
      <c r="K617" s="29">
        <f t="shared" si="523"/>
        <v>0</v>
      </c>
      <c r="L617" s="29">
        <f t="shared" si="523"/>
        <v>1.9607843137254902E-2</v>
      </c>
      <c r="M617" s="29">
        <f t="shared" si="523"/>
        <v>0</v>
      </c>
      <c r="N617" s="29">
        <f t="shared" si="523"/>
        <v>0</v>
      </c>
      <c r="O617" s="29">
        <f t="shared" si="523"/>
        <v>0</v>
      </c>
      <c r="P617" s="29">
        <f t="shared" si="523"/>
        <v>0</v>
      </c>
      <c r="Q617" s="29">
        <f t="shared" si="523"/>
        <v>0</v>
      </c>
      <c r="R617" s="29">
        <f t="shared" si="523"/>
        <v>6.1224489795918366E-2</v>
      </c>
      <c r="S617" s="29">
        <f t="shared" si="523"/>
        <v>0.25</v>
      </c>
      <c r="T617" s="29">
        <f t="shared" si="523"/>
        <v>0</v>
      </c>
      <c r="U617" s="29">
        <f t="shared" si="523"/>
        <v>0</v>
      </c>
      <c r="V617" s="29">
        <f t="shared" si="523"/>
        <v>0</v>
      </c>
      <c r="W617" s="29">
        <f t="shared" si="523"/>
        <v>0</v>
      </c>
      <c r="X617" s="29" t="e">
        <f t="shared" si="523"/>
        <v>#DIV/0!</v>
      </c>
      <c r="Y617" s="29">
        <f t="shared" si="523"/>
        <v>0</v>
      </c>
      <c r="Z617" s="29" t="e">
        <f t="shared" si="523"/>
        <v>#DIV/0!</v>
      </c>
      <c r="AA617" s="29">
        <f t="shared" si="523"/>
        <v>0</v>
      </c>
      <c r="AB617" s="29">
        <f t="shared" si="523"/>
        <v>1</v>
      </c>
      <c r="AC617" s="29">
        <f t="shared" si="523"/>
        <v>0</v>
      </c>
      <c r="AD617" s="29" t="e">
        <f t="shared" si="523"/>
        <v>#DIV/0!</v>
      </c>
    </row>
    <row r="618" spans="2:30">
      <c r="B618" t="s">
        <v>318</v>
      </c>
      <c r="C618" t="s">
        <v>577</v>
      </c>
      <c r="D618" s="29">
        <f t="shared" ref="D618:S623" si="524">D604/D$610</f>
        <v>0</v>
      </c>
      <c r="E618" s="29">
        <f t="shared" si="524"/>
        <v>0</v>
      </c>
      <c r="F618" s="29">
        <f t="shared" si="524"/>
        <v>0</v>
      </c>
      <c r="G618" s="29">
        <f t="shared" si="524"/>
        <v>0</v>
      </c>
      <c r="H618" s="29">
        <f t="shared" si="524"/>
        <v>0</v>
      </c>
      <c r="I618" s="29">
        <f t="shared" si="524"/>
        <v>0</v>
      </c>
      <c r="J618" s="29" t="e">
        <f t="shared" si="524"/>
        <v>#DIV/0!</v>
      </c>
      <c r="K618" s="29">
        <f t="shared" si="524"/>
        <v>0</v>
      </c>
      <c r="L618" s="29">
        <f t="shared" si="524"/>
        <v>0</v>
      </c>
      <c r="M618" s="29">
        <f t="shared" si="524"/>
        <v>0</v>
      </c>
      <c r="N618" s="29">
        <f t="shared" si="524"/>
        <v>0</v>
      </c>
      <c r="O618" s="29">
        <f t="shared" si="524"/>
        <v>0</v>
      </c>
      <c r="P618" s="29">
        <f t="shared" si="524"/>
        <v>0</v>
      </c>
      <c r="Q618" s="29">
        <f t="shared" si="524"/>
        <v>0</v>
      </c>
      <c r="R618" s="29">
        <f t="shared" si="524"/>
        <v>0</v>
      </c>
      <c r="S618" s="29">
        <f t="shared" si="524"/>
        <v>0</v>
      </c>
      <c r="T618" s="29">
        <f t="shared" si="523"/>
        <v>0</v>
      </c>
      <c r="U618" s="29">
        <f t="shared" si="523"/>
        <v>0</v>
      </c>
      <c r="V618" s="29">
        <f t="shared" si="523"/>
        <v>0</v>
      </c>
      <c r="W618" s="29">
        <f t="shared" si="523"/>
        <v>0</v>
      </c>
      <c r="X618" s="29" t="e">
        <f t="shared" si="523"/>
        <v>#DIV/0!</v>
      </c>
      <c r="Y618" s="29">
        <f t="shared" si="523"/>
        <v>0</v>
      </c>
      <c r="Z618" s="29" t="e">
        <f t="shared" si="523"/>
        <v>#DIV/0!</v>
      </c>
      <c r="AA618" s="29">
        <f t="shared" si="523"/>
        <v>0</v>
      </c>
      <c r="AB618" s="29">
        <f t="shared" si="523"/>
        <v>0</v>
      </c>
      <c r="AC618" s="29">
        <f t="shared" si="523"/>
        <v>0</v>
      </c>
      <c r="AD618" s="29" t="e">
        <f t="shared" si="523"/>
        <v>#DIV/0!</v>
      </c>
    </row>
    <row r="619" spans="2:30">
      <c r="B619" t="s">
        <v>319</v>
      </c>
      <c r="C619" t="s">
        <v>577</v>
      </c>
      <c r="D619" s="29">
        <f t="shared" si="524"/>
        <v>3.6296296296296299E-2</v>
      </c>
      <c r="E619" s="29">
        <f t="shared" si="523"/>
        <v>0</v>
      </c>
      <c r="F619" s="29">
        <f t="shared" si="523"/>
        <v>3.6966824644549763E-2</v>
      </c>
      <c r="G619" s="29">
        <f t="shared" si="523"/>
        <v>5.4054054054054057E-2</v>
      </c>
      <c r="H619" s="29">
        <f t="shared" si="523"/>
        <v>0</v>
      </c>
      <c r="I619" s="29">
        <f t="shared" si="523"/>
        <v>0.125</v>
      </c>
      <c r="J619" s="29" t="e">
        <f t="shared" si="523"/>
        <v>#DIV/0!</v>
      </c>
      <c r="K619" s="29">
        <f t="shared" si="523"/>
        <v>0.08</v>
      </c>
      <c r="L619" s="29">
        <f t="shared" si="523"/>
        <v>5.8823529411764705E-2</v>
      </c>
      <c r="M619" s="29">
        <f t="shared" si="523"/>
        <v>0</v>
      </c>
      <c r="N619" s="29">
        <f t="shared" si="523"/>
        <v>0</v>
      </c>
      <c r="O619" s="29">
        <f t="shared" si="523"/>
        <v>0</v>
      </c>
      <c r="P619" s="29">
        <f t="shared" si="523"/>
        <v>0</v>
      </c>
      <c r="Q619" s="29">
        <f t="shared" si="523"/>
        <v>0</v>
      </c>
      <c r="R619" s="29">
        <f t="shared" si="523"/>
        <v>0</v>
      </c>
      <c r="S619" s="29">
        <f t="shared" si="523"/>
        <v>0</v>
      </c>
      <c r="T619" s="29">
        <f t="shared" si="523"/>
        <v>2.3809523809523808E-2</v>
      </c>
      <c r="U619" s="29">
        <f t="shared" si="523"/>
        <v>0</v>
      </c>
      <c r="V619" s="29">
        <f t="shared" si="523"/>
        <v>0</v>
      </c>
      <c r="W619" s="29">
        <f t="shared" si="523"/>
        <v>0</v>
      </c>
      <c r="X619" s="29" t="e">
        <f t="shared" si="523"/>
        <v>#DIV/0!</v>
      </c>
      <c r="Y619" s="29">
        <f t="shared" si="523"/>
        <v>0</v>
      </c>
      <c r="Z619" s="29" t="e">
        <f t="shared" si="523"/>
        <v>#DIV/0!</v>
      </c>
      <c r="AA619" s="29">
        <f t="shared" si="523"/>
        <v>0</v>
      </c>
      <c r="AB619" s="29">
        <f t="shared" si="523"/>
        <v>0</v>
      </c>
      <c r="AC619" s="29">
        <f t="shared" si="523"/>
        <v>0</v>
      </c>
      <c r="AD619" s="29" t="e">
        <f t="shared" si="523"/>
        <v>#DIV/0!</v>
      </c>
    </row>
    <row r="620" spans="2:30">
      <c r="B620" t="s">
        <v>320</v>
      </c>
      <c r="C620" t="s">
        <v>577</v>
      </c>
      <c r="D620" s="29">
        <f t="shared" si="524"/>
        <v>0.12222222222222222</v>
      </c>
      <c r="E620" s="29">
        <f t="shared" si="523"/>
        <v>0.25</v>
      </c>
      <c r="F620" s="29">
        <f t="shared" si="523"/>
        <v>0.12417061611374408</v>
      </c>
      <c r="G620" s="29">
        <f t="shared" si="523"/>
        <v>0.13513513513513514</v>
      </c>
      <c r="H620" s="29">
        <f t="shared" si="523"/>
        <v>0</v>
      </c>
      <c r="I620" s="29">
        <f t="shared" si="523"/>
        <v>0</v>
      </c>
      <c r="J620" s="29" t="e">
        <f t="shared" si="523"/>
        <v>#DIV/0!</v>
      </c>
      <c r="K620" s="29">
        <f t="shared" si="523"/>
        <v>0.04</v>
      </c>
      <c r="L620" s="29">
        <f t="shared" si="523"/>
        <v>0.11764705882352941</v>
      </c>
      <c r="M620" s="29">
        <f t="shared" si="523"/>
        <v>0</v>
      </c>
      <c r="N620" s="29">
        <f t="shared" si="523"/>
        <v>0.33333333333333331</v>
      </c>
      <c r="O620" s="29">
        <f t="shared" si="523"/>
        <v>0</v>
      </c>
      <c r="P620" s="29">
        <f t="shared" si="523"/>
        <v>0.15384615384615385</v>
      </c>
      <c r="Q620" s="29">
        <f t="shared" si="523"/>
        <v>0.2857142857142857</v>
      </c>
      <c r="R620" s="29">
        <f t="shared" si="523"/>
        <v>4.0816326530612242E-2</v>
      </c>
      <c r="S620" s="29">
        <f t="shared" si="523"/>
        <v>0</v>
      </c>
      <c r="T620" s="29">
        <f t="shared" si="523"/>
        <v>0.21428571428571427</v>
      </c>
      <c r="U620" s="29">
        <f t="shared" si="523"/>
        <v>0</v>
      </c>
      <c r="V620" s="29">
        <f t="shared" si="523"/>
        <v>0</v>
      </c>
      <c r="W620" s="29">
        <f t="shared" si="523"/>
        <v>0.125</v>
      </c>
      <c r="X620" s="29" t="e">
        <f t="shared" si="523"/>
        <v>#DIV/0!</v>
      </c>
      <c r="Y620" s="29">
        <f t="shared" si="523"/>
        <v>0.5</v>
      </c>
      <c r="Z620" s="29" t="e">
        <f t="shared" si="523"/>
        <v>#DIV/0!</v>
      </c>
      <c r="AA620" s="29">
        <f t="shared" si="523"/>
        <v>0</v>
      </c>
      <c r="AB620" s="29">
        <f t="shared" si="523"/>
        <v>0</v>
      </c>
      <c r="AC620" s="29">
        <f t="shared" si="523"/>
        <v>0</v>
      </c>
      <c r="AD620" s="29" t="e">
        <f t="shared" si="523"/>
        <v>#DIV/0!</v>
      </c>
    </row>
    <row r="621" spans="2:30">
      <c r="B621" t="s">
        <v>321</v>
      </c>
      <c r="C621" t="s">
        <v>577</v>
      </c>
      <c r="D621" s="29">
        <f t="shared" si="524"/>
        <v>0.75407407407407412</v>
      </c>
      <c r="E621" s="29">
        <f t="shared" si="523"/>
        <v>0.5</v>
      </c>
      <c r="F621" s="29">
        <f t="shared" si="523"/>
        <v>0.76777251184834128</v>
      </c>
      <c r="G621" s="29">
        <f t="shared" si="523"/>
        <v>0.7567567567567568</v>
      </c>
      <c r="H621" s="29">
        <f t="shared" si="523"/>
        <v>0</v>
      </c>
      <c r="I621" s="29">
        <f t="shared" si="523"/>
        <v>0.6875</v>
      </c>
      <c r="J621" s="29" t="e">
        <f t="shared" si="523"/>
        <v>#DIV/0!</v>
      </c>
      <c r="K621" s="29">
        <f t="shared" si="523"/>
        <v>0.6</v>
      </c>
      <c r="L621" s="29">
        <f t="shared" si="523"/>
        <v>0.74509803921568629</v>
      </c>
      <c r="M621" s="29">
        <f t="shared" si="523"/>
        <v>1</v>
      </c>
      <c r="N621" s="29">
        <f t="shared" si="523"/>
        <v>0.5</v>
      </c>
      <c r="O621" s="29">
        <f t="shared" si="523"/>
        <v>1</v>
      </c>
      <c r="P621" s="29">
        <f t="shared" si="523"/>
        <v>0.69230769230769229</v>
      </c>
      <c r="Q621" s="29">
        <f t="shared" si="523"/>
        <v>0.7142857142857143</v>
      </c>
      <c r="R621" s="29">
        <f t="shared" si="523"/>
        <v>0.83673469387755106</v>
      </c>
      <c r="S621" s="29">
        <f t="shared" si="523"/>
        <v>0.75</v>
      </c>
      <c r="T621" s="29">
        <f t="shared" si="523"/>
        <v>0.73809523809523814</v>
      </c>
      <c r="U621" s="29">
        <f t="shared" si="523"/>
        <v>0.33333333333333331</v>
      </c>
      <c r="V621" s="29">
        <f t="shared" si="523"/>
        <v>0</v>
      </c>
      <c r="W621" s="29">
        <f t="shared" si="523"/>
        <v>0.5</v>
      </c>
      <c r="X621" s="29" t="e">
        <f t="shared" si="523"/>
        <v>#DIV/0!</v>
      </c>
      <c r="Y621" s="29">
        <f t="shared" si="523"/>
        <v>0.5</v>
      </c>
      <c r="Z621" s="29" t="e">
        <f t="shared" si="523"/>
        <v>#DIV/0!</v>
      </c>
      <c r="AA621" s="29">
        <f t="shared" si="523"/>
        <v>0.5</v>
      </c>
      <c r="AB621" s="29">
        <f t="shared" si="523"/>
        <v>0</v>
      </c>
      <c r="AC621" s="29">
        <f t="shared" si="523"/>
        <v>1</v>
      </c>
      <c r="AD621" s="29" t="e">
        <f t="shared" si="523"/>
        <v>#DIV/0!</v>
      </c>
    </row>
    <row r="622" spans="2:30">
      <c r="B622" t="s">
        <v>322</v>
      </c>
      <c r="C622" t="s">
        <v>577</v>
      </c>
      <c r="D622" s="29">
        <f t="shared" si="524"/>
        <v>1.2592592592592593E-2</v>
      </c>
      <c r="E622" s="29">
        <f t="shared" si="523"/>
        <v>0</v>
      </c>
      <c r="F622" s="29">
        <f t="shared" si="523"/>
        <v>9.4786729857819912E-3</v>
      </c>
      <c r="G622" s="29">
        <f t="shared" si="523"/>
        <v>0</v>
      </c>
      <c r="H622" s="29">
        <f t="shared" si="523"/>
        <v>0</v>
      </c>
      <c r="I622" s="29">
        <f t="shared" si="523"/>
        <v>0</v>
      </c>
      <c r="J622" s="29" t="e">
        <f t="shared" si="523"/>
        <v>#DIV/0!</v>
      </c>
      <c r="K622" s="29">
        <f t="shared" si="523"/>
        <v>0</v>
      </c>
      <c r="L622" s="29">
        <f t="shared" si="523"/>
        <v>1.9607843137254902E-2</v>
      </c>
      <c r="M622" s="29">
        <f t="shared" si="523"/>
        <v>0</v>
      </c>
      <c r="N622" s="29">
        <f t="shared" si="523"/>
        <v>0</v>
      </c>
      <c r="O622" s="29">
        <f t="shared" si="523"/>
        <v>0</v>
      </c>
      <c r="P622" s="29">
        <f t="shared" si="523"/>
        <v>0</v>
      </c>
      <c r="Q622" s="29">
        <f t="shared" si="523"/>
        <v>0</v>
      </c>
      <c r="R622" s="29">
        <f t="shared" si="523"/>
        <v>4.0816326530612242E-2</v>
      </c>
      <c r="S622" s="29">
        <f t="shared" si="523"/>
        <v>0</v>
      </c>
      <c r="T622" s="29">
        <f t="shared" si="523"/>
        <v>2.3809523809523808E-2</v>
      </c>
      <c r="U622" s="29">
        <f t="shared" si="523"/>
        <v>0.33333333333333331</v>
      </c>
      <c r="V622" s="29">
        <f t="shared" si="523"/>
        <v>1</v>
      </c>
      <c r="W622" s="29">
        <f t="shared" si="523"/>
        <v>0</v>
      </c>
      <c r="X622" s="29" t="e">
        <f t="shared" si="523"/>
        <v>#DIV/0!</v>
      </c>
      <c r="Y622" s="29">
        <f t="shared" si="523"/>
        <v>0</v>
      </c>
      <c r="Z622" s="29" t="e">
        <f t="shared" si="523"/>
        <v>#DIV/0!</v>
      </c>
      <c r="AA622" s="29">
        <f t="shared" si="523"/>
        <v>0.5</v>
      </c>
      <c r="AB622" s="29">
        <f t="shared" si="523"/>
        <v>0</v>
      </c>
      <c r="AC622" s="29">
        <f t="shared" si="523"/>
        <v>0</v>
      </c>
      <c r="AD622" s="29" t="e">
        <f t="shared" si="523"/>
        <v>#DIV/0!</v>
      </c>
    </row>
    <row r="623" spans="2:30">
      <c r="B623" t="s">
        <v>323</v>
      </c>
      <c r="C623" t="s">
        <v>577</v>
      </c>
      <c r="D623" s="29">
        <f t="shared" si="524"/>
        <v>6.1481481481481484E-2</v>
      </c>
      <c r="E623" s="29">
        <f t="shared" si="523"/>
        <v>0.25</v>
      </c>
      <c r="F623" s="29">
        <f t="shared" si="523"/>
        <v>5.2132701421800945E-2</v>
      </c>
      <c r="G623" s="29">
        <f t="shared" si="523"/>
        <v>5.4054054054054057E-2</v>
      </c>
      <c r="H623" s="29">
        <f t="shared" si="523"/>
        <v>1</v>
      </c>
      <c r="I623" s="29">
        <f t="shared" si="523"/>
        <v>6.25E-2</v>
      </c>
      <c r="J623" s="29" t="e">
        <f t="shared" si="523"/>
        <v>#DIV/0!</v>
      </c>
      <c r="K623" s="29">
        <f t="shared" si="523"/>
        <v>0.28000000000000003</v>
      </c>
      <c r="L623" s="29">
        <f t="shared" si="523"/>
        <v>3.9215686274509803E-2</v>
      </c>
      <c r="M623" s="29">
        <f t="shared" si="523"/>
        <v>0</v>
      </c>
      <c r="N623" s="29">
        <f t="shared" si="523"/>
        <v>0.16666666666666666</v>
      </c>
      <c r="O623" s="29">
        <f t="shared" si="523"/>
        <v>0</v>
      </c>
      <c r="P623" s="29">
        <f t="shared" si="523"/>
        <v>0.15384615384615385</v>
      </c>
      <c r="Q623" s="29">
        <f t="shared" si="523"/>
        <v>0</v>
      </c>
      <c r="R623" s="29">
        <f t="shared" si="523"/>
        <v>2.0408163265306121E-2</v>
      </c>
      <c r="S623" s="29">
        <f t="shared" si="523"/>
        <v>0</v>
      </c>
      <c r="T623" s="29">
        <f t="shared" si="523"/>
        <v>0</v>
      </c>
      <c r="U623" s="29">
        <f t="shared" si="523"/>
        <v>0.33333333333333331</v>
      </c>
      <c r="V623" s="29">
        <f t="shared" si="523"/>
        <v>0</v>
      </c>
      <c r="W623" s="29">
        <f t="shared" si="523"/>
        <v>0.375</v>
      </c>
      <c r="X623" s="29" t="e">
        <f t="shared" si="523"/>
        <v>#DIV/0!</v>
      </c>
      <c r="Y623" s="29">
        <f t="shared" si="523"/>
        <v>0</v>
      </c>
      <c r="Z623" s="29" t="e">
        <f t="shared" si="523"/>
        <v>#DIV/0!</v>
      </c>
      <c r="AA623" s="29">
        <f t="shared" si="523"/>
        <v>0</v>
      </c>
      <c r="AB623" s="29">
        <f t="shared" si="523"/>
        <v>0</v>
      </c>
      <c r="AC623" s="29">
        <f t="shared" si="523"/>
        <v>0</v>
      </c>
      <c r="AD623" s="29" t="e">
        <f t="shared" si="523"/>
        <v>#DIV/0!</v>
      </c>
    </row>
    <row r="624" spans="2:30">
      <c r="B624" s="79" t="s">
        <v>16</v>
      </c>
      <c r="C624" s="79" t="s">
        <v>577</v>
      </c>
      <c r="D624" s="102">
        <f t="shared" ref="D624:AD624" si="525">SUM(D617:D623)</f>
        <v>1.0000000000000002</v>
      </c>
      <c r="E624" s="102">
        <f t="shared" si="525"/>
        <v>1</v>
      </c>
      <c r="F624" s="102">
        <f t="shared" si="525"/>
        <v>1</v>
      </c>
      <c r="G624" s="102">
        <f t="shared" si="525"/>
        <v>1</v>
      </c>
      <c r="H624" s="102">
        <f t="shared" si="525"/>
        <v>1</v>
      </c>
      <c r="I624" s="102">
        <f t="shared" si="525"/>
        <v>1</v>
      </c>
      <c r="J624" s="102" t="e">
        <f t="shared" si="525"/>
        <v>#DIV/0!</v>
      </c>
      <c r="K624" s="102">
        <f t="shared" si="525"/>
        <v>1</v>
      </c>
      <c r="L624" s="102">
        <f t="shared" si="525"/>
        <v>1</v>
      </c>
      <c r="M624" s="102">
        <f t="shared" si="525"/>
        <v>1</v>
      </c>
      <c r="N624" s="102">
        <f t="shared" si="525"/>
        <v>0.99999999999999989</v>
      </c>
      <c r="O624" s="102">
        <f t="shared" si="525"/>
        <v>1</v>
      </c>
      <c r="P624" s="102">
        <f t="shared" si="525"/>
        <v>1</v>
      </c>
      <c r="Q624" s="102">
        <f t="shared" si="525"/>
        <v>1</v>
      </c>
      <c r="R624" s="102">
        <f t="shared" si="525"/>
        <v>1</v>
      </c>
      <c r="S624" s="102">
        <f t="shared" si="525"/>
        <v>1</v>
      </c>
      <c r="T624" s="102">
        <f t="shared" si="525"/>
        <v>1</v>
      </c>
      <c r="U624" s="102">
        <f t="shared" si="525"/>
        <v>1</v>
      </c>
      <c r="V624" s="102">
        <f t="shared" si="525"/>
        <v>1</v>
      </c>
      <c r="W624" s="102">
        <f t="shared" si="525"/>
        <v>1</v>
      </c>
      <c r="X624" s="102" t="e">
        <f t="shared" si="525"/>
        <v>#DIV/0!</v>
      </c>
      <c r="Y624" s="102">
        <f t="shared" si="525"/>
        <v>1</v>
      </c>
      <c r="Z624" s="102" t="e">
        <f t="shared" si="525"/>
        <v>#DIV/0!</v>
      </c>
      <c r="AA624" s="102">
        <f t="shared" si="525"/>
        <v>1</v>
      </c>
      <c r="AB624" s="102">
        <f t="shared" si="525"/>
        <v>1</v>
      </c>
      <c r="AC624" s="102">
        <f t="shared" si="525"/>
        <v>1</v>
      </c>
      <c r="AD624" s="102" t="e">
        <f t="shared" si="525"/>
        <v>#DIV/0!</v>
      </c>
    </row>
    <row r="628" spans="2:30" ht="15.5">
      <c r="B628" s="101" t="s">
        <v>631</v>
      </c>
    </row>
    <row r="629" spans="2:30">
      <c r="B629" s="81" t="s">
        <v>573</v>
      </c>
      <c r="C629" s="81" t="s">
        <v>63</v>
      </c>
      <c r="D629" s="81" t="str">
        <f>D616</f>
        <v>IE</v>
      </c>
      <c r="E629" s="81" t="str">
        <f t="shared" ref="E629:AD629" si="526">E616</f>
        <v>IE-CW</v>
      </c>
      <c r="F629" s="81" t="str">
        <f t="shared" si="526"/>
        <v>IE-D</v>
      </c>
      <c r="G629" s="81" t="str">
        <f t="shared" si="526"/>
        <v>IE-KE</v>
      </c>
      <c r="H629" s="81" t="str">
        <f t="shared" si="526"/>
        <v>IE-KK</v>
      </c>
      <c r="I629" s="81" t="str">
        <f t="shared" si="526"/>
        <v>IE-LS</v>
      </c>
      <c r="J629" s="81" t="str">
        <f t="shared" si="526"/>
        <v>IE-LD</v>
      </c>
      <c r="K629" s="81" t="str">
        <f t="shared" si="526"/>
        <v>IE-LH</v>
      </c>
      <c r="L629" s="81" t="str">
        <f t="shared" si="526"/>
        <v>IE-MH</v>
      </c>
      <c r="M629" s="81" t="str">
        <f t="shared" si="526"/>
        <v>IE-OY</v>
      </c>
      <c r="N629" s="81" t="str">
        <f t="shared" si="526"/>
        <v>IE-WH</v>
      </c>
      <c r="O629" s="81" t="str">
        <f t="shared" si="526"/>
        <v>IE-WX</v>
      </c>
      <c r="P629" s="81" t="str">
        <f t="shared" si="526"/>
        <v>IE-WW</v>
      </c>
      <c r="Q629" s="81" t="str">
        <f t="shared" si="526"/>
        <v>IE-CE</v>
      </c>
      <c r="R629" s="81" t="str">
        <f t="shared" si="526"/>
        <v>IE-CO</v>
      </c>
      <c r="S629" s="81" t="str">
        <f t="shared" si="526"/>
        <v>IE-KY</v>
      </c>
      <c r="T629" s="81" t="str">
        <f t="shared" si="526"/>
        <v>IE-LK</v>
      </c>
      <c r="U629" s="81" t="str">
        <f t="shared" si="526"/>
        <v>IE-TA</v>
      </c>
      <c r="V629" s="81" t="str">
        <f t="shared" si="526"/>
        <v>IE-WD</v>
      </c>
      <c r="W629" s="81" t="str">
        <f t="shared" si="526"/>
        <v>IE-G</v>
      </c>
      <c r="X629" s="81" t="str">
        <f t="shared" si="526"/>
        <v>IE-LM</v>
      </c>
      <c r="Y629" s="81" t="str">
        <f t="shared" si="526"/>
        <v>IE-MO</v>
      </c>
      <c r="Z629" s="81" t="str">
        <f t="shared" si="526"/>
        <v>IE-RN</v>
      </c>
      <c r="AA629" s="81" t="str">
        <f t="shared" si="526"/>
        <v>IE-SO</v>
      </c>
      <c r="AB629" s="81" t="str">
        <f t="shared" si="526"/>
        <v>IE-CN</v>
      </c>
      <c r="AC629" s="81" t="str">
        <f t="shared" si="526"/>
        <v>IE-DL</v>
      </c>
      <c r="AD629" s="81" t="str">
        <f t="shared" si="526"/>
        <v>IE-MN</v>
      </c>
    </row>
    <row r="630" spans="2:30">
      <c r="B630" t="s">
        <v>317</v>
      </c>
      <c r="C630" t="s">
        <v>578</v>
      </c>
      <c r="D630" s="177">
        <v>1.171188111860114</v>
      </c>
      <c r="E630" s="177">
        <v>1.171188111860114</v>
      </c>
      <c r="F630" s="177">
        <v>1.171188111860114</v>
      </c>
      <c r="G630" s="177">
        <v>1.171188111860114</v>
      </c>
      <c r="H630" s="177">
        <v>1.171188111860114</v>
      </c>
      <c r="I630" s="177">
        <v>1.171188111860114</v>
      </c>
      <c r="J630" s="177">
        <v>1.171188111860114</v>
      </c>
      <c r="K630" s="177">
        <v>1.171188111860114</v>
      </c>
      <c r="L630" s="177">
        <v>1.171188111860114</v>
      </c>
      <c r="M630" s="177">
        <v>1.171188111860114</v>
      </c>
      <c r="N630" s="177">
        <v>1.171188111860114</v>
      </c>
      <c r="O630" s="177">
        <v>1.171188111860114</v>
      </c>
      <c r="P630" s="177">
        <v>1.171188111860114</v>
      </c>
      <c r="Q630" s="177">
        <v>1.171188111860114</v>
      </c>
      <c r="R630" s="177">
        <v>1.171188111860114</v>
      </c>
      <c r="S630" s="177">
        <v>1.171188111860114</v>
      </c>
      <c r="T630" s="177">
        <v>1.171188111860114</v>
      </c>
      <c r="U630" s="177">
        <v>1.171188111860114</v>
      </c>
      <c r="V630" s="177">
        <v>1.171188111860114</v>
      </c>
      <c r="W630" s="177">
        <v>1.171188111860114</v>
      </c>
      <c r="X630" s="177">
        <v>1.171188111860114</v>
      </c>
      <c r="Y630" s="177">
        <v>1.171188111860114</v>
      </c>
      <c r="Z630" s="177">
        <v>1.171188111860114</v>
      </c>
      <c r="AA630" s="177">
        <v>1.171188111860114</v>
      </c>
      <c r="AB630" s="177">
        <v>1.171188111860114</v>
      </c>
      <c r="AC630" s="177">
        <v>1.171188111860114</v>
      </c>
      <c r="AD630" s="177">
        <v>1.171188111860114</v>
      </c>
    </row>
    <row r="631" spans="2:30">
      <c r="B631" t="s">
        <v>318</v>
      </c>
      <c r="C631" t="s">
        <v>578</v>
      </c>
      <c r="D631" s="177">
        <v>1.192415230181668</v>
      </c>
      <c r="E631" s="177">
        <v>1.192415230181668</v>
      </c>
      <c r="F631" s="177">
        <v>1.192415230181668</v>
      </c>
      <c r="G631" s="177">
        <v>1.192415230181668</v>
      </c>
      <c r="H631" s="177">
        <v>1.192415230181668</v>
      </c>
      <c r="I631" s="177">
        <v>1.192415230181668</v>
      </c>
      <c r="J631" s="177">
        <v>1.192415230181668</v>
      </c>
      <c r="K631" s="177">
        <v>1.192415230181668</v>
      </c>
      <c r="L631" s="177">
        <v>1.192415230181668</v>
      </c>
      <c r="M631" s="177">
        <v>1.192415230181668</v>
      </c>
      <c r="N631" s="177">
        <v>1.192415230181668</v>
      </c>
      <c r="O631" s="177">
        <v>1.192415230181668</v>
      </c>
      <c r="P631" s="177">
        <v>1.192415230181668</v>
      </c>
      <c r="Q631" s="177">
        <v>1.192415230181668</v>
      </c>
      <c r="R631" s="177">
        <v>1.192415230181668</v>
      </c>
      <c r="S631" s="177">
        <v>1.192415230181668</v>
      </c>
      <c r="T631" s="177">
        <v>1.192415230181668</v>
      </c>
      <c r="U631" s="177">
        <v>1.192415230181668</v>
      </c>
      <c r="V631" s="177">
        <v>1.192415230181668</v>
      </c>
      <c r="W631" s="177">
        <v>1.192415230181668</v>
      </c>
      <c r="X631" s="177">
        <v>1.192415230181668</v>
      </c>
      <c r="Y631" s="177">
        <v>1.192415230181668</v>
      </c>
      <c r="Z631" s="177">
        <v>1.192415230181668</v>
      </c>
      <c r="AA631" s="177">
        <v>1.192415230181668</v>
      </c>
      <c r="AB631" s="177">
        <v>1.192415230181668</v>
      </c>
      <c r="AC631" s="177">
        <v>1.192415230181668</v>
      </c>
      <c r="AD631" s="177">
        <v>1.192415230181668</v>
      </c>
    </row>
    <row r="632" spans="2:30">
      <c r="B632" t="s">
        <v>319</v>
      </c>
      <c r="C632" t="s">
        <v>578</v>
      </c>
      <c r="D632" s="177">
        <v>1.3235671555470419</v>
      </c>
      <c r="E632" s="177">
        <v>1.3235671555470419</v>
      </c>
      <c r="F632" s="177">
        <v>1.3235671555470419</v>
      </c>
      <c r="G632" s="177">
        <v>1.3235671555470419</v>
      </c>
      <c r="H632" s="177">
        <v>1.3235671555470419</v>
      </c>
      <c r="I632" s="177">
        <v>1.3235671555470419</v>
      </c>
      <c r="J632" s="177">
        <v>1.3235671555470419</v>
      </c>
      <c r="K632" s="177">
        <v>1.3235671555470419</v>
      </c>
      <c r="L632" s="177">
        <v>1.3235671555470419</v>
      </c>
      <c r="M632" s="177">
        <v>1.3235671555470419</v>
      </c>
      <c r="N632" s="177">
        <v>1.3235671555470419</v>
      </c>
      <c r="O632" s="177">
        <v>1.3235671555470419</v>
      </c>
      <c r="P632" s="177">
        <v>1.3235671555470419</v>
      </c>
      <c r="Q632" s="177">
        <v>1.3235671555470419</v>
      </c>
      <c r="R632" s="177">
        <v>1.3235671555470419</v>
      </c>
      <c r="S632" s="177">
        <v>1.3235671555470419</v>
      </c>
      <c r="T632" s="177">
        <v>1.3235671555470419</v>
      </c>
      <c r="U632" s="177">
        <v>1.3235671555470419</v>
      </c>
      <c r="V632" s="177">
        <v>1.3235671555470419</v>
      </c>
      <c r="W632" s="177">
        <v>1.3235671555470419</v>
      </c>
      <c r="X632" s="177">
        <v>1.3235671555470419</v>
      </c>
      <c r="Y632" s="177">
        <v>1.3235671555470419</v>
      </c>
      <c r="Z632" s="177">
        <v>1.3235671555470419</v>
      </c>
      <c r="AA632" s="177">
        <v>1.3235671555470419</v>
      </c>
      <c r="AB632" s="177">
        <v>1.3235671555470419</v>
      </c>
      <c r="AC632" s="177">
        <v>1.3235671555470419</v>
      </c>
      <c r="AD632" s="177">
        <v>1.3235671555470419</v>
      </c>
    </row>
    <row r="633" spans="2:30">
      <c r="B633" t="s">
        <v>320</v>
      </c>
      <c r="C633" t="s">
        <v>578</v>
      </c>
      <c r="D633" s="177">
        <v>1.3373617691545401</v>
      </c>
      <c r="E633" s="177">
        <v>1.3373617691545401</v>
      </c>
      <c r="F633" s="177">
        <v>1.3373617691545401</v>
      </c>
      <c r="G633" s="177">
        <v>1.3373617691545401</v>
      </c>
      <c r="H633" s="177">
        <v>1.3373617691545401</v>
      </c>
      <c r="I633" s="177">
        <v>1.3373617691545401</v>
      </c>
      <c r="J633" s="177">
        <v>1.3373617691545401</v>
      </c>
      <c r="K633" s="177">
        <v>1.3373617691545401</v>
      </c>
      <c r="L633" s="177">
        <v>1.3373617691545401</v>
      </c>
      <c r="M633" s="177">
        <v>1.3373617691545401</v>
      </c>
      <c r="N633" s="177">
        <v>1.3373617691545401</v>
      </c>
      <c r="O633" s="177">
        <v>1.3373617691545401</v>
      </c>
      <c r="P633" s="177">
        <v>1.3373617691545401</v>
      </c>
      <c r="Q633" s="177">
        <v>1.3373617691545401</v>
      </c>
      <c r="R633" s="177">
        <v>1.3373617691545401</v>
      </c>
      <c r="S633" s="177">
        <v>1.3373617691545401</v>
      </c>
      <c r="T633" s="177">
        <v>1.3373617691545401</v>
      </c>
      <c r="U633" s="177">
        <v>1.3373617691545401</v>
      </c>
      <c r="V633" s="177">
        <v>1.3373617691545401</v>
      </c>
      <c r="W633" s="177">
        <v>1.3373617691545401</v>
      </c>
      <c r="X633" s="177">
        <v>1.3373617691545401</v>
      </c>
      <c r="Y633" s="177">
        <v>1.3373617691545401</v>
      </c>
      <c r="Z633" s="177">
        <v>1.3373617691545401</v>
      </c>
      <c r="AA633" s="177">
        <v>1.3373617691545401</v>
      </c>
      <c r="AB633" s="177">
        <v>1.3373617691545401</v>
      </c>
      <c r="AC633" s="177">
        <v>1.3373617691545401</v>
      </c>
      <c r="AD633" s="177">
        <v>1.3373617691545401</v>
      </c>
    </row>
    <row r="634" spans="2:30">
      <c r="B634" t="s">
        <v>321</v>
      </c>
      <c r="C634" t="s">
        <v>578</v>
      </c>
      <c r="D634" s="177">
        <v>1.4009525553811268</v>
      </c>
      <c r="E634" s="177">
        <v>1.4009525553811268</v>
      </c>
      <c r="F634" s="177">
        <v>1.4009525553811268</v>
      </c>
      <c r="G634" s="177">
        <v>1.4009525553811268</v>
      </c>
      <c r="H634" s="177">
        <v>1.4009525553811268</v>
      </c>
      <c r="I634" s="177">
        <v>1.4009525553811268</v>
      </c>
      <c r="J634" s="177">
        <v>1.4009525553811268</v>
      </c>
      <c r="K634" s="177">
        <v>1.4009525553811268</v>
      </c>
      <c r="L634" s="177">
        <v>1.4009525553811268</v>
      </c>
      <c r="M634" s="177">
        <v>1.4009525553811268</v>
      </c>
      <c r="N634" s="177">
        <v>1.4009525553811268</v>
      </c>
      <c r="O634" s="177">
        <v>1.4009525553811268</v>
      </c>
      <c r="P634" s="177">
        <v>1.4009525553811268</v>
      </c>
      <c r="Q634" s="177">
        <v>1.4009525553811268</v>
      </c>
      <c r="R634" s="177">
        <v>1.4009525553811268</v>
      </c>
      <c r="S634" s="177">
        <v>1.4009525553811268</v>
      </c>
      <c r="T634" s="177">
        <v>1.4009525553811268</v>
      </c>
      <c r="U634" s="177">
        <v>1.4009525553811268</v>
      </c>
      <c r="V634" s="177">
        <v>1.4009525553811268</v>
      </c>
      <c r="W634" s="177">
        <v>1.4009525553811268</v>
      </c>
      <c r="X634" s="177">
        <v>1.4009525553811268</v>
      </c>
      <c r="Y634" s="177">
        <v>1.4009525553811268</v>
      </c>
      <c r="Z634" s="177">
        <v>1.4009525553811268</v>
      </c>
      <c r="AA634" s="177">
        <v>1.4009525553811268</v>
      </c>
      <c r="AB634" s="177">
        <v>1.4009525553811268</v>
      </c>
      <c r="AC634" s="177">
        <v>1.4009525553811268</v>
      </c>
      <c r="AD634" s="177">
        <v>1.4009525553811268</v>
      </c>
    </row>
    <row r="635" spans="2:30">
      <c r="B635" t="s">
        <v>322</v>
      </c>
      <c r="C635" t="s">
        <v>578</v>
      </c>
      <c r="D635" s="177">
        <v>1.4082063462648766</v>
      </c>
      <c r="E635" s="177">
        <v>1.4082063462648766</v>
      </c>
      <c r="F635" s="177">
        <v>1.4082063462648766</v>
      </c>
      <c r="G635" s="177">
        <v>1.4082063462648766</v>
      </c>
      <c r="H635" s="177">
        <v>1.4082063462648766</v>
      </c>
      <c r="I635" s="177">
        <v>1.4082063462648766</v>
      </c>
      <c r="J635" s="177">
        <v>1.4082063462648766</v>
      </c>
      <c r="K635" s="177">
        <v>1.4082063462648766</v>
      </c>
      <c r="L635" s="177">
        <v>1.4082063462648766</v>
      </c>
      <c r="M635" s="177">
        <v>1.4082063462648766</v>
      </c>
      <c r="N635" s="177">
        <v>1.4082063462648766</v>
      </c>
      <c r="O635" s="177">
        <v>1.4082063462648766</v>
      </c>
      <c r="P635" s="177">
        <v>1.4082063462648766</v>
      </c>
      <c r="Q635" s="177">
        <v>1.4082063462648766</v>
      </c>
      <c r="R635" s="177">
        <v>1.4082063462648766</v>
      </c>
      <c r="S635" s="177">
        <v>1.4082063462648766</v>
      </c>
      <c r="T635" s="177">
        <v>1.4082063462648766</v>
      </c>
      <c r="U635" s="177">
        <v>1.4082063462648766</v>
      </c>
      <c r="V635" s="177">
        <v>1.4082063462648766</v>
      </c>
      <c r="W635" s="177">
        <v>1.4082063462648766</v>
      </c>
      <c r="X635" s="177">
        <v>1.4082063462648766</v>
      </c>
      <c r="Y635" s="177">
        <v>1.4082063462648766</v>
      </c>
      <c r="Z635" s="177">
        <v>1.4082063462648766</v>
      </c>
      <c r="AA635" s="177">
        <v>1.4082063462648766</v>
      </c>
      <c r="AB635" s="177">
        <v>1.4082063462648766</v>
      </c>
      <c r="AC635" s="177">
        <v>1.4082063462648766</v>
      </c>
      <c r="AD635" s="177">
        <v>1.4082063462648766</v>
      </c>
    </row>
    <row r="636" spans="2:30">
      <c r="B636" s="79" t="s">
        <v>323</v>
      </c>
      <c r="C636" s="79" t="s">
        <v>578</v>
      </c>
      <c r="D636" s="178">
        <v>1.5780931425905766</v>
      </c>
      <c r="E636" s="178">
        <v>1.5780931425905766</v>
      </c>
      <c r="F636" s="178">
        <v>1.5780931425905766</v>
      </c>
      <c r="G636" s="178">
        <v>1.5780931425905766</v>
      </c>
      <c r="H636" s="178">
        <v>1.5780931425905766</v>
      </c>
      <c r="I636" s="178">
        <v>1.5780931425905766</v>
      </c>
      <c r="J636" s="178">
        <v>1.5780931425905766</v>
      </c>
      <c r="K636" s="178">
        <v>1.5780931425905766</v>
      </c>
      <c r="L636" s="178">
        <v>1.5780931425905766</v>
      </c>
      <c r="M636" s="178">
        <v>1.5780931425905766</v>
      </c>
      <c r="N636" s="178">
        <v>1.5780931425905766</v>
      </c>
      <c r="O636" s="178">
        <v>1.5780931425905766</v>
      </c>
      <c r="P636" s="178">
        <v>1.5780931425905766</v>
      </c>
      <c r="Q636" s="178">
        <v>1.5780931425905766</v>
      </c>
      <c r="R636" s="178">
        <v>1.5780931425905766</v>
      </c>
      <c r="S636" s="178">
        <v>1.5780931425905766</v>
      </c>
      <c r="T636" s="178">
        <v>1.5780931425905766</v>
      </c>
      <c r="U636" s="178">
        <v>1.5780931425905766</v>
      </c>
      <c r="V636" s="178">
        <v>1.5780931425905766</v>
      </c>
      <c r="W636" s="178">
        <v>1.5780931425905766</v>
      </c>
      <c r="X636" s="178">
        <v>1.5780931425905766</v>
      </c>
      <c r="Y636" s="178">
        <v>1.5780931425905766</v>
      </c>
      <c r="Z636" s="178">
        <v>1.5780931425905766</v>
      </c>
      <c r="AA636" s="178">
        <v>1.5780931425905766</v>
      </c>
      <c r="AB636" s="178">
        <v>1.5780931425905766</v>
      </c>
      <c r="AC636" s="178">
        <v>1.5780931425905766</v>
      </c>
      <c r="AD636" s="178">
        <v>1.5780931425905766</v>
      </c>
    </row>
    <row r="637" spans="2:30">
      <c r="B637" t="s">
        <v>582</v>
      </c>
    </row>
    <row r="641" spans="2:30" ht="15.5">
      <c r="B641" s="101" t="s">
        <v>631</v>
      </c>
    </row>
    <row r="642" spans="2:30">
      <c r="B642" s="81" t="s">
        <v>573</v>
      </c>
      <c r="C642" s="81" t="s">
        <v>63</v>
      </c>
      <c r="D642" s="81" t="str">
        <f>D629</f>
        <v>IE</v>
      </c>
      <c r="E642" s="81" t="str">
        <f t="shared" ref="E642:AD642" si="527">E629</f>
        <v>IE-CW</v>
      </c>
      <c r="F642" s="81" t="str">
        <f t="shared" si="527"/>
        <v>IE-D</v>
      </c>
      <c r="G642" s="81" t="str">
        <f t="shared" si="527"/>
        <v>IE-KE</v>
      </c>
      <c r="H642" s="81" t="str">
        <f t="shared" si="527"/>
        <v>IE-KK</v>
      </c>
      <c r="I642" s="81" t="str">
        <f t="shared" si="527"/>
        <v>IE-LS</v>
      </c>
      <c r="J642" s="81" t="str">
        <f t="shared" si="527"/>
        <v>IE-LD</v>
      </c>
      <c r="K642" s="81" t="str">
        <f t="shared" si="527"/>
        <v>IE-LH</v>
      </c>
      <c r="L642" s="81" t="str">
        <f t="shared" si="527"/>
        <v>IE-MH</v>
      </c>
      <c r="M642" s="81" t="str">
        <f t="shared" si="527"/>
        <v>IE-OY</v>
      </c>
      <c r="N642" s="81" t="str">
        <f t="shared" si="527"/>
        <v>IE-WH</v>
      </c>
      <c r="O642" s="81" t="str">
        <f t="shared" si="527"/>
        <v>IE-WX</v>
      </c>
      <c r="P642" s="81" t="str">
        <f t="shared" si="527"/>
        <v>IE-WW</v>
      </c>
      <c r="Q642" s="81" t="str">
        <f t="shared" si="527"/>
        <v>IE-CE</v>
      </c>
      <c r="R642" s="81" t="str">
        <f t="shared" si="527"/>
        <v>IE-CO</v>
      </c>
      <c r="S642" s="81" t="str">
        <f t="shared" si="527"/>
        <v>IE-KY</v>
      </c>
      <c r="T642" s="81" t="str">
        <f t="shared" si="527"/>
        <v>IE-LK</v>
      </c>
      <c r="U642" s="81" t="str">
        <f t="shared" si="527"/>
        <v>IE-TA</v>
      </c>
      <c r="V642" s="81" t="str">
        <f t="shared" si="527"/>
        <v>IE-WD</v>
      </c>
      <c r="W642" s="81" t="str">
        <f t="shared" si="527"/>
        <v>IE-G</v>
      </c>
      <c r="X642" s="81" t="str">
        <f t="shared" si="527"/>
        <v>IE-LM</v>
      </c>
      <c r="Y642" s="81" t="str">
        <f t="shared" si="527"/>
        <v>IE-MO</v>
      </c>
      <c r="Z642" s="81" t="str">
        <f t="shared" si="527"/>
        <v>IE-RN</v>
      </c>
      <c r="AA642" s="81" t="str">
        <f t="shared" si="527"/>
        <v>IE-SO</v>
      </c>
      <c r="AB642" s="81" t="str">
        <f t="shared" si="527"/>
        <v>IE-CN</v>
      </c>
      <c r="AC642" s="81" t="str">
        <f t="shared" si="527"/>
        <v>IE-DL</v>
      </c>
      <c r="AD642" s="81" t="str">
        <f t="shared" si="527"/>
        <v>IE-MN</v>
      </c>
    </row>
    <row r="643" spans="2:30">
      <c r="B643" t="s">
        <v>594</v>
      </c>
      <c r="C643" t="s">
        <v>578</v>
      </c>
      <c r="D643" s="177">
        <f t="shared" ref="D643:I643" si="528">SUMPRODUCT(D617:D623,D630:D636)</f>
        <v>1.3982902286261438</v>
      </c>
      <c r="E643" s="177">
        <f t="shared" si="528"/>
        <v>1.4293400056268426</v>
      </c>
      <c r="F643" s="177">
        <f t="shared" si="528"/>
        <v>1.3973214674009706</v>
      </c>
      <c r="G643" s="177">
        <f t="shared" si="528"/>
        <v>1.3977513781816078</v>
      </c>
      <c r="H643" s="177">
        <f t="shared" si="528"/>
        <v>1.5780931425905766</v>
      </c>
      <c r="I643" s="177">
        <f t="shared" si="528"/>
        <v>1.37363011166233</v>
      </c>
      <c r="J643" s="177">
        <f>D643</f>
        <v>1.3982902286261438</v>
      </c>
      <c r="K643" s="177">
        <f t="shared" ref="K643:W643" si="529">SUMPRODUCT(K617:K623,K630:K636)</f>
        <v>1.4418174563639825</v>
      </c>
      <c r="L643" s="177">
        <f t="shared" si="529"/>
        <v>1.3915029397913203</v>
      </c>
      <c r="M643" s="177">
        <f t="shared" si="529"/>
        <v>1.4009525553811268</v>
      </c>
      <c r="N643" s="177">
        <f t="shared" si="529"/>
        <v>1.4092790578405063</v>
      </c>
      <c r="O643" s="177">
        <f t="shared" si="529"/>
        <v>1.4009525553811268</v>
      </c>
      <c r="P643" s="177">
        <f t="shared" si="529"/>
        <v>1.4184217555323364</v>
      </c>
      <c r="Q643" s="177">
        <f t="shared" si="529"/>
        <v>1.3827837593163879</v>
      </c>
      <c r="R643" s="177">
        <f t="shared" si="529"/>
        <v>1.3882009893803255</v>
      </c>
      <c r="S643" s="177">
        <f t="shared" si="529"/>
        <v>1.3435114445008736</v>
      </c>
      <c r="T643" s="177">
        <f t="shared" si="529"/>
        <v>1.3856561581194693</v>
      </c>
      <c r="U643" s="177">
        <f t="shared" si="529"/>
        <v>1.4624173480788598</v>
      </c>
      <c r="V643" s="177">
        <f t="shared" si="529"/>
        <v>1.4082063462648766</v>
      </c>
      <c r="W643" s="177">
        <f t="shared" si="529"/>
        <v>1.4594314273063471</v>
      </c>
      <c r="X643" s="177">
        <f>D643</f>
        <v>1.3982902286261438</v>
      </c>
      <c r="Y643" s="177">
        <f>SUMPRODUCT(Y617:Y623,Y630:Y636)</f>
        <v>1.3691571622678333</v>
      </c>
      <c r="Z643" s="177">
        <f>D643</f>
        <v>1.3982902286261438</v>
      </c>
      <c r="AA643" s="177">
        <f>SUMPRODUCT(AA617:AA623,AA630:AA636)</f>
        <v>1.4045794508230016</v>
      </c>
      <c r="AB643" s="177">
        <f>SUMPRODUCT(AB617:AB623,AB630:AB636)</f>
        <v>1.171188111860114</v>
      </c>
      <c r="AC643" s="177">
        <f>SUMPRODUCT(AC617:AC623,AC630:AC636)</f>
        <v>1.4009525553811268</v>
      </c>
      <c r="AD643" s="177">
        <f>D643</f>
        <v>1.3982902286261438</v>
      </c>
    </row>
    <row r="644" spans="2:30">
      <c r="B644" s="79"/>
      <c r="C644" s="79" t="s">
        <v>566</v>
      </c>
      <c r="D644" s="180">
        <f>1000/D643</f>
        <v>715.15911327115953</v>
      </c>
      <c r="E644" s="180">
        <f>1000/E643</f>
        <v>699.62359974766548</v>
      </c>
      <c r="F644" s="180">
        <f>1000/F643</f>
        <v>715.65493218966151</v>
      </c>
      <c r="G644" s="180">
        <f>1000/G643</f>
        <v>715.43481595485252</v>
      </c>
      <c r="H644" s="180">
        <f t="shared" ref="H644" si="530">1000/H643</f>
        <v>633.67615827695272</v>
      </c>
      <c r="I644" s="180">
        <f t="shared" ref="I644" si="531">1000/I643</f>
        <v>727.99801890614287</v>
      </c>
      <c r="J644" s="180">
        <f t="shared" ref="J644" si="532">1000/J643</f>
        <v>715.15911327115953</v>
      </c>
      <c r="K644" s="180">
        <f t="shared" ref="K644" si="533">1000/K643</f>
        <v>693.56907532651826</v>
      </c>
      <c r="L644" s="180">
        <f t="shared" ref="L644" si="534">1000/L643</f>
        <v>718.64742172227614</v>
      </c>
      <c r="M644" s="180">
        <f t="shared" ref="M644" si="535">1000/M643</f>
        <v>713.80004708864078</v>
      </c>
      <c r="N644" s="180">
        <f t="shared" ref="N644" si="536">1000/N643</f>
        <v>709.58267238593555</v>
      </c>
      <c r="O644" s="180">
        <f t="shared" ref="O644" si="537">1000/O643</f>
        <v>713.80004708864078</v>
      </c>
      <c r="P644" s="180">
        <f t="shared" ref="P644" si="538">1000/P643</f>
        <v>705.00892706957814</v>
      </c>
      <c r="Q644" s="180">
        <f t="shared" ref="Q644" si="539">1000/Q643</f>
        <v>723.17887251899299</v>
      </c>
      <c r="R644" s="180">
        <f t="shared" ref="R644" si="540">1000/R643</f>
        <v>720.35678381585558</v>
      </c>
      <c r="S644" s="180">
        <f t="shared" ref="S644" si="541">1000/S643</f>
        <v>744.31818507620449</v>
      </c>
      <c r="T644" s="180">
        <f t="shared" ref="T644" si="542">1000/T643</f>
        <v>721.67975737728534</v>
      </c>
      <c r="U644" s="180">
        <f t="shared" ref="U644" si="543">1000/U643</f>
        <v>683.7993280876176</v>
      </c>
      <c r="V644" s="180">
        <f t="shared" ref="V644" si="544">1000/V643</f>
        <v>710.12320222274082</v>
      </c>
      <c r="W644" s="180">
        <f t="shared" ref="W644" si="545">1000/W643</f>
        <v>685.1983459378331</v>
      </c>
      <c r="X644" s="180">
        <f t="shared" ref="X644" si="546">1000/X643</f>
        <v>715.15911327115953</v>
      </c>
      <c r="Y644" s="180">
        <f t="shared" ref="Y644" si="547">1000/Y643</f>
        <v>730.37634214587035</v>
      </c>
      <c r="Z644" s="180">
        <f t="shared" ref="Z644" si="548">1000/Z643</f>
        <v>715.15911327115953</v>
      </c>
      <c r="AA644" s="180">
        <f t="shared" ref="AA644" si="549">1000/AA643</f>
        <v>711.95687749387071</v>
      </c>
      <c r="AB644" s="180">
        <f t="shared" ref="AB644" si="550">1000/AB643</f>
        <v>853.83380336039431</v>
      </c>
      <c r="AC644" s="180">
        <f t="shared" ref="AC644" si="551">1000/AC643</f>
        <v>713.80004708864078</v>
      </c>
      <c r="AD644" s="180">
        <f t="shared" ref="AD644" si="552">1000/AD643</f>
        <v>715.15911327115953</v>
      </c>
    </row>
    <row r="654" spans="2:30">
      <c r="B654" t="s">
        <v>757</v>
      </c>
    </row>
    <row r="655" spans="2:30">
      <c r="B655" s="14" t="s">
        <v>2</v>
      </c>
      <c r="C655" s="14"/>
      <c r="D655" s="14">
        <v>2014</v>
      </c>
      <c r="E655" s="14">
        <v>2015</v>
      </c>
      <c r="F655" s="14">
        <v>2016</v>
      </c>
      <c r="G655" s="14">
        <v>2017</v>
      </c>
      <c r="H655" s="14">
        <v>2018</v>
      </c>
    </row>
    <row r="656" spans="2:30">
      <c r="B656" t="s">
        <v>44</v>
      </c>
      <c r="C656" s="83"/>
      <c r="D656" s="83">
        <v>414900</v>
      </c>
      <c r="E656" s="83">
        <f>D656</f>
        <v>414900</v>
      </c>
      <c r="F656" s="83">
        <v>429000</v>
      </c>
      <c r="G656" s="83">
        <v>438000</v>
      </c>
      <c r="H656" s="83">
        <v>445500</v>
      </c>
    </row>
    <row r="657" spans="2:8">
      <c r="B657" t="s">
        <v>43</v>
      </c>
      <c r="C657" s="83"/>
      <c r="D657" s="83">
        <v>19200</v>
      </c>
      <c r="E657" s="83">
        <f>D657</f>
        <v>19200</v>
      </c>
      <c r="F657" s="83">
        <v>24458</v>
      </c>
      <c r="G657" s="83">
        <v>25240</v>
      </c>
      <c r="H657" s="83">
        <v>26222</v>
      </c>
    </row>
    <row r="658" spans="2:8">
      <c r="B658" t="s">
        <v>45</v>
      </c>
      <c r="C658" s="83"/>
      <c r="D658" s="83">
        <v>15300</v>
      </c>
      <c r="E658" s="83">
        <f t="shared" ref="E658:E673" si="553">D658</f>
        <v>15300</v>
      </c>
      <c r="F658" s="83">
        <v>15700</v>
      </c>
      <c r="G658" s="83">
        <v>15527</v>
      </c>
      <c r="H658" s="83">
        <v>15005</v>
      </c>
    </row>
    <row r="659" spans="2:8">
      <c r="B659" t="s">
        <v>46</v>
      </c>
      <c r="C659" s="83"/>
      <c r="D659" s="83">
        <v>37400</v>
      </c>
      <c r="E659" s="83">
        <f t="shared" si="553"/>
        <v>37400</v>
      </c>
      <c r="F659" s="83">
        <v>36889</v>
      </c>
      <c r="G659" s="83">
        <v>36816</v>
      </c>
      <c r="H659" s="83">
        <v>37031</v>
      </c>
    </row>
    <row r="660" spans="2:8">
      <c r="B660" t="s">
        <v>47</v>
      </c>
      <c r="C660" s="83"/>
      <c r="D660" s="83">
        <v>8400</v>
      </c>
      <c r="E660" s="83">
        <f t="shared" si="553"/>
        <v>8400</v>
      </c>
      <c r="F660" s="83">
        <v>8700</v>
      </c>
      <c r="G660" s="83">
        <v>8600</v>
      </c>
      <c r="H660" s="83">
        <v>9032</v>
      </c>
    </row>
    <row r="661" spans="2:8">
      <c r="B661" t="s">
        <v>48</v>
      </c>
      <c r="C661" s="83"/>
      <c r="D661" s="83">
        <v>495200</v>
      </c>
      <c r="E661" s="83">
        <f t="shared" si="553"/>
        <v>495200</v>
      </c>
      <c r="F661" s="83">
        <f t="shared" ref="F661:G661" si="554">SUM(F656:F660)</f>
        <v>514747</v>
      </c>
      <c r="G661" s="83">
        <f t="shared" si="554"/>
        <v>524183</v>
      </c>
      <c r="H661" s="83">
        <f>SUM(H656:H660)</f>
        <v>532790</v>
      </c>
    </row>
    <row r="662" spans="2:8">
      <c r="C662" s="13"/>
      <c r="D662" s="13">
        <v>0.64</v>
      </c>
      <c r="E662" s="13">
        <f t="shared" si="553"/>
        <v>0.64</v>
      </c>
      <c r="F662" s="13"/>
      <c r="G662" s="13"/>
      <c r="H662" s="13"/>
    </row>
    <row r="663" spans="2:8">
      <c r="B663" t="s">
        <v>49</v>
      </c>
      <c r="C663" s="83"/>
      <c r="D663" s="83">
        <v>1803</v>
      </c>
      <c r="E663" s="83">
        <f t="shared" si="553"/>
        <v>1803</v>
      </c>
      <c r="F663" s="83">
        <v>1990</v>
      </c>
      <c r="G663" s="83">
        <v>2121</v>
      </c>
      <c r="H663" s="83">
        <v>2281</v>
      </c>
    </row>
    <row r="664" spans="2:8">
      <c r="B664" t="s">
        <v>50</v>
      </c>
      <c r="D664">
        <v>2.75</v>
      </c>
      <c r="E664" s="83">
        <f t="shared" si="553"/>
        <v>2.75</v>
      </c>
      <c r="F664" s="17">
        <v>2.59</v>
      </c>
      <c r="G664" s="17">
        <v>2.4700000000000002</v>
      </c>
      <c r="H664" s="17">
        <v>2.34</v>
      </c>
    </row>
    <row r="665" spans="2:8">
      <c r="B665" t="s">
        <v>756</v>
      </c>
      <c r="D665" s="2">
        <f>10000*1000/D664/3600</f>
        <v>1010.10101010101</v>
      </c>
      <c r="E665" s="2">
        <f t="shared" ref="E665:H665" si="555">10000*1000/E664/3600</f>
        <v>1010.10101010101</v>
      </c>
      <c r="F665" s="2">
        <f t="shared" si="555"/>
        <v>1072.5010725010725</v>
      </c>
      <c r="G665" s="2">
        <f t="shared" si="555"/>
        <v>1124.6063877642825</v>
      </c>
      <c r="H665" s="2">
        <f t="shared" si="555"/>
        <v>1187.0845204178538</v>
      </c>
    </row>
    <row r="666" spans="2:8">
      <c r="C666" s="13"/>
      <c r="D666" s="13">
        <v>0.69</v>
      </c>
      <c r="E666" s="13">
        <f t="shared" si="553"/>
        <v>0.69</v>
      </c>
      <c r="F666" s="13"/>
      <c r="G666" s="13"/>
      <c r="H666" s="13"/>
    </row>
    <row r="667" spans="2:8">
      <c r="B667" t="s">
        <v>51</v>
      </c>
      <c r="D667">
        <v>18.399999999999999</v>
      </c>
      <c r="E667" s="83">
        <f t="shared" si="553"/>
        <v>18.399999999999999</v>
      </c>
      <c r="F667">
        <v>18.399999999999999</v>
      </c>
      <c r="G667">
        <v>18.63</v>
      </c>
      <c r="H667">
        <v>18.88</v>
      </c>
    </row>
    <row r="668" spans="2:8">
      <c r="B668" t="s">
        <v>52</v>
      </c>
      <c r="D668">
        <v>2.69</v>
      </c>
      <c r="E668" s="83">
        <f t="shared" si="553"/>
        <v>2.69</v>
      </c>
      <c r="F668">
        <v>2.8</v>
      </c>
      <c r="G668">
        <v>2.82</v>
      </c>
      <c r="H668">
        <v>2.82</v>
      </c>
    </row>
    <row r="669" spans="2:8">
      <c r="C669" s="13"/>
      <c r="D669" s="13">
        <v>0.65</v>
      </c>
      <c r="E669" s="13">
        <f t="shared" si="553"/>
        <v>0.65</v>
      </c>
      <c r="F669" s="13"/>
      <c r="G669" s="13"/>
      <c r="H669" s="13"/>
    </row>
    <row r="670" spans="2:8">
      <c r="B670" t="s">
        <v>53</v>
      </c>
      <c r="D670">
        <v>597</v>
      </c>
      <c r="E670" s="83">
        <f t="shared" si="553"/>
        <v>597</v>
      </c>
      <c r="F670">
        <v>614</v>
      </c>
      <c r="G670">
        <v>616</v>
      </c>
      <c r="H670">
        <v>617</v>
      </c>
    </row>
    <row r="671" spans="2:8">
      <c r="C671" s="13"/>
      <c r="D671" s="13">
        <v>1.53</v>
      </c>
      <c r="E671" s="13">
        <f t="shared" si="553"/>
        <v>1.53</v>
      </c>
      <c r="F671" s="13"/>
      <c r="G671" s="13"/>
      <c r="H671" s="13"/>
    </row>
    <row r="672" spans="2:8">
      <c r="B672" t="s">
        <v>54</v>
      </c>
      <c r="D672">
        <v>0.77</v>
      </c>
      <c r="E672" s="83">
        <f t="shared" si="553"/>
        <v>0.77</v>
      </c>
      <c r="F672">
        <v>0.74</v>
      </c>
      <c r="G672">
        <v>0.55000000000000004</v>
      </c>
      <c r="H672">
        <v>0.56000000000000005</v>
      </c>
    </row>
    <row r="673" spans="2:10">
      <c r="B673" s="15"/>
      <c r="C673" s="16"/>
      <c r="D673" s="16">
        <v>2.27</v>
      </c>
      <c r="E673" s="16">
        <f t="shared" si="553"/>
        <v>2.27</v>
      </c>
      <c r="F673" s="16"/>
      <c r="G673" s="16"/>
      <c r="H673" s="16"/>
    </row>
    <row r="674" spans="2:10">
      <c r="B674" t="s">
        <v>326</v>
      </c>
    </row>
    <row r="675" spans="2:10">
      <c r="B675" s="94" t="s">
        <v>327</v>
      </c>
      <c r="C675" s="83"/>
      <c r="D675" s="83"/>
      <c r="E675" s="83"/>
      <c r="G675" s="83"/>
      <c r="H675" s="83"/>
      <c r="I675" s="83"/>
      <c r="J675" s="83"/>
    </row>
    <row r="678" spans="2:10">
      <c r="B678" s="14"/>
      <c r="C678" s="14" t="s">
        <v>461</v>
      </c>
      <c r="D678" s="14">
        <v>2014</v>
      </c>
      <c r="E678" s="14">
        <v>2015</v>
      </c>
      <c r="F678" s="14">
        <v>2016</v>
      </c>
      <c r="G678" s="14">
        <v>2017</v>
      </c>
      <c r="H678" s="14">
        <v>2018</v>
      </c>
    </row>
    <row r="679" spans="2:10">
      <c r="B679" t="s">
        <v>762</v>
      </c>
      <c r="C679" t="s">
        <v>758</v>
      </c>
      <c r="D679" s="83">
        <f>D657+D659</f>
        <v>56600</v>
      </c>
      <c r="E679" s="83">
        <f t="shared" ref="E679:H679" si="556">E657+E659</f>
        <v>56600</v>
      </c>
      <c r="F679" s="83">
        <f t="shared" si="556"/>
        <v>61347</v>
      </c>
      <c r="G679" s="83">
        <f t="shared" si="556"/>
        <v>62056</v>
      </c>
      <c r="H679" s="83">
        <f t="shared" si="556"/>
        <v>63253</v>
      </c>
    </row>
    <row r="680" spans="2:10">
      <c r="B680" t="s">
        <v>761</v>
      </c>
      <c r="C680" t="s">
        <v>758</v>
      </c>
      <c r="D680" s="83">
        <f>D656+D658</f>
        <v>430200</v>
      </c>
      <c r="E680" s="83">
        <f t="shared" ref="E680:H680" si="557">E656+E658</f>
        <v>430200</v>
      </c>
      <c r="F680" s="83">
        <f t="shared" si="557"/>
        <v>444700</v>
      </c>
      <c r="G680" s="83">
        <f t="shared" si="557"/>
        <v>453527</v>
      </c>
      <c r="H680" s="83">
        <f t="shared" si="557"/>
        <v>460505</v>
      </c>
    </row>
    <row r="681" spans="2:10">
      <c r="B681" t="s">
        <v>764</v>
      </c>
      <c r="C681" t="s">
        <v>763</v>
      </c>
      <c r="D681" s="32">
        <f>D679/100/D663</f>
        <v>0.31392124237382141</v>
      </c>
      <c r="E681" s="32">
        <f t="shared" ref="E681:H681" si="558">E679/100/E663</f>
        <v>0.31392124237382141</v>
      </c>
      <c r="F681" s="32">
        <f t="shared" si="558"/>
        <v>0.30827638190954776</v>
      </c>
      <c r="G681" s="32">
        <f t="shared" si="558"/>
        <v>0.29257897218293255</v>
      </c>
      <c r="H681" s="32">
        <f t="shared" si="558"/>
        <v>0.27730381411661553</v>
      </c>
    </row>
    <row r="682" spans="2:10">
      <c r="B682" t="s">
        <v>765</v>
      </c>
      <c r="C682" t="s">
        <v>763</v>
      </c>
      <c r="D682" s="32">
        <f>D680/100/D663</f>
        <v>2.3860232945091515</v>
      </c>
      <c r="E682" s="32">
        <f t="shared" ref="E682:H682" si="559">E680/100/E663</f>
        <v>2.3860232945091515</v>
      </c>
      <c r="F682" s="32">
        <f t="shared" si="559"/>
        <v>2.2346733668341709</v>
      </c>
      <c r="G682" s="32">
        <f t="shared" si="559"/>
        <v>2.1382696841112683</v>
      </c>
      <c r="H682" s="32">
        <f t="shared" si="559"/>
        <v>2.0188733011836915</v>
      </c>
    </row>
    <row r="683" spans="2:10">
      <c r="B683" t="s">
        <v>1</v>
      </c>
      <c r="C683" t="s">
        <v>763</v>
      </c>
      <c r="D683" s="5">
        <f>D681+D682</f>
        <v>2.6999445368829731</v>
      </c>
      <c r="E683" s="5">
        <f t="shared" ref="E683:H683" si="560">E681+E682</f>
        <v>2.6999445368829731</v>
      </c>
      <c r="F683" s="5">
        <f t="shared" si="560"/>
        <v>2.5429497487437187</v>
      </c>
      <c r="G683" s="5">
        <f t="shared" si="560"/>
        <v>2.4308486562942009</v>
      </c>
      <c r="H683" s="5">
        <f t="shared" si="560"/>
        <v>2.2961771153003072</v>
      </c>
    </row>
    <row r="684" spans="2:10">
      <c r="B684" t="s">
        <v>759</v>
      </c>
      <c r="C684" t="s">
        <v>760</v>
      </c>
      <c r="D684" s="5">
        <f>10000*1000/D683/1000/3600</f>
        <v>1.0288277184333059</v>
      </c>
      <c r="E684" s="5">
        <f t="shared" ref="E684:H684" si="561">10000*1000/E683/1000/3600</f>
        <v>1.0288277184333059</v>
      </c>
      <c r="F684" s="5">
        <f t="shared" si="561"/>
        <v>1.0923447382906681</v>
      </c>
      <c r="G684" s="5">
        <f t="shared" si="561"/>
        <v>1.1427193423108726</v>
      </c>
      <c r="H684" s="5">
        <f t="shared" si="561"/>
        <v>1.2097402065669851</v>
      </c>
    </row>
    <row r="685" spans="2:10">
      <c r="B685" t="s">
        <v>82</v>
      </c>
      <c r="C685" t="s">
        <v>766</v>
      </c>
      <c r="D685">
        <v>80</v>
      </c>
      <c r="E685">
        <v>80</v>
      </c>
      <c r="F685">
        <v>80</v>
      </c>
      <c r="G685">
        <v>80</v>
      </c>
      <c r="H685">
        <v>80</v>
      </c>
    </row>
    <row r="686" spans="2:10">
      <c r="B686" s="256" t="s">
        <v>767</v>
      </c>
    </row>
  </sheetData>
  <hyperlinks>
    <hyperlink ref="B675" r:id="rId1" xr:uid="{4BA7157F-E0B2-4D7A-849C-9F2E12F79E5C}"/>
  </hyperlinks>
  <pageMargins left="0.7" right="0.7" top="0.75" bottom="0.75" header="0.3" footer="0.3"/>
  <pageSetup orientation="portrait" r:id="rId2"/>
  <ignoredErrors>
    <ignoredError sqref="E239" evalErro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9D0D5-9ECB-4A81-A08E-CC6E9D9D54FB}">
  <sheetPr codeName="Sheet14"/>
  <dimension ref="B2:AE139"/>
  <sheetViews>
    <sheetView topLeftCell="A66" zoomScale="85" zoomScaleNormal="85" workbookViewId="0">
      <selection activeCell="I31" sqref="I31"/>
    </sheetView>
  </sheetViews>
  <sheetFormatPr defaultRowHeight="14.5"/>
  <cols>
    <col min="1" max="1" width="5.453125" customWidth="1"/>
    <col min="2" max="2" width="22.453125" bestFit="1" customWidth="1"/>
    <col min="3" max="3" width="15.453125" customWidth="1"/>
    <col min="4" max="30" width="10" customWidth="1"/>
    <col min="31" max="31" width="16.453125" bestFit="1" customWidth="1"/>
  </cols>
  <sheetData>
    <row r="2" spans="2:30">
      <c r="C2" s="141" t="s">
        <v>902</v>
      </c>
    </row>
    <row r="3" spans="2:30" ht="15" thickBot="1">
      <c r="B3" s="35" t="s">
        <v>69</v>
      </c>
      <c r="C3" s="35" t="s">
        <v>94</v>
      </c>
      <c r="D3" s="146" t="str">
        <f>Efficiency!E4</f>
        <v>IE</v>
      </c>
      <c r="E3" s="146" t="str">
        <f>Efficiency!F4</f>
        <v>IE-CW</v>
      </c>
      <c r="F3" s="146" t="str">
        <f>Efficiency!G4</f>
        <v>IE-D</v>
      </c>
      <c r="G3" s="146" t="str">
        <f>Efficiency!H4</f>
        <v>IE-KE</v>
      </c>
      <c r="H3" s="146" t="str">
        <f>Efficiency!I4</f>
        <v>IE-KK</v>
      </c>
      <c r="I3" s="146" t="str">
        <f>Efficiency!J4</f>
        <v>IE-LS</v>
      </c>
      <c r="J3" s="146" t="str">
        <f>Efficiency!K4</f>
        <v>IE-LD</v>
      </c>
      <c r="K3" s="146" t="str">
        <f>Efficiency!L4</f>
        <v>IE-LH</v>
      </c>
      <c r="L3" s="146" t="str">
        <f>Efficiency!M4</f>
        <v>IE-MH</v>
      </c>
      <c r="M3" s="146" t="str">
        <f>Efficiency!N4</f>
        <v>IE-OY</v>
      </c>
      <c r="N3" s="146" t="str">
        <f>Efficiency!O4</f>
        <v>IE-WH</v>
      </c>
      <c r="O3" s="146" t="str">
        <f>Efficiency!P4</f>
        <v>IE-WX</v>
      </c>
      <c r="P3" s="146" t="str">
        <f>Efficiency!Q4</f>
        <v>IE-WW</v>
      </c>
      <c r="Q3" s="146" t="str">
        <f>Efficiency!R4</f>
        <v>IE-CE</v>
      </c>
      <c r="R3" s="146" t="str">
        <f>Efficiency!S4</f>
        <v>IE-CO</v>
      </c>
      <c r="S3" s="146" t="str">
        <f>Efficiency!T4</f>
        <v>IE-KY</v>
      </c>
      <c r="T3" s="146" t="str">
        <f>Efficiency!U4</f>
        <v>IE-LK</v>
      </c>
      <c r="U3" s="146" t="str">
        <f>Efficiency!V4</f>
        <v>IE-TA</v>
      </c>
      <c r="V3" s="146" t="str">
        <f>Efficiency!W4</f>
        <v>IE-WD</v>
      </c>
      <c r="W3" s="146" t="str">
        <f>Efficiency!X4</f>
        <v>IE-G</v>
      </c>
      <c r="X3" s="146" t="str">
        <f>Efficiency!Y4</f>
        <v>IE-LM</v>
      </c>
      <c r="Y3" s="146" t="str">
        <f>Efficiency!Z4</f>
        <v>IE-MO</v>
      </c>
      <c r="Z3" s="146" t="str">
        <f>Efficiency!AA4</f>
        <v>IE-RN</v>
      </c>
      <c r="AA3" s="146" t="str">
        <f>Efficiency!AB4</f>
        <v>IE-SO</v>
      </c>
      <c r="AB3" s="146" t="str">
        <f>Efficiency!AC4</f>
        <v>IE-CN</v>
      </c>
      <c r="AC3" s="146" t="str">
        <f>Efficiency!AD4</f>
        <v>IE-DL</v>
      </c>
      <c r="AD3" s="146" t="str">
        <f>Efficiency!AE4</f>
        <v>IE-MN</v>
      </c>
    </row>
    <row r="4" spans="2:30">
      <c r="B4" t="str">
        <f>Processes!D6</f>
        <v>T-WLK_WLK</v>
      </c>
      <c r="C4" t="s">
        <v>744</v>
      </c>
      <c r="D4" s="5">
        <v>8</v>
      </c>
      <c r="E4" s="5">
        <v>8</v>
      </c>
      <c r="F4" s="5">
        <v>8</v>
      </c>
      <c r="G4" s="5">
        <v>8</v>
      </c>
      <c r="H4" s="5">
        <v>8</v>
      </c>
      <c r="I4" s="5">
        <v>8</v>
      </c>
      <c r="J4" s="5">
        <v>8</v>
      </c>
      <c r="K4" s="5">
        <v>8</v>
      </c>
      <c r="L4" s="5">
        <v>8</v>
      </c>
      <c r="M4" s="5">
        <v>8</v>
      </c>
      <c r="N4" s="5">
        <v>8</v>
      </c>
      <c r="O4" s="5">
        <v>8</v>
      </c>
      <c r="P4" s="5">
        <v>8</v>
      </c>
      <c r="Q4" s="5">
        <v>8</v>
      </c>
      <c r="R4" s="5">
        <v>8</v>
      </c>
      <c r="S4" s="5">
        <v>8</v>
      </c>
      <c r="T4" s="5">
        <v>8</v>
      </c>
      <c r="U4" s="5">
        <v>8</v>
      </c>
      <c r="V4" s="5">
        <v>8</v>
      </c>
      <c r="W4" s="5">
        <v>8</v>
      </c>
      <c r="X4" s="5">
        <v>8</v>
      </c>
      <c r="Y4" s="5">
        <v>8</v>
      </c>
      <c r="Z4" s="5">
        <v>8</v>
      </c>
      <c r="AA4" s="5">
        <v>8</v>
      </c>
      <c r="AB4" s="5">
        <v>8</v>
      </c>
      <c r="AC4" s="5">
        <v>8</v>
      </c>
      <c r="AD4" s="5">
        <v>8</v>
      </c>
    </row>
    <row r="5" spans="2:30">
      <c r="B5" t="str">
        <f>Processes!D7</f>
        <v>T-CYC_CYC</v>
      </c>
      <c r="C5" t="s">
        <v>744</v>
      </c>
      <c r="D5" s="310">
        <v>8</v>
      </c>
      <c r="E5" s="310">
        <v>8</v>
      </c>
      <c r="F5" s="310">
        <v>8</v>
      </c>
      <c r="G5" s="310">
        <v>8</v>
      </c>
      <c r="H5" s="310">
        <v>8</v>
      </c>
      <c r="I5" s="310">
        <v>8</v>
      </c>
      <c r="J5" s="310">
        <v>8</v>
      </c>
      <c r="K5" s="310">
        <v>8</v>
      </c>
      <c r="L5" s="310">
        <v>8</v>
      </c>
      <c r="M5" s="310">
        <v>8</v>
      </c>
      <c r="N5" s="310">
        <v>8</v>
      </c>
      <c r="O5" s="310">
        <v>8</v>
      </c>
      <c r="P5" s="310">
        <v>8</v>
      </c>
      <c r="Q5" s="310">
        <v>8</v>
      </c>
      <c r="R5" s="310">
        <v>8</v>
      </c>
      <c r="S5" s="310">
        <v>8</v>
      </c>
      <c r="T5" s="310">
        <v>8</v>
      </c>
      <c r="U5" s="310">
        <v>8</v>
      </c>
      <c r="V5" s="310">
        <v>8</v>
      </c>
      <c r="W5" s="310">
        <v>8</v>
      </c>
      <c r="X5" s="310">
        <v>8</v>
      </c>
      <c r="Y5" s="310">
        <v>8</v>
      </c>
      <c r="Z5" s="310">
        <v>8</v>
      </c>
      <c r="AA5" s="310">
        <v>8</v>
      </c>
      <c r="AB5" s="310">
        <v>8</v>
      </c>
      <c r="AC5" s="310">
        <v>8</v>
      </c>
      <c r="AD5" s="310">
        <v>8</v>
      </c>
    </row>
    <row r="6" spans="2:30">
      <c r="B6" t="str">
        <f>Processes!D9</f>
        <v>T-MOT-ICE_GSL00</v>
      </c>
      <c r="C6" t="s">
        <v>744</v>
      </c>
      <c r="D6" s="310">
        <f>D76</f>
        <v>2.7309999999999999</v>
      </c>
      <c r="E6" s="310">
        <f t="shared" ref="E6:AD16" si="0">E76</f>
        <v>2.637</v>
      </c>
      <c r="F6" s="310">
        <f t="shared" ref="F6" si="1">F76</f>
        <v>2.798</v>
      </c>
      <c r="G6" s="310">
        <f t="shared" si="0"/>
        <v>2.7280000000000002</v>
      </c>
      <c r="H6" s="310">
        <f t="shared" si="0"/>
        <v>2.6520000000000001</v>
      </c>
      <c r="I6" s="310">
        <f t="shared" si="0"/>
        <v>2.71</v>
      </c>
      <c r="J6" s="310">
        <f t="shared" si="0"/>
        <v>2.669</v>
      </c>
      <c r="K6" s="310">
        <f t="shared" si="0"/>
        <v>2.758</v>
      </c>
      <c r="L6" s="310">
        <f t="shared" si="0"/>
        <v>2.722</v>
      </c>
      <c r="M6" s="310">
        <f t="shared" si="0"/>
        <v>2.6560000000000001</v>
      </c>
      <c r="N6" s="310">
        <f t="shared" si="0"/>
        <v>2.706</v>
      </c>
      <c r="O6" s="310">
        <f t="shared" si="0"/>
        <v>2.657</v>
      </c>
      <c r="P6" s="310">
        <f t="shared" si="0"/>
        <v>2.72</v>
      </c>
      <c r="Q6" s="310">
        <f t="shared" si="0"/>
        <v>2.726</v>
      </c>
      <c r="R6" s="310">
        <f t="shared" si="0"/>
        <v>2.6880000000000002</v>
      </c>
      <c r="S6" s="310">
        <f t="shared" si="0"/>
        <v>2.68</v>
      </c>
      <c r="T6" s="310">
        <f t="shared" si="0"/>
        <v>2.7</v>
      </c>
      <c r="U6" s="310">
        <f t="shared" si="0"/>
        <v>2.694</v>
      </c>
      <c r="V6" s="310">
        <f t="shared" si="0"/>
        <v>2.6480000000000001</v>
      </c>
      <c r="W6" s="310">
        <f t="shared" si="0"/>
        <v>2.7010000000000001</v>
      </c>
      <c r="X6" s="310">
        <f t="shared" si="0"/>
        <v>2.7250000000000001</v>
      </c>
      <c r="Y6" s="310">
        <f t="shared" si="0"/>
        <v>2.718</v>
      </c>
      <c r="Z6" s="310">
        <f t="shared" si="0"/>
        <v>2.7290000000000001</v>
      </c>
      <c r="AA6" s="310">
        <f t="shared" si="0"/>
        <v>2.6480000000000001</v>
      </c>
      <c r="AB6" s="310">
        <f t="shared" si="0"/>
        <v>2.7109999999999999</v>
      </c>
      <c r="AC6" s="310">
        <f t="shared" si="0"/>
        <v>2.7930000000000001</v>
      </c>
      <c r="AD6" s="310">
        <f t="shared" si="0"/>
        <v>2.7800000000000002</v>
      </c>
    </row>
    <row r="7" spans="2:30">
      <c r="B7" t="str">
        <f>Processes!D11</f>
        <v>T-CAR-ICE_GSL00</v>
      </c>
      <c r="C7" t="s">
        <v>744</v>
      </c>
      <c r="D7" s="310">
        <f t="shared" ref="D7:S22" si="2">D77</f>
        <v>12.817</v>
      </c>
      <c r="E7" s="310">
        <f t="shared" si="2"/>
        <v>13.538</v>
      </c>
      <c r="F7" s="310">
        <f t="shared" ref="F7" si="3">F77</f>
        <v>11.021000000000001</v>
      </c>
      <c r="G7" s="310">
        <f t="shared" si="2"/>
        <v>13.529</v>
      </c>
      <c r="H7" s="310">
        <f t="shared" si="2"/>
        <v>13.763999999999999</v>
      </c>
      <c r="I7" s="310">
        <f t="shared" si="2"/>
        <v>14.083</v>
      </c>
      <c r="J7" s="310">
        <f t="shared" si="2"/>
        <v>14.022</v>
      </c>
      <c r="K7" s="310">
        <f t="shared" si="2"/>
        <v>13.183</v>
      </c>
      <c r="L7" s="310">
        <f t="shared" si="2"/>
        <v>13.941000000000001</v>
      </c>
      <c r="M7" s="310">
        <f t="shared" si="2"/>
        <v>14.13</v>
      </c>
      <c r="N7" s="310">
        <f t="shared" si="2"/>
        <v>13.906000000000001</v>
      </c>
      <c r="O7" s="310">
        <f t="shared" si="2"/>
        <v>13.939</v>
      </c>
      <c r="P7" s="310">
        <f t="shared" si="2"/>
        <v>13.411</v>
      </c>
      <c r="Q7" s="310">
        <f t="shared" si="2"/>
        <v>14.196999999999999</v>
      </c>
      <c r="R7" s="310">
        <f t="shared" si="2"/>
        <v>13.069000000000001</v>
      </c>
      <c r="S7" s="310">
        <f t="shared" si="2"/>
        <v>13.894</v>
      </c>
      <c r="T7" s="310">
        <f t="shared" si="0"/>
        <v>13.465999999999999</v>
      </c>
      <c r="U7" s="310">
        <f t="shared" si="0"/>
        <v>14.237</v>
      </c>
      <c r="V7" s="310">
        <f t="shared" si="0"/>
        <v>13.135999999999999</v>
      </c>
      <c r="W7" s="310">
        <f t="shared" si="0"/>
        <v>13.557</v>
      </c>
      <c r="X7" s="310">
        <f t="shared" si="0"/>
        <v>14.583</v>
      </c>
      <c r="Y7" s="310">
        <f t="shared" si="0"/>
        <v>13.987</v>
      </c>
      <c r="Z7" s="310">
        <f t="shared" si="0"/>
        <v>15.377000000000001</v>
      </c>
      <c r="AA7" s="310">
        <f t="shared" si="0"/>
        <v>13.425000000000001</v>
      </c>
      <c r="AB7" s="310">
        <f t="shared" si="0"/>
        <v>14.218</v>
      </c>
      <c r="AC7" s="310">
        <f t="shared" si="0"/>
        <v>13.877000000000001</v>
      </c>
      <c r="AD7" s="310">
        <f t="shared" si="0"/>
        <v>13.781000000000001</v>
      </c>
    </row>
    <row r="8" spans="2:30">
      <c r="B8" t="str">
        <f>Processes!D12</f>
        <v>T-CAR-ICE_DST00</v>
      </c>
      <c r="C8" t="s">
        <v>744</v>
      </c>
      <c r="D8" s="310">
        <f t="shared" si="2"/>
        <v>20.617000000000001</v>
      </c>
      <c r="E8" s="310">
        <f t="shared" si="0"/>
        <v>21.731000000000002</v>
      </c>
      <c r="F8" s="310">
        <f t="shared" ref="F8" si="4">F78</f>
        <v>18.106000000000002</v>
      </c>
      <c r="G8" s="310">
        <f t="shared" si="0"/>
        <v>20.908999999999999</v>
      </c>
      <c r="H8" s="310">
        <f t="shared" si="0"/>
        <v>21.75</v>
      </c>
      <c r="I8" s="310">
        <f t="shared" si="0"/>
        <v>22.298999999999999</v>
      </c>
      <c r="J8" s="310">
        <f t="shared" si="0"/>
        <v>22.722999999999999</v>
      </c>
      <c r="K8" s="310">
        <f t="shared" si="0"/>
        <v>20.613</v>
      </c>
      <c r="L8" s="310">
        <f t="shared" si="0"/>
        <v>21.196999999999999</v>
      </c>
      <c r="M8" s="310">
        <f t="shared" si="0"/>
        <v>22.055</v>
      </c>
      <c r="N8" s="310">
        <f t="shared" si="0"/>
        <v>22.035</v>
      </c>
      <c r="O8" s="310">
        <f t="shared" si="0"/>
        <v>21.408000000000001</v>
      </c>
      <c r="P8" s="310">
        <f t="shared" si="0"/>
        <v>20.399999999999999</v>
      </c>
      <c r="Q8" s="310">
        <f t="shared" si="0"/>
        <v>22.021000000000001</v>
      </c>
      <c r="R8" s="310">
        <f t="shared" si="0"/>
        <v>20.07</v>
      </c>
      <c r="S8" s="310">
        <f t="shared" si="0"/>
        <v>20.986000000000001</v>
      </c>
      <c r="T8" s="310">
        <f t="shared" si="0"/>
        <v>21.373999999999999</v>
      </c>
      <c r="U8" s="310">
        <f t="shared" si="0"/>
        <v>22.268999999999998</v>
      </c>
      <c r="V8" s="310">
        <f t="shared" si="0"/>
        <v>20.774999999999999</v>
      </c>
      <c r="W8" s="310">
        <f t="shared" si="0"/>
        <v>21.388000000000002</v>
      </c>
      <c r="X8" s="310">
        <f t="shared" si="0"/>
        <v>22.28</v>
      </c>
      <c r="Y8" s="310">
        <f t="shared" si="0"/>
        <v>21.443000000000001</v>
      </c>
      <c r="Z8" s="310">
        <f t="shared" si="0"/>
        <v>23.317</v>
      </c>
      <c r="AA8" s="310">
        <f t="shared" si="0"/>
        <v>21.324000000000002</v>
      </c>
      <c r="AB8" s="310">
        <f t="shared" si="0"/>
        <v>21.887</v>
      </c>
      <c r="AC8" s="310">
        <f t="shared" si="0"/>
        <v>20.55</v>
      </c>
      <c r="AD8" s="310">
        <f t="shared" si="0"/>
        <v>21.584</v>
      </c>
    </row>
    <row r="9" spans="2:30">
      <c r="B9" t="str">
        <f>Processes!D13</f>
        <v>T-CAR-ICE_DF00</v>
      </c>
      <c r="C9" t="s">
        <v>744</v>
      </c>
      <c r="D9" s="310">
        <f t="shared" si="2"/>
        <v>13.444000000000001</v>
      </c>
      <c r="E9" s="310">
        <f t="shared" si="0"/>
        <v>14.090999999999999</v>
      </c>
      <c r="F9" s="310">
        <f t="shared" ref="F9" si="5">F79</f>
        <v>12.847</v>
      </c>
      <c r="G9" s="310">
        <f t="shared" si="0"/>
        <v>13.913</v>
      </c>
      <c r="H9" s="310">
        <f t="shared" si="0"/>
        <v>14.358000000000001</v>
      </c>
      <c r="I9" s="310">
        <f t="shared" si="0"/>
        <v>14.586</v>
      </c>
      <c r="J9" s="310">
        <f t="shared" si="0"/>
        <v>14.004</v>
      </c>
      <c r="K9" s="310">
        <f t="shared" si="0"/>
        <v>13.414</v>
      </c>
      <c r="L9" s="310">
        <f t="shared" si="0"/>
        <v>14.103</v>
      </c>
      <c r="M9" s="310">
        <f t="shared" si="0"/>
        <v>14.503</v>
      </c>
      <c r="N9" s="310">
        <f t="shared" si="0"/>
        <v>14.009</v>
      </c>
      <c r="O9" s="310">
        <f t="shared" si="0"/>
        <v>14.132</v>
      </c>
      <c r="P9" s="310">
        <f t="shared" si="0"/>
        <v>13.914999999999999</v>
      </c>
      <c r="Q9" s="310">
        <f t="shared" si="0"/>
        <v>14.077999999999999</v>
      </c>
      <c r="R9" s="310">
        <f t="shared" si="0"/>
        <v>13.355</v>
      </c>
      <c r="S9" s="310">
        <f t="shared" si="0"/>
        <v>13.78</v>
      </c>
      <c r="T9" s="310">
        <f t="shared" si="0"/>
        <v>13.922000000000001</v>
      </c>
      <c r="U9" s="310">
        <f t="shared" si="0"/>
        <v>13.884</v>
      </c>
      <c r="V9" s="310">
        <f t="shared" si="0"/>
        <v>13.941000000000001</v>
      </c>
      <c r="W9" s="310">
        <f t="shared" si="0"/>
        <v>13.930999999999999</v>
      </c>
      <c r="X9" s="310">
        <f t="shared" si="0"/>
        <v>14.143000000000001</v>
      </c>
      <c r="Y9" s="310">
        <f t="shared" si="0"/>
        <v>14.191000000000001</v>
      </c>
      <c r="Z9" s="310">
        <f t="shared" si="0"/>
        <v>14.154</v>
      </c>
      <c r="AA9" s="310">
        <f t="shared" si="0"/>
        <v>13.852</v>
      </c>
      <c r="AB9" s="310">
        <f t="shared" si="0"/>
        <v>14.061999999999999</v>
      </c>
      <c r="AC9" s="310">
        <f t="shared" si="0"/>
        <v>14.304</v>
      </c>
      <c r="AD9" s="310">
        <f t="shared" si="0"/>
        <v>13.791</v>
      </c>
    </row>
    <row r="10" spans="2:30">
      <c r="B10" t="str">
        <f>Processes!D14</f>
        <v>T-CAR-ICE_E8500</v>
      </c>
      <c r="C10" t="s">
        <v>744</v>
      </c>
      <c r="D10" s="310">
        <f t="shared" si="2"/>
        <v>13.444000000000001</v>
      </c>
      <c r="E10" s="310">
        <f t="shared" si="0"/>
        <v>14.090999999999999</v>
      </c>
      <c r="F10" s="310">
        <f t="shared" ref="F10" si="6">F80</f>
        <v>12.847</v>
      </c>
      <c r="G10" s="310">
        <f t="shared" si="0"/>
        <v>13.913</v>
      </c>
      <c r="H10" s="310">
        <f t="shared" si="0"/>
        <v>14.358000000000001</v>
      </c>
      <c r="I10" s="310">
        <f t="shared" si="0"/>
        <v>14.586</v>
      </c>
      <c r="J10" s="310">
        <f t="shared" si="0"/>
        <v>14.004</v>
      </c>
      <c r="K10" s="310">
        <f t="shared" si="0"/>
        <v>13.414</v>
      </c>
      <c r="L10" s="310">
        <f t="shared" si="0"/>
        <v>14.103</v>
      </c>
      <c r="M10" s="310">
        <f t="shared" si="0"/>
        <v>14.503</v>
      </c>
      <c r="N10" s="310">
        <f t="shared" si="0"/>
        <v>14.009</v>
      </c>
      <c r="O10" s="310">
        <f t="shared" si="0"/>
        <v>14.132</v>
      </c>
      <c r="P10" s="310">
        <f t="shared" si="0"/>
        <v>13.914999999999999</v>
      </c>
      <c r="Q10" s="310">
        <f t="shared" si="0"/>
        <v>14.077999999999999</v>
      </c>
      <c r="R10" s="310">
        <f t="shared" si="0"/>
        <v>13.355</v>
      </c>
      <c r="S10" s="310">
        <f t="shared" si="0"/>
        <v>13.78</v>
      </c>
      <c r="T10" s="310">
        <f t="shared" si="0"/>
        <v>13.922000000000001</v>
      </c>
      <c r="U10" s="310">
        <f t="shared" si="0"/>
        <v>13.884</v>
      </c>
      <c r="V10" s="310">
        <f t="shared" si="0"/>
        <v>13.941000000000001</v>
      </c>
      <c r="W10" s="310">
        <f t="shared" si="0"/>
        <v>13.930999999999999</v>
      </c>
      <c r="X10" s="310">
        <f t="shared" si="0"/>
        <v>14.143000000000001</v>
      </c>
      <c r="Y10" s="310">
        <f t="shared" si="0"/>
        <v>14.191000000000001</v>
      </c>
      <c r="Z10" s="310">
        <f t="shared" si="0"/>
        <v>14.154</v>
      </c>
      <c r="AA10" s="310">
        <f t="shared" si="0"/>
        <v>13.852</v>
      </c>
      <c r="AB10" s="310">
        <f t="shared" si="0"/>
        <v>14.061999999999999</v>
      </c>
      <c r="AC10" s="310">
        <f t="shared" si="0"/>
        <v>14.304</v>
      </c>
      <c r="AD10" s="310">
        <f t="shared" si="0"/>
        <v>13.791</v>
      </c>
    </row>
    <row r="11" spans="2:30">
      <c r="B11" t="str">
        <f>Processes!D15</f>
        <v>T-CAR-HEV_GSL00</v>
      </c>
      <c r="C11" t="s">
        <v>744</v>
      </c>
      <c r="D11" s="310">
        <f t="shared" si="2"/>
        <v>12.817</v>
      </c>
      <c r="E11" s="310">
        <f t="shared" si="0"/>
        <v>13.538</v>
      </c>
      <c r="F11" s="310">
        <f t="shared" ref="F11" si="7">F81</f>
        <v>11.021000000000001</v>
      </c>
      <c r="G11" s="310">
        <f t="shared" si="0"/>
        <v>13.529</v>
      </c>
      <c r="H11" s="310">
        <f t="shared" si="0"/>
        <v>13.763999999999999</v>
      </c>
      <c r="I11" s="310">
        <f t="shared" si="0"/>
        <v>14.083</v>
      </c>
      <c r="J11" s="310">
        <f t="shared" si="0"/>
        <v>14.022</v>
      </c>
      <c r="K11" s="310">
        <f t="shared" si="0"/>
        <v>13.183</v>
      </c>
      <c r="L11" s="310">
        <f t="shared" si="0"/>
        <v>13.941000000000001</v>
      </c>
      <c r="M11" s="310">
        <f t="shared" si="0"/>
        <v>14.13</v>
      </c>
      <c r="N11" s="310">
        <f t="shared" si="0"/>
        <v>13.906000000000001</v>
      </c>
      <c r="O11" s="310">
        <f t="shared" si="0"/>
        <v>13.939</v>
      </c>
      <c r="P11" s="310">
        <f t="shared" si="0"/>
        <v>13.411</v>
      </c>
      <c r="Q11" s="310">
        <f t="shared" si="0"/>
        <v>14.196999999999999</v>
      </c>
      <c r="R11" s="310">
        <f t="shared" si="0"/>
        <v>13.069000000000001</v>
      </c>
      <c r="S11" s="310">
        <f t="shared" si="0"/>
        <v>13.894</v>
      </c>
      <c r="T11" s="310">
        <f t="shared" si="0"/>
        <v>13.465999999999999</v>
      </c>
      <c r="U11" s="310">
        <f t="shared" si="0"/>
        <v>14.237</v>
      </c>
      <c r="V11" s="310">
        <f t="shared" si="0"/>
        <v>13.135999999999999</v>
      </c>
      <c r="W11" s="310">
        <f t="shared" si="0"/>
        <v>13.557</v>
      </c>
      <c r="X11" s="310">
        <f t="shared" si="0"/>
        <v>14.583</v>
      </c>
      <c r="Y11" s="310">
        <f t="shared" si="0"/>
        <v>13.987</v>
      </c>
      <c r="Z11" s="310">
        <f t="shared" si="0"/>
        <v>15.377000000000001</v>
      </c>
      <c r="AA11" s="310">
        <f t="shared" si="0"/>
        <v>13.425000000000001</v>
      </c>
      <c r="AB11" s="310">
        <f t="shared" si="0"/>
        <v>14.218</v>
      </c>
      <c r="AC11" s="310">
        <f t="shared" si="0"/>
        <v>13.877000000000001</v>
      </c>
      <c r="AD11" s="310">
        <f t="shared" si="0"/>
        <v>13.781000000000001</v>
      </c>
    </row>
    <row r="12" spans="2:30">
      <c r="B12" t="str">
        <f>Processes!D16</f>
        <v>T-CAR-HEV_DST00</v>
      </c>
      <c r="C12" t="s">
        <v>744</v>
      </c>
      <c r="D12" s="310">
        <f t="shared" si="2"/>
        <v>20.617000000000001</v>
      </c>
      <c r="E12" s="310">
        <f t="shared" si="0"/>
        <v>21.731000000000002</v>
      </c>
      <c r="F12" s="310">
        <f t="shared" ref="F12" si="8">F82</f>
        <v>18.106000000000002</v>
      </c>
      <c r="G12" s="310">
        <f t="shared" si="0"/>
        <v>20.908999999999999</v>
      </c>
      <c r="H12" s="310">
        <f t="shared" si="0"/>
        <v>21.75</v>
      </c>
      <c r="I12" s="310">
        <f t="shared" si="0"/>
        <v>22.298999999999999</v>
      </c>
      <c r="J12" s="310">
        <f t="shared" si="0"/>
        <v>22.722999999999999</v>
      </c>
      <c r="K12" s="310">
        <f t="shared" si="0"/>
        <v>20.613</v>
      </c>
      <c r="L12" s="310">
        <f t="shared" si="0"/>
        <v>21.196999999999999</v>
      </c>
      <c r="M12" s="310">
        <f t="shared" si="0"/>
        <v>22.055</v>
      </c>
      <c r="N12" s="310">
        <f t="shared" si="0"/>
        <v>22.035</v>
      </c>
      <c r="O12" s="310">
        <f t="shared" si="0"/>
        <v>21.408000000000001</v>
      </c>
      <c r="P12" s="310">
        <f t="shared" si="0"/>
        <v>20.399999999999999</v>
      </c>
      <c r="Q12" s="310">
        <f t="shared" si="0"/>
        <v>22.021000000000001</v>
      </c>
      <c r="R12" s="310">
        <f t="shared" si="0"/>
        <v>20.07</v>
      </c>
      <c r="S12" s="310">
        <f t="shared" si="0"/>
        <v>20.986000000000001</v>
      </c>
      <c r="T12" s="310">
        <f t="shared" si="0"/>
        <v>21.373999999999999</v>
      </c>
      <c r="U12" s="310">
        <f t="shared" si="0"/>
        <v>22.268999999999998</v>
      </c>
      <c r="V12" s="310">
        <f t="shared" si="0"/>
        <v>20.774999999999999</v>
      </c>
      <c r="W12" s="310">
        <f t="shared" si="0"/>
        <v>21.388000000000002</v>
      </c>
      <c r="X12" s="310">
        <f t="shared" si="0"/>
        <v>22.28</v>
      </c>
      <c r="Y12" s="310">
        <f t="shared" si="0"/>
        <v>21.443000000000001</v>
      </c>
      <c r="Z12" s="310">
        <f t="shared" si="0"/>
        <v>23.317</v>
      </c>
      <c r="AA12" s="310">
        <f t="shared" si="0"/>
        <v>21.324000000000002</v>
      </c>
      <c r="AB12" s="310">
        <f t="shared" si="0"/>
        <v>21.887</v>
      </c>
      <c r="AC12" s="310">
        <f t="shared" si="0"/>
        <v>20.55</v>
      </c>
      <c r="AD12" s="310">
        <f t="shared" si="0"/>
        <v>21.584</v>
      </c>
    </row>
    <row r="13" spans="2:30">
      <c r="B13" t="str">
        <f>Processes!D17</f>
        <v>T-CAR-PHEV_GSL00</v>
      </c>
      <c r="C13" t="s">
        <v>744</v>
      </c>
      <c r="D13" s="310">
        <f t="shared" si="2"/>
        <v>12.817</v>
      </c>
      <c r="E13" s="310">
        <f t="shared" si="0"/>
        <v>13.538</v>
      </c>
      <c r="F13" s="310">
        <f t="shared" ref="F13" si="9">F83</f>
        <v>11.021000000000001</v>
      </c>
      <c r="G13" s="310">
        <f t="shared" si="0"/>
        <v>13.529</v>
      </c>
      <c r="H13" s="310">
        <f t="shared" si="0"/>
        <v>13.763999999999999</v>
      </c>
      <c r="I13" s="310">
        <f t="shared" si="0"/>
        <v>14.083</v>
      </c>
      <c r="J13" s="310">
        <f t="shared" si="0"/>
        <v>14.022</v>
      </c>
      <c r="K13" s="310">
        <f t="shared" si="0"/>
        <v>13.183</v>
      </c>
      <c r="L13" s="310">
        <f t="shared" si="0"/>
        <v>13.941000000000001</v>
      </c>
      <c r="M13" s="310">
        <f t="shared" si="0"/>
        <v>14.13</v>
      </c>
      <c r="N13" s="310">
        <f t="shared" si="0"/>
        <v>13.906000000000001</v>
      </c>
      <c r="O13" s="310">
        <f t="shared" si="0"/>
        <v>13.939</v>
      </c>
      <c r="P13" s="310">
        <f t="shared" si="0"/>
        <v>13.411</v>
      </c>
      <c r="Q13" s="310">
        <f t="shared" si="0"/>
        <v>14.196999999999999</v>
      </c>
      <c r="R13" s="310">
        <f t="shared" si="0"/>
        <v>13.069000000000001</v>
      </c>
      <c r="S13" s="310">
        <f t="shared" si="0"/>
        <v>13.894</v>
      </c>
      <c r="T13" s="310">
        <f t="shared" si="0"/>
        <v>13.465999999999999</v>
      </c>
      <c r="U13" s="310">
        <f t="shared" si="0"/>
        <v>14.237</v>
      </c>
      <c r="V13" s="310">
        <f t="shared" si="0"/>
        <v>13.135999999999999</v>
      </c>
      <c r="W13" s="310">
        <f t="shared" si="0"/>
        <v>13.557</v>
      </c>
      <c r="X13" s="310">
        <f t="shared" si="0"/>
        <v>14.583</v>
      </c>
      <c r="Y13" s="310">
        <f t="shared" si="0"/>
        <v>13.987</v>
      </c>
      <c r="Z13" s="310">
        <f t="shared" si="0"/>
        <v>15.377000000000001</v>
      </c>
      <c r="AA13" s="310">
        <f t="shared" si="0"/>
        <v>13.425000000000001</v>
      </c>
      <c r="AB13" s="310">
        <f t="shared" si="0"/>
        <v>14.218</v>
      </c>
      <c r="AC13" s="310">
        <f t="shared" si="0"/>
        <v>13.877000000000001</v>
      </c>
      <c r="AD13" s="310">
        <f t="shared" si="0"/>
        <v>13.781000000000001</v>
      </c>
    </row>
    <row r="14" spans="2:30">
      <c r="B14" t="str">
        <f>Processes!D18</f>
        <v>T-CAR-PHEV_DST00</v>
      </c>
      <c r="C14" t="s">
        <v>744</v>
      </c>
      <c r="D14" s="310">
        <f t="shared" si="2"/>
        <v>20.617000000000001</v>
      </c>
      <c r="E14" s="310">
        <f t="shared" si="0"/>
        <v>21.731000000000002</v>
      </c>
      <c r="F14" s="310">
        <f t="shared" ref="F14" si="10">F84</f>
        <v>18.106000000000002</v>
      </c>
      <c r="G14" s="310">
        <f t="shared" si="0"/>
        <v>20.908999999999999</v>
      </c>
      <c r="H14" s="310">
        <f t="shared" si="0"/>
        <v>21.75</v>
      </c>
      <c r="I14" s="310">
        <f t="shared" si="0"/>
        <v>22.298999999999999</v>
      </c>
      <c r="J14" s="310">
        <f t="shared" si="0"/>
        <v>22.722999999999999</v>
      </c>
      <c r="K14" s="310">
        <f t="shared" si="0"/>
        <v>20.613</v>
      </c>
      <c r="L14" s="310">
        <f t="shared" si="0"/>
        <v>21.196999999999999</v>
      </c>
      <c r="M14" s="310">
        <f t="shared" si="0"/>
        <v>22.055</v>
      </c>
      <c r="N14" s="310">
        <f t="shared" si="0"/>
        <v>22.035</v>
      </c>
      <c r="O14" s="310">
        <f t="shared" si="0"/>
        <v>21.408000000000001</v>
      </c>
      <c r="P14" s="310">
        <f t="shared" si="0"/>
        <v>20.399999999999999</v>
      </c>
      <c r="Q14" s="310">
        <f t="shared" si="0"/>
        <v>22.021000000000001</v>
      </c>
      <c r="R14" s="310">
        <f t="shared" si="0"/>
        <v>20.07</v>
      </c>
      <c r="S14" s="310">
        <f t="shared" si="0"/>
        <v>20.986000000000001</v>
      </c>
      <c r="T14" s="310">
        <f t="shared" si="0"/>
        <v>21.373999999999999</v>
      </c>
      <c r="U14" s="310">
        <f t="shared" si="0"/>
        <v>22.268999999999998</v>
      </c>
      <c r="V14" s="310">
        <f t="shared" si="0"/>
        <v>20.774999999999999</v>
      </c>
      <c r="W14" s="310">
        <f t="shared" si="0"/>
        <v>21.388000000000002</v>
      </c>
      <c r="X14" s="310">
        <f t="shared" si="0"/>
        <v>22.28</v>
      </c>
      <c r="Y14" s="310">
        <f t="shared" si="0"/>
        <v>21.443000000000001</v>
      </c>
      <c r="Z14" s="310">
        <f t="shared" si="0"/>
        <v>23.317</v>
      </c>
      <c r="AA14" s="310">
        <f t="shared" si="0"/>
        <v>21.324000000000002</v>
      </c>
      <c r="AB14" s="310">
        <f t="shared" si="0"/>
        <v>21.887</v>
      </c>
      <c r="AC14" s="310">
        <f t="shared" si="0"/>
        <v>20.55</v>
      </c>
      <c r="AD14" s="310">
        <f t="shared" si="0"/>
        <v>21.584</v>
      </c>
    </row>
    <row r="15" spans="2:30">
      <c r="B15" t="str">
        <f>Processes!D19</f>
        <v>T-CAR-BEV_ELC00</v>
      </c>
      <c r="C15" t="s">
        <v>744</v>
      </c>
      <c r="D15" s="310">
        <f t="shared" si="2"/>
        <v>13.444000000000001</v>
      </c>
      <c r="E15" s="310">
        <f t="shared" si="0"/>
        <v>14.090999999999999</v>
      </c>
      <c r="F15" s="310">
        <f t="shared" ref="F15" si="11">F85</f>
        <v>12.847</v>
      </c>
      <c r="G15" s="310">
        <f t="shared" si="0"/>
        <v>13.913</v>
      </c>
      <c r="H15" s="310">
        <f t="shared" si="0"/>
        <v>14.358000000000001</v>
      </c>
      <c r="I15" s="310">
        <f t="shared" si="0"/>
        <v>14.586</v>
      </c>
      <c r="J15" s="310">
        <f t="shared" si="0"/>
        <v>14.004</v>
      </c>
      <c r="K15" s="310">
        <f t="shared" si="0"/>
        <v>13.414</v>
      </c>
      <c r="L15" s="310">
        <f t="shared" si="0"/>
        <v>14.103</v>
      </c>
      <c r="M15" s="310">
        <f t="shared" si="0"/>
        <v>14.503</v>
      </c>
      <c r="N15" s="310">
        <f t="shared" si="0"/>
        <v>14.009</v>
      </c>
      <c r="O15" s="310">
        <f t="shared" si="0"/>
        <v>14.132</v>
      </c>
      <c r="P15" s="310">
        <f t="shared" si="0"/>
        <v>13.914999999999999</v>
      </c>
      <c r="Q15" s="310">
        <f t="shared" si="0"/>
        <v>14.077999999999999</v>
      </c>
      <c r="R15" s="310">
        <f t="shared" si="0"/>
        <v>13.355</v>
      </c>
      <c r="S15" s="310">
        <f t="shared" si="0"/>
        <v>13.78</v>
      </c>
      <c r="T15" s="310">
        <f t="shared" si="0"/>
        <v>13.922000000000001</v>
      </c>
      <c r="U15" s="310">
        <f t="shared" si="0"/>
        <v>13.884</v>
      </c>
      <c r="V15" s="310">
        <f t="shared" si="0"/>
        <v>13.941000000000001</v>
      </c>
      <c r="W15" s="310">
        <f t="shared" si="0"/>
        <v>13.930999999999999</v>
      </c>
      <c r="X15" s="310">
        <f t="shared" si="0"/>
        <v>14.143000000000001</v>
      </c>
      <c r="Y15" s="310">
        <f t="shared" si="0"/>
        <v>14.191000000000001</v>
      </c>
      <c r="Z15" s="310">
        <f t="shared" si="0"/>
        <v>14.154</v>
      </c>
      <c r="AA15" s="310">
        <f t="shared" si="0"/>
        <v>13.852</v>
      </c>
      <c r="AB15" s="310">
        <f t="shared" si="0"/>
        <v>14.061999999999999</v>
      </c>
      <c r="AC15" s="310">
        <f t="shared" si="0"/>
        <v>14.304</v>
      </c>
      <c r="AD15" s="310">
        <f t="shared" si="0"/>
        <v>13.791</v>
      </c>
    </row>
    <row r="16" spans="2:30">
      <c r="B16" t="str">
        <f>Processes!D21</f>
        <v>T-TAX-ICE_GSL00</v>
      </c>
      <c r="C16" t="s">
        <v>744</v>
      </c>
      <c r="D16" s="310">
        <f t="shared" si="2"/>
        <v>35.606999999999999</v>
      </c>
      <c r="E16" s="310">
        <f t="shared" si="0"/>
        <v>22.277000000000001</v>
      </c>
      <c r="F16" s="310">
        <f t="shared" ref="F16" si="12">F86</f>
        <v>35.493000000000002</v>
      </c>
      <c r="G16" s="310">
        <f t="shared" si="0"/>
        <v>41.204999999999998</v>
      </c>
      <c r="H16" s="310">
        <f t="shared" si="0"/>
        <v>41.378</v>
      </c>
      <c r="I16" s="310">
        <f t="shared" si="0"/>
        <v>32.383000000000003</v>
      </c>
      <c r="J16" s="310">
        <f t="shared" si="0"/>
        <v>41.290999999999997</v>
      </c>
      <c r="K16" s="310">
        <f t="shared" si="0"/>
        <v>36.228999999999999</v>
      </c>
      <c r="L16" s="310">
        <f t="shared" si="0"/>
        <v>41.643999999999998</v>
      </c>
      <c r="M16" s="310">
        <f t="shared" si="0"/>
        <v>27.047000000000001</v>
      </c>
      <c r="N16" s="310">
        <f t="shared" si="0"/>
        <v>44.625</v>
      </c>
      <c r="O16" s="310">
        <f t="shared" ref="E16:AD22" si="13">O86</f>
        <v>32.718000000000004</v>
      </c>
      <c r="P16" s="310">
        <f t="shared" si="13"/>
        <v>31.013000000000002</v>
      </c>
      <c r="Q16" s="310">
        <f t="shared" si="13"/>
        <v>37.658999999999999</v>
      </c>
      <c r="R16" s="310">
        <f t="shared" si="13"/>
        <v>34.145000000000003</v>
      </c>
      <c r="S16" s="310">
        <f t="shared" si="13"/>
        <v>31.021999999999998</v>
      </c>
      <c r="T16" s="310">
        <f t="shared" si="13"/>
        <v>37.139000000000003</v>
      </c>
      <c r="U16" s="310">
        <f t="shared" si="13"/>
        <v>33.700000000000003</v>
      </c>
      <c r="V16" s="310">
        <f t="shared" si="13"/>
        <v>29.905999999999999</v>
      </c>
      <c r="W16" s="310">
        <f t="shared" si="13"/>
        <v>36.619999999999997</v>
      </c>
      <c r="X16" s="310">
        <f t="shared" si="13"/>
        <v>28.806999999999999</v>
      </c>
      <c r="Y16" s="310">
        <f t="shared" si="13"/>
        <v>32.491999999999997</v>
      </c>
      <c r="Z16" s="310">
        <f t="shared" si="13"/>
        <v>24.44</v>
      </c>
      <c r="AA16" s="310">
        <f t="shared" si="13"/>
        <v>27.395</v>
      </c>
      <c r="AB16" s="310">
        <f t="shared" si="13"/>
        <v>35.872999999999998</v>
      </c>
      <c r="AC16" s="310">
        <f t="shared" si="13"/>
        <v>34.793999999999997</v>
      </c>
      <c r="AD16" s="310">
        <f t="shared" si="13"/>
        <v>13.925000000000001</v>
      </c>
    </row>
    <row r="17" spans="2:30">
      <c r="B17" t="str">
        <f>Processes!D22</f>
        <v>T-TAX-ICE_DST00</v>
      </c>
      <c r="C17" t="s">
        <v>744</v>
      </c>
      <c r="D17" s="310">
        <f t="shared" si="2"/>
        <v>39.924999999999997</v>
      </c>
      <c r="E17" s="310">
        <f t="shared" si="13"/>
        <v>36.674999999999997</v>
      </c>
      <c r="F17" s="310">
        <f t="shared" ref="F17" si="14">F87</f>
        <v>38.923999999999999</v>
      </c>
      <c r="G17" s="310">
        <f t="shared" si="13"/>
        <v>42.279000000000003</v>
      </c>
      <c r="H17" s="310">
        <f t="shared" si="13"/>
        <v>41.710999999999999</v>
      </c>
      <c r="I17" s="310">
        <f t="shared" si="13"/>
        <v>41.725000000000001</v>
      </c>
      <c r="J17" s="310">
        <f t="shared" si="13"/>
        <v>45.546999999999997</v>
      </c>
      <c r="K17" s="310">
        <f t="shared" si="13"/>
        <v>42.713000000000001</v>
      </c>
      <c r="L17" s="310">
        <f t="shared" si="13"/>
        <v>43.365000000000002</v>
      </c>
      <c r="M17" s="310">
        <f t="shared" si="13"/>
        <v>38.703000000000003</v>
      </c>
      <c r="N17" s="310">
        <f t="shared" si="13"/>
        <v>41.908000000000001</v>
      </c>
      <c r="O17" s="310">
        <f t="shared" si="13"/>
        <v>38.863999999999997</v>
      </c>
      <c r="P17" s="310">
        <f t="shared" si="13"/>
        <v>39.012</v>
      </c>
      <c r="Q17" s="310">
        <f t="shared" si="13"/>
        <v>40.003999999999998</v>
      </c>
      <c r="R17" s="310">
        <f t="shared" si="13"/>
        <v>40.366</v>
      </c>
      <c r="S17" s="310">
        <f t="shared" si="13"/>
        <v>39.216999999999999</v>
      </c>
      <c r="T17" s="310">
        <f t="shared" si="13"/>
        <v>40.262</v>
      </c>
      <c r="U17" s="310">
        <f t="shared" si="13"/>
        <v>40.31</v>
      </c>
      <c r="V17" s="310">
        <f t="shared" si="13"/>
        <v>39.709000000000003</v>
      </c>
      <c r="W17" s="310">
        <f t="shared" si="13"/>
        <v>40.692999999999998</v>
      </c>
      <c r="X17" s="310">
        <f t="shared" si="13"/>
        <v>42.972000000000001</v>
      </c>
      <c r="Y17" s="310">
        <f t="shared" si="13"/>
        <v>38.369</v>
      </c>
      <c r="Z17" s="310">
        <f t="shared" si="13"/>
        <v>39.170999999999999</v>
      </c>
      <c r="AA17" s="310">
        <f t="shared" si="13"/>
        <v>40.359000000000002</v>
      </c>
      <c r="AB17" s="310">
        <f t="shared" si="13"/>
        <v>44.034999999999997</v>
      </c>
      <c r="AC17" s="310">
        <f t="shared" si="13"/>
        <v>40.661000000000001</v>
      </c>
      <c r="AD17" s="310">
        <f t="shared" si="13"/>
        <v>42.5</v>
      </c>
    </row>
    <row r="18" spans="2:30">
      <c r="B18" t="str">
        <f>Processes!D23</f>
        <v>T-TAX-HEV_GSL00</v>
      </c>
      <c r="C18" t="s">
        <v>744</v>
      </c>
      <c r="D18" s="310">
        <f t="shared" si="2"/>
        <v>41.210999999999999</v>
      </c>
      <c r="E18" s="310">
        <f t="shared" si="13"/>
        <v>46.207999999999998</v>
      </c>
      <c r="F18" s="310">
        <f t="shared" ref="F18" si="15">F88</f>
        <v>40.334000000000003</v>
      </c>
      <c r="G18" s="310">
        <f t="shared" si="13"/>
        <v>46.970999999999997</v>
      </c>
      <c r="H18" s="310">
        <f t="shared" si="13"/>
        <v>42.451000000000001</v>
      </c>
      <c r="I18" s="310">
        <f t="shared" si="13"/>
        <v>40.606000000000002</v>
      </c>
      <c r="J18" s="310">
        <f t="shared" si="13"/>
        <v>0</v>
      </c>
      <c r="K18" s="310">
        <f t="shared" si="13"/>
        <v>42.247</v>
      </c>
      <c r="L18" s="310">
        <f t="shared" si="13"/>
        <v>47.298000000000002</v>
      </c>
      <c r="M18" s="310">
        <f t="shared" si="13"/>
        <v>39.761000000000003</v>
      </c>
      <c r="N18" s="310">
        <f t="shared" si="13"/>
        <v>49.19</v>
      </c>
      <c r="O18" s="310">
        <f t="shared" si="13"/>
        <v>41.015000000000001</v>
      </c>
      <c r="P18" s="310">
        <f t="shared" si="13"/>
        <v>39.994999999999997</v>
      </c>
      <c r="Q18" s="310">
        <f t="shared" si="13"/>
        <v>37.396999999999998</v>
      </c>
      <c r="R18" s="310">
        <f t="shared" si="13"/>
        <v>45.326999999999998</v>
      </c>
      <c r="S18" s="310">
        <f t="shared" si="13"/>
        <v>35.898000000000003</v>
      </c>
      <c r="T18" s="310">
        <f t="shared" si="13"/>
        <v>45.386000000000003</v>
      </c>
      <c r="U18" s="310">
        <f t="shared" si="13"/>
        <v>38.015000000000001</v>
      </c>
      <c r="V18" s="310">
        <f t="shared" si="13"/>
        <v>60.183999999999997</v>
      </c>
      <c r="W18" s="310">
        <f t="shared" si="13"/>
        <v>40.619999999999997</v>
      </c>
      <c r="X18" s="310">
        <f t="shared" si="13"/>
        <v>0</v>
      </c>
      <c r="Y18" s="310">
        <f t="shared" si="13"/>
        <v>54.843000000000004</v>
      </c>
      <c r="Z18" s="310">
        <f t="shared" si="13"/>
        <v>0</v>
      </c>
      <c r="AA18" s="310">
        <f t="shared" si="13"/>
        <v>25.759</v>
      </c>
      <c r="AB18" s="310">
        <f t="shared" si="13"/>
        <v>42.872999999999998</v>
      </c>
      <c r="AC18" s="310">
        <f t="shared" si="13"/>
        <v>59.003999999999998</v>
      </c>
      <c r="AD18" s="310">
        <f t="shared" si="13"/>
        <v>0</v>
      </c>
    </row>
    <row r="19" spans="2:30">
      <c r="B19" t="str">
        <f>Processes!D25</f>
        <v>T-BUS-ICE_DST00</v>
      </c>
      <c r="C19" t="s">
        <v>744</v>
      </c>
      <c r="D19" s="310">
        <f t="shared" si="2"/>
        <v>36.094999999999999</v>
      </c>
      <c r="E19" s="310">
        <f t="shared" si="13"/>
        <v>29.084</v>
      </c>
      <c r="F19" s="310">
        <f t="shared" ref="F19" si="16">F89</f>
        <v>42.320999999999998</v>
      </c>
      <c r="G19" s="310">
        <f t="shared" si="13"/>
        <v>33.158999999999999</v>
      </c>
      <c r="H19" s="310">
        <f t="shared" si="13"/>
        <v>36.375999999999998</v>
      </c>
      <c r="I19" s="310">
        <f t="shared" si="13"/>
        <v>27.684999999999999</v>
      </c>
      <c r="J19" s="310">
        <f t="shared" si="13"/>
        <v>29.504999999999999</v>
      </c>
      <c r="K19" s="310">
        <f t="shared" si="13"/>
        <v>36.526000000000003</v>
      </c>
      <c r="L19" s="310">
        <f t="shared" si="13"/>
        <v>29.387</v>
      </c>
      <c r="M19" s="310">
        <f t="shared" si="13"/>
        <v>31.809000000000001</v>
      </c>
      <c r="N19" s="310">
        <f t="shared" si="13"/>
        <v>32.343000000000004</v>
      </c>
      <c r="O19" s="310">
        <f t="shared" si="13"/>
        <v>33.917999999999999</v>
      </c>
      <c r="P19" s="310">
        <f t="shared" si="13"/>
        <v>35.256999999999998</v>
      </c>
      <c r="Q19" s="310">
        <f t="shared" si="13"/>
        <v>30.913</v>
      </c>
      <c r="R19" s="310">
        <f t="shared" si="13"/>
        <v>32.386000000000003</v>
      </c>
      <c r="S19" s="310">
        <f t="shared" si="13"/>
        <v>35.008000000000003</v>
      </c>
      <c r="T19" s="310">
        <f t="shared" si="13"/>
        <v>34.691000000000003</v>
      </c>
      <c r="U19" s="310">
        <f t="shared" si="13"/>
        <v>32.432000000000002</v>
      </c>
      <c r="V19" s="310">
        <f t="shared" si="13"/>
        <v>31.053999999999998</v>
      </c>
      <c r="W19" s="310">
        <f t="shared" si="13"/>
        <v>35.097999999999999</v>
      </c>
      <c r="X19" s="310">
        <f t="shared" si="13"/>
        <v>22.18</v>
      </c>
      <c r="Y19" s="310">
        <f t="shared" si="13"/>
        <v>37.491999999999997</v>
      </c>
      <c r="Z19" s="310">
        <f t="shared" si="13"/>
        <v>31.65</v>
      </c>
      <c r="AA19" s="310">
        <f t="shared" si="13"/>
        <v>34.908000000000001</v>
      </c>
      <c r="AB19" s="310">
        <f t="shared" si="13"/>
        <v>39.076999999999998</v>
      </c>
      <c r="AC19" s="310">
        <f t="shared" si="13"/>
        <v>32.835999999999999</v>
      </c>
      <c r="AD19" s="310">
        <f t="shared" si="13"/>
        <v>45.258000000000003</v>
      </c>
    </row>
    <row r="20" spans="2:30">
      <c r="B20" t="str">
        <f>Processes!D27</f>
        <v>T-LPT-BEV_ELC00</v>
      </c>
      <c r="C20" t="s">
        <v>744</v>
      </c>
      <c r="D20" s="310">
        <f t="shared" si="2"/>
        <v>55.691000000000003</v>
      </c>
      <c r="E20" s="310">
        <f t="shared" si="13"/>
        <v>55.691000000000003</v>
      </c>
      <c r="F20" s="310">
        <f t="shared" ref="F20" si="17">F90</f>
        <v>55.691000000000003</v>
      </c>
      <c r="G20" s="310">
        <f t="shared" si="13"/>
        <v>55.691000000000003</v>
      </c>
      <c r="H20" s="310">
        <f t="shared" si="13"/>
        <v>55.691000000000003</v>
      </c>
      <c r="I20" s="310">
        <f t="shared" si="13"/>
        <v>55.691000000000003</v>
      </c>
      <c r="J20" s="310">
        <f t="shared" si="13"/>
        <v>55.691000000000003</v>
      </c>
      <c r="K20" s="310">
        <f t="shared" si="13"/>
        <v>55.691000000000003</v>
      </c>
      <c r="L20" s="310">
        <f t="shared" si="13"/>
        <v>55.691000000000003</v>
      </c>
      <c r="M20" s="310">
        <f t="shared" si="13"/>
        <v>55.691000000000003</v>
      </c>
      <c r="N20" s="310">
        <f t="shared" si="13"/>
        <v>55.691000000000003</v>
      </c>
      <c r="O20" s="310">
        <f t="shared" si="13"/>
        <v>55.691000000000003</v>
      </c>
      <c r="P20" s="310">
        <f t="shared" si="13"/>
        <v>55.691000000000003</v>
      </c>
      <c r="Q20" s="310">
        <f t="shared" si="13"/>
        <v>55.691000000000003</v>
      </c>
      <c r="R20" s="310">
        <f t="shared" si="13"/>
        <v>55.691000000000003</v>
      </c>
      <c r="S20" s="310">
        <f t="shared" si="13"/>
        <v>55.691000000000003</v>
      </c>
      <c r="T20" s="310">
        <f t="shared" si="13"/>
        <v>55.691000000000003</v>
      </c>
      <c r="U20" s="310">
        <f t="shared" si="13"/>
        <v>55.691000000000003</v>
      </c>
      <c r="V20" s="310">
        <f t="shared" si="13"/>
        <v>55.691000000000003</v>
      </c>
      <c r="W20" s="310">
        <f t="shared" si="13"/>
        <v>55.691000000000003</v>
      </c>
      <c r="X20" s="310">
        <f t="shared" si="13"/>
        <v>55.691000000000003</v>
      </c>
      <c r="Y20" s="310">
        <f t="shared" si="13"/>
        <v>55.691000000000003</v>
      </c>
      <c r="Z20" s="310">
        <f t="shared" si="13"/>
        <v>55.691000000000003</v>
      </c>
      <c r="AA20" s="310">
        <f t="shared" si="13"/>
        <v>55.691000000000003</v>
      </c>
      <c r="AB20" s="310">
        <f t="shared" si="13"/>
        <v>55.691000000000003</v>
      </c>
      <c r="AC20" s="310">
        <f t="shared" si="13"/>
        <v>55.691000000000003</v>
      </c>
      <c r="AD20" s="310">
        <f t="shared" si="13"/>
        <v>55.691000000000003</v>
      </c>
    </row>
    <row r="21" spans="2:30">
      <c r="B21" t="str">
        <f>Processes!D28</f>
        <v>T-HPT-BEV_ELC00</v>
      </c>
      <c r="C21" t="s">
        <v>744</v>
      </c>
      <c r="D21" s="310">
        <f t="shared" si="2"/>
        <v>158.476</v>
      </c>
      <c r="E21" s="310">
        <f t="shared" si="13"/>
        <v>158.476</v>
      </c>
      <c r="F21" s="310">
        <f t="shared" ref="F21" si="18">F91</f>
        <v>158.476</v>
      </c>
      <c r="G21" s="310">
        <f t="shared" si="13"/>
        <v>158.476</v>
      </c>
      <c r="H21" s="310">
        <f t="shared" si="13"/>
        <v>158.476</v>
      </c>
      <c r="I21" s="310">
        <f t="shared" si="13"/>
        <v>158.476</v>
      </c>
      <c r="J21" s="310">
        <f t="shared" si="13"/>
        <v>158.476</v>
      </c>
      <c r="K21" s="310">
        <f t="shared" si="13"/>
        <v>158.476</v>
      </c>
      <c r="L21" s="310">
        <f t="shared" si="13"/>
        <v>158.476</v>
      </c>
      <c r="M21" s="310">
        <f t="shared" si="13"/>
        <v>158.476</v>
      </c>
      <c r="N21" s="310">
        <f t="shared" si="13"/>
        <v>158.476</v>
      </c>
      <c r="O21" s="310">
        <f t="shared" si="13"/>
        <v>158.476</v>
      </c>
      <c r="P21" s="310">
        <f t="shared" si="13"/>
        <v>158.476</v>
      </c>
      <c r="Q21" s="310">
        <f t="shared" si="13"/>
        <v>158.476</v>
      </c>
      <c r="R21" s="310">
        <f t="shared" si="13"/>
        <v>158.476</v>
      </c>
      <c r="S21" s="310">
        <f t="shared" si="13"/>
        <v>158.476</v>
      </c>
      <c r="T21" s="310">
        <f t="shared" si="13"/>
        <v>158.476</v>
      </c>
      <c r="U21" s="310">
        <f t="shared" si="13"/>
        <v>158.476</v>
      </c>
      <c r="V21" s="310">
        <f t="shared" si="13"/>
        <v>158.476</v>
      </c>
      <c r="W21" s="310">
        <f t="shared" si="13"/>
        <v>158.476</v>
      </c>
      <c r="X21" s="310">
        <f t="shared" si="13"/>
        <v>158.476</v>
      </c>
      <c r="Y21" s="310">
        <f t="shared" si="13"/>
        <v>158.476</v>
      </c>
      <c r="Z21" s="310">
        <f t="shared" si="13"/>
        <v>158.476</v>
      </c>
      <c r="AA21" s="310">
        <f t="shared" si="13"/>
        <v>158.476</v>
      </c>
      <c r="AB21" s="310">
        <f t="shared" si="13"/>
        <v>158.476</v>
      </c>
      <c r="AC21" s="310">
        <f t="shared" si="13"/>
        <v>158.476</v>
      </c>
      <c r="AD21" s="310">
        <f t="shared" si="13"/>
        <v>158.476</v>
      </c>
    </row>
    <row r="22" spans="2:30">
      <c r="B22" t="str">
        <f>Processes!D29</f>
        <v>T-HPT-ICE_DST00</v>
      </c>
      <c r="C22" t="s">
        <v>744</v>
      </c>
      <c r="D22" s="310">
        <f t="shared" si="2"/>
        <v>73.884</v>
      </c>
      <c r="E22" s="310">
        <f>E92</f>
        <v>73.884</v>
      </c>
      <c r="F22" s="310">
        <f>F92</f>
        <v>73.884</v>
      </c>
      <c r="G22" s="310">
        <f t="shared" si="13"/>
        <v>73.884</v>
      </c>
      <c r="H22" s="310">
        <f t="shared" si="13"/>
        <v>73.884</v>
      </c>
      <c r="I22" s="310">
        <f t="shared" si="13"/>
        <v>73.884</v>
      </c>
      <c r="J22" s="310">
        <f t="shared" si="13"/>
        <v>73.884</v>
      </c>
      <c r="K22" s="310">
        <f t="shared" si="13"/>
        <v>73.884</v>
      </c>
      <c r="L22" s="310">
        <f t="shared" si="13"/>
        <v>73.884</v>
      </c>
      <c r="M22" s="310">
        <f t="shared" si="13"/>
        <v>73.884</v>
      </c>
      <c r="N22" s="310">
        <f t="shared" si="13"/>
        <v>73.884</v>
      </c>
      <c r="O22" s="310">
        <f t="shared" si="13"/>
        <v>73.884</v>
      </c>
      <c r="P22" s="310">
        <f t="shared" si="13"/>
        <v>73.884</v>
      </c>
      <c r="Q22" s="310">
        <f t="shared" si="13"/>
        <v>73.884</v>
      </c>
      <c r="R22" s="310">
        <f t="shared" si="13"/>
        <v>73.884</v>
      </c>
      <c r="S22" s="310">
        <f t="shared" si="13"/>
        <v>73.884</v>
      </c>
      <c r="T22" s="310">
        <f t="shared" si="13"/>
        <v>73.884</v>
      </c>
      <c r="U22" s="310">
        <f t="shared" si="13"/>
        <v>73.884</v>
      </c>
      <c r="V22" s="310">
        <f t="shared" si="13"/>
        <v>73.884</v>
      </c>
      <c r="W22" s="310">
        <f t="shared" si="13"/>
        <v>73.884</v>
      </c>
      <c r="X22" s="310">
        <f t="shared" si="13"/>
        <v>73.884</v>
      </c>
      <c r="Y22" s="310">
        <f t="shared" si="13"/>
        <v>73.884</v>
      </c>
      <c r="Z22" s="310">
        <f t="shared" si="13"/>
        <v>73.884</v>
      </c>
      <c r="AA22" s="310">
        <f t="shared" si="13"/>
        <v>73.884</v>
      </c>
      <c r="AB22" s="310">
        <f t="shared" si="13"/>
        <v>73.884</v>
      </c>
      <c r="AC22" s="310">
        <f t="shared" si="13"/>
        <v>73.884</v>
      </c>
      <c r="AD22" s="310">
        <f t="shared" si="13"/>
        <v>73.884</v>
      </c>
    </row>
    <row r="23" spans="2:30">
      <c r="B23" t="str">
        <f>Processes!D32</f>
        <v>T-LGT-ICE_GSL00</v>
      </c>
      <c r="C23" t="s">
        <v>744</v>
      </c>
      <c r="D23" s="310">
        <f t="shared" ref="D23" si="19">D93</f>
        <v>20.794499999999999</v>
      </c>
      <c r="E23" s="310">
        <f t="shared" ref="E23:AD23" si="20">E93</f>
        <v>20.6495</v>
      </c>
      <c r="F23" s="310">
        <f t="shared" si="20"/>
        <v>22.375</v>
      </c>
      <c r="G23" s="310">
        <f t="shared" si="20"/>
        <v>21.454000000000001</v>
      </c>
      <c r="H23" s="310">
        <f t="shared" si="20"/>
        <v>20.001000000000001</v>
      </c>
      <c r="I23" s="310">
        <f t="shared" si="20"/>
        <v>20.641500000000001</v>
      </c>
      <c r="J23" s="310">
        <f t="shared" si="20"/>
        <v>20.355</v>
      </c>
      <c r="K23" s="310">
        <f t="shared" si="20"/>
        <v>20.972999999999999</v>
      </c>
      <c r="L23" s="310">
        <f t="shared" si="20"/>
        <v>21.956499999999998</v>
      </c>
      <c r="M23" s="310">
        <f t="shared" si="20"/>
        <v>20.138500000000001</v>
      </c>
      <c r="N23" s="310">
        <f t="shared" si="20"/>
        <v>20.660499999999999</v>
      </c>
      <c r="O23" s="310">
        <f t="shared" si="20"/>
        <v>20.590499999999999</v>
      </c>
      <c r="P23" s="310">
        <f t="shared" si="20"/>
        <v>19.901</v>
      </c>
      <c r="Q23" s="310">
        <f t="shared" si="20"/>
        <v>20.317499999999999</v>
      </c>
      <c r="R23" s="310">
        <f t="shared" si="20"/>
        <v>19.6965</v>
      </c>
      <c r="S23" s="310">
        <f t="shared" si="20"/>
        <v>20.023499999999999</v>
      </c>
      <c r="T23" s="310">
        <f t="shared" si="20"/>
        <v>21.157</v>
      </c>
      <c r="U23" s="310">
        <f t="shared" si="20"/>
        <v>19.945499999999999</v>
      </c>
      <c r="V23" s="310">
        <f t="shared" si="20"/>
        <v>18.807500000000001</v>
      </c>
      <c r="W23" s="310">
        <f t="shared" si="20"/>
        <v>20.356000000000002</v>
      </c>
      <c r="X23" s="310">
        <f t="shared" si="20"/>
        <v>20.490500000000001</v>
      </c>
      <c r="Y23" s="310">
        <f t="shared" si="20"/>
        <v>20.330500000000001</v>
      </c>
      <c r="Z23" s="310">
        <f t="shared" si="20"/>
        <v>20.715499999999999</v>
      </c>
      <c r="AA23" s="310">
        <f t="shared" si="20"/>
        <v>19.79</v>
      </c>
      <c r="AB23" s="310">
        <f t="shared" si="20"/>
        <v>20.96</v>
      </c>
      <c r="AC23" s="310">
        <f t="shared" si="20"/>
        <v>19.359000000000002</v>
      </c>
      <c r="AD23" s="310">
        <f t="shared" si="20"/>
        <v>20.867999999999999</v>
      </c>
    </row>
    <row r="24" spans="2:30">
      <c r="B24" t="str">
        <f>Processes!D33</f>
        <v>T-LGT-ICE_DST00</v>
      </c>
      <c r="C24" t="s">
        <v>744</v>
      </c>
      <c r="D24" s="310">
        <f t="shared" ref="D24:AD24" si="21">D94</f>
        <v>20.794499999999999</v>
      </c>
      <c r="E24" s="310">
        <f t="shared" si="21"/>
        <v>20.6495</v>
      </c>
      <c r="F24" s="310">
        <f t="shared" si="21"/>
        <v>22.375</v>
      </c>
      <c r="G24" s="310">
        <f t="shared" si="21"/>
        <v>21.454000000000001</v>
      </c>
      <c r="H24" s="310">
        <f t="shared" si="21"/>
        <v>20.001000000000001</v>
      </c>
      <c r="I24" s="310">
        <f t="shared" si="21"/>
        <v>20.641500000000001</v>
      </c>
      <c r="J24" s="310">
        <f t="shared" si="21"/>
        <v>20.355</v>
      </c>
      <c r="K24" s="310">
        <f t="shared" si="21"/>
        <v>20.972999999999999</v>
      </c>
      <c r="L24" s="310">
        <f t="shared" si="21"/>
        <v>21.956499999999998</v>
      </c>
      <c r="M24" s="310">
        <f t="shared" si="21"/>
        <v>20.138500000000001</v>
      </c>
      <c r="N24" s="310">
        <f t="shared" si="21"/>
        <v>20.660499999999999</v>
      </c>
      <c r="O24" s="310">
        <f t="shared" si="21"/>
        <v>20.590499999999999</v>
      </c>
      <c r="P24" s="310">
        <f t="shared" si="21"/>
        <v>19.901</v>
      </c>
      <c r="Q24" s="310">
        <f t="shared" si="21"/>
        <v>20.317499999999999</v>
      </c>
      <c r="R24" s="310">
        <f t="shared" si="21"/>
        <v>19.6965</v>
      </c>
      <c r="S24" s="310">
        <f t="shared" si="21"/>
        <v>20.023499999999999</v>
      </c>
      <c r="T24" s="310">
        <f t="shared" si="21"/>
        <v>21.157</v>
      </c>
      <c r="U24" s="310">
        <f t="shared" si="21"/>
        <v>19.945499999999999</v>
      </c>
      <c r="V24" s="310">
        <f t="shared" si="21"/>
        <v>18.807500000000001</v>
      </c>
      <c r="W24" s="310">
        <f t="shared" si="21"/>
        <v>20.356000000000002</v>
      </c>
      <c r="X24" s="310">
        <f t="shared" si="21"/>
        <v>20.490500000000001</v>
      </c>
      <c r="Y24" s="310">
        <f t="shared" si="21"/>
        <v>20.330500000000001</v>
      </c>
      <c r="Z24" s="310">
        <f t="shared" si="21"/>
        <v>20.715499999999999</v>
      </c>
      <c r="AA24" s="310">
        <f t="shared" si="21"/>
        <v>19.79</v>
      </c>
      <c r="AB24" s="310">
        <f t="shared" si="21"/>
        <v>20.96</v>
      </c>
      <c r="AC24" s="310">
        <f t="shared" si="21"/>
        <v>19.359000000000002</v>
      </c>
      <c r="AD24" s="310">
        <f t="shared" si="21"/>
        <v>20.867999999999999</v>
      </c>
    </row>
    <row r="25" spans="2:30">
      <c r="B25" t="str">
        <f>Processes!D34</f>
        <v>T-MGT-ICE_DST00</v>
      </c>
      <c r="C25" t="s">
        <v>744</v>
      </c>
      <c r="D25" s="310">
        <f t="shared" ref="D25:AD25" si="22">D95</f>
        <v>29.397500000000001</v>
      </c>
      <c r="E25" s="310">
        <f t="shared" si="22"/>
        <v>31.172499999999999</v>
      </c>
      <c r="F25" s="310">
        <f t="shared" si="22"/>
        <v>33.305999999999997</v>
      </c>
      <c r="G25" s="310">
        <f t="shared" si="22"/>
        <v>25.042000000000002</v>
      </c>
      <c r="H25" s="310">
        <f t="shared" si="22"/>
        <v>24.787500000000001</v>
      </c>
      <c r="I25" s="310">
        <f t="shared" si="22"/>
        <v>26.09</v>
      </c>
      <c r="J25" s="310">
        <f t="shared" si="22"/>
        <v>24.6065</v>
      </c>
      <c r="K25" s="310">
        <f t="shared" si="22"/>
        <v>29.489000000000001</v>
      </c>
      <c r="L25" s="310">
        <f t="shared" si="22"/>
        <v>28.097000000000001</v>
      </c>
      <c r="M25" s="310">
        <f t="shared" si="22"/>
        <v>24.5305</v>
      </c>
      <c r="N25" s="310">
        <f t="shared" si="22"/>
        <v>26.7775</v>
      </c>
      <c r="O25" s="310">
        <f t="shared" si="22"/>
        <v>32.348999999999997</v>
      </c>
      <c r="P25" s="310">
        <f t="shared" si="22"/>
        <v>26.45</v>
      </c>
      <c r="Q25" s="310">
        <f t="shared" si="22"/>
        <v>25.686</v>
      </c>
      <c r="R25" s="310">
        <f t="shared" si="22"/>
        <v>29.422000000000001</v>
      </c>
      <c r="S25" s="310">
        <f t="shared" si="22"/>
        <v>26.604500000000002</v>
      </c>
      <c r="T25" s="310">
        <f t="shared" si="22"/>
        <v>30.3155</v>
      </c>
      <c r="U25" s="310">
        <f t="shared" si="22"/>
        <v>26.679500000000001</v>
      </c>
      <c r="V25" s="310">
        <f t="shared" si="22"/>
        <v>25.986000000000001</v>
      </c>
      <c r="W25" s="310">
        <f t="shared" si="22"/>
        <v>28.8355</v>
      </c>
      <c r="X25" s="310">
        <f t="shared" si="22"/>
        <v>26.519500000000001</v>
      </c>
      <c r="Y25" s="310">
        <f t="shared" si="22"/>
        <v>27.371500000000001</v>
      </c>
      <c r="Z25" s="310">
        <f t="shared" si="22"/>
        <v>34.000500000000002</v>
      </c>
      <c r="AA25" s="310">
        <f t="shared" si="22"/>
        <v>22.640499999999999</v>
      </c>
      <c r="AB25" s="310">
        <f t="shared" si="22"/>
        <v>30.84</v>
      </c>
      <c r="AC25" s="310">
        <f t="shared" si="22"/>
        <v>23.1995</v>
      </c>
      <c r="AD25" s="310">
        <f t="shared" si="22"/>
        <v>31.799499999999998</v>
      </c>
    </row>
    <row r="26" spans="2:30">
      <c r="B26" t="str">
        <f>Processes!D35</f>
        <v>T-HGT-ICE_DST00</v>
      </c>
      <c r="C26" t="s">
        <v>744</v>
      </c>
      <c r="D26" s="310">
        <f t="shared" ref="D26:AD26" si="23">D96</f>
        <v>50.915999999999997</v>
      </c>
      <c r="E26" s="310">
        <f t="shared" si="23"/>
        <v>48.8825</v>
      </c>
      <c r="F26" s="310">
        <f t="shared" si="23"/>
        <v>49.607999999999997</v>
      </c>
      <c r="G26" s="310">
        <f t="shared" si="23"/>
        <v>54.716999999999999</v>
      </c>
      <c r="H26" s="310">
        <f t="shared" si="23"/>
        <v>59.597000000000001</v>
      </c>
      <c r="I26" s="310">
        <f t="shared" si="23"/>
        <v>52.476999999999997</v>
      </c>
      <c r="J26" s="310">
        <f t="shared" si="23"/>
        <v>51.298000000000002</v>
      </c>
      <c r="K26" s="310">
        <f t="shared" si="23"/>
        <v>51.7545</v>
      </c>
      <c r="L26" s="310">
        <f t="shared" si="23"/>
        <v>50.350499999999997</v>
      </c>
      <c r="M26" s="310">
        <f t="shared" si="23"/>
        <v>49.205500000000001</v>
      </c>
      <c r="N26" s="310">
        <f t="shared" si="23"/>
        <v>48.326999999999998</v>
      </c>
      <c r="O26" s="310">
        <f t="shared" si="23"/>
        <v>56.772500000000001</v>
      </c>
      <c r="P26" s="310">
        <f t="shared" si="23"/>
        <v>48.652999999999999</v>
      </c>
      <c r="Q26" s="310">
        <f t="shared" si="23"/>
        <v>48.671999999999997</v>
      </c>
      <c r="R26" s="310">
        <f t="shared" si="23"/>
        <v>51.267000000000003</v>
      </c>
      <c r="S26" s="310">
        <f t="shared" si="23"/>
        <v>47.985999999999997</v>
      </c>
      <c r="T26" s="310">
        <f t="shared" si="23"/>
        <v>54.374499999999998</v>
      </c>
      <c r="U26" s="310">
        <f t="shared" si="23"/>
        <v>45.490499999999997</v>
      </c>
      <c r="V26" s="310">
        <f t="shared" si="23"/>
        <v>50.088500000000003</v>
      </c>
      <c r="W26" s="310">
        <f t="shared" si="23"/>
        <v>42.529499999999999</v>
      </c>
      <c r="X26" s="310">
        <f t="shared" si="23"/>
        <v>52.52</v>
      </c>
      <c r="Y26" s="310">
        <f t="shared" si="23"/>
        <v>37.160499999999999</v>
      </c>
      <c r="Z26" s="310">
        <f t="shared" si="23"/>
        <v>48.639000000000003</v>
      </c>
      <c r="AA26" s="310">
        <f t="shared" si="23"/>
        <v>46.78</v>
      </c>
      <c r="AB26" s="310">
        <f t="shared" si="23"/>
        <v>61.667499999999997</v>
      </c>
      <c r="AC26" s="310">
        <f t="shared" si="23"/>
        <v>47.325000000000003</v>
      </c>
      <c r="AD26" s="310">
        <f t="shared" si="23"/>
        <v>57.072000000000003</v>
      </c>
    </row>
    <row r="27" spans="2:30">
      <c r="B27" s="79" t="str">
        <f>Processes!D36</f>
        <v>T-GTR-ICE_DST00</v>
      </c>
      <c r="C27" s="79" t="s">
        <v>744</v>
      </c>
      <c r="D27" s="312">
        <f t="shared" ref="D27:AD27" si="24">D97</f>
        <v>39.363999999999997</v>
      </c>
      <c r="E27" s="312">
        <f t="shared" si="24"/>
        <v>39.363999999999997</v>
      </c>
      <c r="F27" s="312">
        <f t="shared" si="24"/>
        <v>39.363999999999997</v>
      </c>
      <c r="G27" s="312">
        <f t="shared" si="24"/>
        <v>39.363999999999997</v>
      </c>
      <c r="H27" s="312">
        <f t="shared" si="24"/>
        <v>39.363999999999997</v>
      </c>
      <c r="I27" s="312">
        <f t="shared" si="24"/>
        <v>39.363999999999997</v>
      </c>
      <c r="J27" s="312">
        <f t="shared" si="24"/>
        <v>39.363999999999997</v>
      </c>
      <c r="K27" s="312">
        <f t="shared" si="24"/>
        <v>39.363999999999997</v>
      </c>
      <c r="L27" s="312">
        <f t="shared" si="24"/>
        <v>39.363999999999997</v>
      </c>
      <c r="M27" s="312">
        <f t="shared" si="24"/>
        <v>39.363999999999997</v>
      </c>
      <c r="N27" s="312">
        <f t="shared" si="24"/>
        <v>39.363999999999997</v>
      </c>
      <c r="O27" s="312">
        <f t="shared" si="24"/>
        <v>39.363999999999997</v>
      </c>
      <c r="P27" s="312">
        <f t="shared" si="24"/>
        <v>39.363999999999997</v>
      </c>
      <c r="Q27" s="312">
        <f t="shared" si="24"/>
        <v>39.363999999999997</v>
      </c>
      <c r="R27" s="312">
        <f t="shared" si="24"/>
        <v>39.363999999999997</v>
      </c>
      <c r="S27" s="312">
        <f t="shared" si="24"/>
        <v>39.363999999999997</v>
      </c>
      <c r="T27" s="312">
        <f t="shared" si="24"/>
        <v>39.363999999999997</v>
      </c>
      <c r="U27" s="312">
        <f t="shared" si="24"/>
        <v>39.363999999999997</v>
      </c>
      <c r="V27" s="312">
        <f t="shared" si="24"/>
        <v>39.363999999999997</v>
      </c>
      <c r="W27" s="312">
        <f t="shared" si="24"/>
        <v>39.363999999999997</v>
      </c>
      <c r="X27" s="312">
        <f t="shared" si="24"/>
        <v>39.363999999999997</v>
      </c>
      <c r="Y27" s="312">
        <f t="shared" si="24"/>
        <v>39.363999999999997</v>
      </c>
      <c r="Z27" s="312">
        <f t="shared" si="24"/>
        <v>39.363999999999997</v>
      </c>
      <c r="AA27" s="312">
        <f t="shared" si="24"/>
        <v>39.363999999999997</v>
      </c>
      <c r="AB27" s="312">
        <f t="shared" si="24"/>
        <v>39.363999999999997</v>
      </c>
      <c r="AC27" s="312">
        <f t="shared" si="24"/>
        <v>39.363999999999997</v>
      </c>
      <c r="AD27" s="312">
        <f t="shared" si="24"/>
        <v>39.363999999999997</v>
      </c>
    </row>
    <row r="28" spans="2:30">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2:30">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6" spans="2:30">
      <c r="C36" s="147"/>
    </row>
    <row r="37" spans="2:30">
      <c r="C37" s="83"/>
    </row>
    <row r="38" spans="2:30">
      <c r="C38" s="141" t="s">
        <v>75</v>
      </c>
    </row>
    <row r="39" spans="2:30" ht="15" thickBot="1">
      <c r="B39" s="35" t="s">
        <v>69</v>
      </c>
      <c r="C39" s="35" t="s">
        <v>99</v>
      </c>
      <c r="D39" s="146" t="str">
        <f t="shared" ref="D39:AD39" si="25">D3</f>
        <v>IE</v>
      </c>
      <c r="E39" s="146" t="str">
        <f t="shared" si="25"/>
        <v>IE-CW</v>
      </c>
      <c r="F39" s="146" t="str">
        <f t="shared" si="25"/>
        <v>IE-D</v>
      </c>
      <c r="G39" s="146" t="str">
        <f t="shared" si="25"/>
        <v>IE-KE</v>
      </c>
      <c r="H39" s="146" t="str">
        <f t="shared" si="25"/>
        <v>IE-KK</v>
      </c>
      <c r="I39" s="146" t="str">
        <f t="shared" si="25"/>
        <v>IE-LS</v>
      </c>
      <c r="J39" s="146" t="str">
        <f t="shared" si="25"/>
        <v>IE-LD</v>
      </c>
      <c r="K39" s="146" t="str">
        <f t="shared" si="25"/>
        <v>IE-LH</v>
      </c>
      <c r="L39" s="146" t="str">
        <f t="shared" si="25"/>
        <v>IE-MH</v>
      </c>
      <c r="M39" s="146" t="str">
        <f t="shared" si="25"/>
        <v>IE-OY</v>
      </c>
      <c r="N39" s="146" t="str">
        <f t="shared" si="25"/>
        <v>IE-WH</v>
      </c>
      <c r="O39" s="146" t="str">
        <f t="shared" si="25"/>
        <v>IE-WX</v>
      </c>
      <c r="P39" s="146" t="str">
        <f t="shared" si="25"/>
        <v>IE-WW</v>
      </c>
      <c r="Q39" s="146" t="str">
        <f t="shared" si="25"/>
        <v>IE-CE</v>
      </c>
      <c r="R39" s="146" t="str">
        <f t="shared" si="25"/>
        <v>IE-CO</v>
      </c>
      <c r="S39" s="146" t="str">
        <f t="shared" si="25"/>
        <v>IE-KY</v>
      </c>
      <c r="T39" s="146" t="str">
        <f t="shared" si="25"/>
        <v>IE-LK</v>
      </c>
      <c r="U39" s="146" t="str">
        <f t="shared" si="25"/>
        <v>IE-TA</v>
      </c>
      <c r="V39" s="146" t="str">
        <f t="shared" si="25"/>
        <v>IE-WD</v>
      </c>
      <c r="W39" s="146" t="str">
        <f t="shared" si="25"/>
        <v>IE-G</v>
      </c>
      <c r="X39" s="146" t="str">
        <f t="shared" si="25"/>
        <v>IE-LM</v>
      </c>
      <c r="Y39" s="146" t="str">
        <f t="shared" si="25"/>
        <v>IE-MO</v>
      </c>
      <c r="Z39" s="146" t="str">
        <f t="shared" si="25"/>
        <v>IE-RN</v>
      </c>
      <c r="AA39" s="146" t="str">
        <f t="shared" si="25"/>
        <v>IE-SO</v>
      </c>
      <c r="AB39" s="146" t="str">
        <f t="shared" si="25"/>
        <v>IE-CN</v>
      </c>
      <c r="AC39" s="146" t="str">
        <f t="shared" si="25"/>
        <v>IE-DL</v>
      </c>
      <c r="AD39" s="146" t="str">
        <f t="shared" si="25"/>
        <v>IE-MN</v>
      </c>
    </row>
    <row r="40" spans="2:30">
      <c r="B40" t="str">
        <f>Processes!D6</f>
        <v>T-WLK_WLK</v>
      </c>
      <c r="C40" t="s">
        <v>525</v>
      </c>
      <c r="D40" s="32">
        <v>1E-3</v>
      </c>
      <c r="E40" s="32">
        <v>1E-3</v>
      </c>
      <c r="F40" s="32">
        <v>1E-3</v>
      </c>
      <c r="G40" s="32">
        <v>1E-3</v>
      </c>
      <c r="H40" s="32">
        <v>1E-3</v>
      </c>
      <c r="I40" s="32">
        <v>1E-3</v>
      </c>
      <c r="J40" s="32">
        <v>1E-3</v>
      </c>
      <c r="K40" s="32">
        <v>1E-3</v>
      </c>
      <c r="L40" s="32">
        <v>1E-3</v>
      </c>
      <c r="M40" s="32">
        <v>1E-3</v>
      </c>
      <c r="N40" s="32">
        <v>1E-3</v>
      </c>
      <c r="O40" s="32">
        <v>1E-3</v>
      </c>
      <c r="P40" s="32">
        <v>1E-3</v>
      </c>
      <c r="Q40" s="32">
        <v>1E-3</v>
      </c>
      <c r="R40" s="32">
        <v>1E-3</v>
      </c>
      <c r="S40" s="32">
        <v>1E-3</v>
      </c>
      <c r="T40" s="32">
        <v>1E-3</v>
      </c>
      <c r="U40" s="32">
        <v>1E-3</v>
      </c>
      <c r="V40" s="32">
        <v>1E-3</v>
      </c>
      <c r="W40" s="32">
        <v>1E-3</v>
      </c>
      <c r="X40" s="32">
        <v>1E-3</v>
      </c>
      <c r="Y40" s="32">
        <v>1E-3</v>
      </c>
      <c r="Z40" s="32">
        <v>1E-3</v>
      </c>
      <c r="AA40" s="32">
        <v>1E-3</v>
      </c>
      <c r="AB40" s="32">
        <v>1E-3</v>
      </c>
      <c r="AC40" s="32">
        <v>1E-3</v>
      </c>
      <c r="AD40" s="32">
        <v>1E-3</v>
      </c>
    </row>
    <row r="41" spans="2:30">
      <c r="B41" t="str">
        <f>Processes!D7</f>
        <v>T-CYC_CYC</v>
      </c>
      <c r="C41" t="s">
        <v>525</v>
      </c>
      <c r="D41" s="32">
        <v>1E-3</v>
      </c>
      <c r="E41" s="32">
        <v>1E-3</v>
      </c>
      <c r="F41" s="32">
        <v>1E-3</v>
      </c>
      <c r="G41" s="32">
        <v>1E-3</v>
      </c>
      <c r="H41" s="32">
        <v>1E-3</v>
      </c>
      <c r="I41" s="32">
        <v>1E-3</v>
      </c>
      <c r="J41" s="32">
        <v>1E-3</v>
      </c>
      <c r="K41" s="32">
        <v>1E-3</v>
      </c>
      <c r="L41" s="32">
        <v>1E-3</v>
      </c>
      <c r="M41" s="32">
        <v>1E-3</v>
      </c>
      <c r="N41" s="32">
        <v>1E-3</v>
      </c>
      <c r="O41" s="32">
        <v>1E-3</v>
      </c>
      <c r="P41" s="32">
        <v>1E-3</v>
      </c>
      <c r="Q41" s="32">
        <v>1E-3</v>
      </c>
      <c r="R41" s="32">
        <v>1E-3</v>
      </c>
      <c r="S41" s="32">
        <v>1E-3</v>
      </c>
      <c r="T41" s="32">
        <v>1E-3</v>
      </c>
      <c r="U41" s="32">
        <v>1E-3</v>
      </c>
      <c r="V41" s="32">
        <v>1E-3</v>
      </c>
      <c r="W41" s="32">
        <v>1E-3</v>
      </c>
      <c r="X41" s="32">
        <v>1E-3</v>
      </c>
      <c r="Y41" s="32">
        <v>1E-3</v>
      </c>
      <c r="Z41" s="32">
        <v>1E-3</v>
      </c>
      <c r="AA41" s="32">
        <v>1E-3</v>
      </c>
      <c r="AB41" s="32">
        <v>1E-3</v>
      </c>
      <c r="AC41" s="32">
        <v>1E-3</v>
      </c>
      <c r="AD41" s="32">
        <v>1E-3</v>
      </c>
    </row>
    <row r="42" spans="2:30">
      <c r="B42" t="str">
        <f>Processes!D9</f>
        <v>T-MOT-ICE_GSL00</v>
      </c>
      <c r="C42" t="s">
        <v>525</v>
      </c>
      <c r="D42" s="32">
        <v>1E-3</v>
      </c>
      <c r="E42" s="32">
        <v>1E-3</v>
      </c>
      <c r="F42" s="32">
        <v>1E-3</v>
      </c>
      <c r="G42" s="32">
        <v>1E-3</v>
      </c>
      <c r="H42" s="32">
        <v>1E-3</v>
      </c>
      <c r="I42" s="32">
        <v>1E-3</v>
      </c>
      <c r="J42" s="32">
        <v>1E-3</v>
      </c>
      <c r="K42" s="32">
        <v>1E-3</v>
      </c>
      <c r="L42" s="32">
        <v>1E-3</v>
      </c>
      <c r="M42" s="32">
        <v>1E-3</v>
      </c>
      <c r="N42" s="32">
        <v>1E-3</v>
      </c>
      <c r="O42" s="32">
        <v>1E-3</v>
      </c>
      <c r="P42" s="32">
        <v>1E-3</v>
      </c>
      <c r="Q42" s="32">
        <v>1E-3</v>
      </c>
      <c r="R42" s="32">
        <v>1E-3</v>
      </c>
      <c r="S42" s="32">
        <v>1E-3</v>
      </c>
      <c r="T42" s="32">
        <v>1E-3</v>
      </c>
      <c r="U42" s="32">
        <v>1E-3</v>
      </c>
      <c r="V42" s="32">
        <v>1E-3</v>
      </c>
      <c r="W42" s="32">
        <v>1E-3</v>
      </c>
      <c r="X42" s="32">
        <v>1E-3</v>
      </c>
      <c r="Y42" s="32">
        <v>1E-3</v>
      </c>
      <c r="Z42" s="32">
        <v>1E-3</v>
      </c>
      <c r="AA42" s="32">
        <v>1E-3</v>
      </c>
      <c r="AB42" s="32">
        <v>1E-3</v>
      </c>
      <c r="AC42" s="32">
        <v>1E-3</v>
      </c>
      <c r="AD42" s="32">
        <v>1E-3</v>
      </c>
    </row>
    <row r="43" spans="2:30">
      <c r="B43" t="str">
        <f>Processes!D11</f>
        <v>T-CAR-ICE_GSL00</v>
      </c>
      <c r="C43" t="s">
        <v>525</v>
      </c>
      <c r="D43" s="32">
        <v>1E-3</v>
      </c>
      <c r="E43" s="32">
        <v>1E-3</v>
      </c>
      <c r="F43" s="32">
        <v>1E-3</v>
      </c>
      <c r="G43" s="32">
        <v>1E-3</v>
      </c>
      <c r="H43" s="32">
        <v>1E-3</v>
      </c>
      <c r="I43" s="32">
        <v>1E-3</v>
      </c>
      <c r="J43" s="32">
        <v>1E-3</v>
      </c>
      <c r="K43" s="32">
        <v>1E-3</v>
      </c>
      <c r="L43" s="32">
        <v>1E-3</v>
      </c>
      <c r="M43" s="32">
        <v>1E-3</v>
      </c>
      <c r="N43" s="32">
        <v>1E-3</v>
      </c>
      <c r="O43" s="32">
        <v>1E-3</v>
      </c>
      <c r="P43" s="32">
        <v>1E-3</v>
      </c>
      <c r="Q43" s="32">
        <v>1E-3</v>
      </c>
      <c r="R43" s="32">
        <v>1E-3</v>
      </c>
      <c r="S43" s="32">
        <v>1E-3</v>
      </c>
      <c r="T43" s="32">
        <v>1E-3</v>
      </c>
      <c r="U43" s="32">
        <v>1E-3</v>
      </c>
      <c r="V43" s="32">
        <v>1E-3</v>
      </c>
      <c r="W43" s="32">
        <v>1E-3</v>
      </c>
      <c r="X43" s="32">
        <v>1E-3</v>
      </c>
      <c r="Y43" s="32">
        <v>1E-3</v>
      </c>
      <c r="Z43" s="32">
        <v>1E-3</v>
      </c>
      <c r="AA43" s="32">
        <v>1E-3</v>
      </c>
      <c r="AB43" s="32">
        <v>1E-3</v>
      </c>
      <c r="AC43" s="32">
        <v>1E-3</v>
      </c>
      <c r="AD43" s="32">
        <v>1E-3</v>
      </c>
    </row>
    <row r="44" spans="2:30">
      <c r="B44" t="str">
        <f>Processes!D12</f>
        <v>T-CAR-ICE_DST00</v>
      </c>
      <c r="C44" t="s">
        <v>525</v>
      </c>
      <c r="D44" s="32">
        <v>1E-3</v>
      </c>
      <c r="E44" s="32">
        <v>1E-3</v>
      </c>
      <c r="F44" s="32">
        <v>1E-3</v>
      </c>
      <c r="G44" s="32">
        <v>1E-3</v>
      </c>
      <c r="H44" s="32">
        <v>1E-3</v>
      </c>
      <c r="I44" s="32">
        <v>1E-3</v>
      </c>
      <c r="J44" s="32">
        <v>1E-3</v>
      </c>
      <c r="K44" s="32">
        <v>1E-3</v>
      </c>
      <c r="L44" s="32">
        <v>1E-3</v>
      </c>
      <c r="M44" s="32">
        <v>1E-3</v>
      </c>
      <c r="N44" s="32">
        <v>1E-3</v>
      </c>
      <c r="O44" s="32">
        <v>1E-3</v>
      </c>
      <c r="P44" s="32">
        <v>1E-3</v>
      </c>
      <c r="Q44" s="32">
        <v>1E-3</v>
      </c>
      <c r="R44" s="32">
        <v>1E-3</v>
      </c>
      <c r="S44" s="32">
        <v>1E-3</v>
      </c>
      <c r="T44" s="32">
        <v>1E-3</v>
      </c>
      <c r="U44" s="32">
        <v>1E-3</v>
      </c>
      <c r="V44" s="32">
        <v>1E-3</v>
      </c>
      <c r="W44" s="32">
        <v>1E-3</v>
      </c>
      <c r="X44" s="32">
        <v>1E-3</v>
      </c>
      <c r="Y44" s="32">
        <v>1E-3</v>
      </c>
      <c r="Z44" s="32">
        <v>1E-3</v>
      </c>
      <c r="AA44" s="32">
        <v>1E-3</v>
      </c>
      <c r="AB44" s="32">
        <v>1E-3</v>
      </c>
      <c r="AC44" s="32">
        <v>1E-3</v>
      </c>
      <c r="AD44" s="32">
        <v>1E-3</v>
      </c>
    </row>
    <row r="45" spans="2:30">
      <c r="B45" t="str">
        <f>Processes!D13</f>
        <v>T-CAR-ICE_DF00</v>
      </c>
      <c r="C45" t="s">
        <v>525</v>
      </c>
      <c r="D45" s="32">
        <v>1E-3</v>
      </c>
      <c r="E45" s="32">
        <v>1E-3</v>
      </c>
      <c r="F45" s="32">
        <v>1E-3</v>
      </c>
      <c r="G45" s="32">
        <v>1E-3</v>
      </c>
      <c r="H45" s="32">
        <v>1E-3</v>
      </c>
      <c r="I45" s="32">
        <v>1E-3</v>
      </c>
      <c r="J45" s="32">
        <v>1E-3</v>
      </c>
      <c r="K45" s="32">
        <v>1E-3</v>
      </c>
      <c r="L45" s="32">
        <v>1E-3</v>
      </c>
      <c r="M45" s="32">
        <v>1E-3</v>
      </c>
      <c r="N45" s="32">
        <v>1E-3</v>
      </c>
      <c r="O45" s="32">
        <v>1E-3</v>
      </c>
      <c r="P45" s="32">
        <v>1E-3</v>
      </c>
      <c r="Q45" s="32">
        <v>1E-3</v>
      </c>
      <c r="R45" s="32">
        <v>1E-3</v>
      </c>
      <c r="S45" s="32">
        <v>1E-3</v>
      </c>
      <c r="T45" s="32">
        <v>1E-3</v>
      </c>
      <c r="U45" s="32">
        <v>1E-3</v>
      </c>
      <c r="V45" s="32">
        <v>1E-3</v>
      </c>
      <c r="W45" s="32">
        <v>1E-3</v>
      </c>
      <c r="X45" s="32">
        <v>1E-3</v>
      </c>
      <c r="Y45" s="32">
        <v>1E-3</v>
      </c>
      <c r="Z45" s="32">
        <v>1E-3</v>
      </c>
      <c r="AA45" s="32">
        <v>1E-3</v>
      </c>
      <c r="AB45" s="32">
        <v>1E-3</v>
      </c>
      <c r="AC45" s="32">
        <v>1E-3</v>
      </c>
      <c r="AD45" s="32">
        <v>1E-3</v>
      </c>
    </row>
    <row r="46" spans="2:30">
      <c r="B46" t="str">
        <f>Processes!D14</f>
        <v>T-CAR-ICE_E8500</v>
      </c>
      <c r="C46" t="s">
        <v>525</v>
      </c>
      <c r="D46" s="32">
        <v>1E-3</v>
      </c>
      <c r="E46" s="32">
        <v>1E-3</v>
      </c>
      <c r="F46" s="32">
        <v>1E-3</v>
      </c>
      <c r="G46" s="32">
        <v>1E-3</v>
      </c>
      <c r="H46" s="32">
        <v>1E-3</v>
      </c>
      <c r="I46" s="32">
        <v>1E-3</v>
      </c>
      <c r="J46" s="32">
        <v>1E-3</v>
      </c>
      <c r="K46" s="32">
        <v>1E-3</v>
      </c>
      <c r="L46" s="32">
        <v>1E-3</v>
      </c>
      <c r="M46" s="32">
        <v>1E-3</v>
      </c>
      <c r="N46" s="32">
        <v>1E-3</v>
      </c>
      <c r="O46" s="32">
        <v>1E-3</v>
      </c>
      <c r="P46" s="32">
        <v>1E-3</v>
      </c>
      <c r="Q46" s="32">
        <v>1E-3</v>
      </c>
      <c r="R46" s="32">
        <v>1E-3</v>
      </c>
      <c r="S46" s="32">
        <v>1E-3</v>
      </c>
      <c r="T46" s="32">
        <v>1E-3</v>
      </c>
      <c r="U46" s="32">
        <v>1E-3</v>
      </c>
      <c r="V46" s="32">
        <v>1E-3</v>
      </c>
      <c r="W46" s="32">
        <v>1E-3</v>
      </c>
      <c r="X46" s="32">
        <v>1E-3</v>
      </c>
      <c r="Y46" s="32">
        <v>1E-3</v>
      </c>
      <c r="Z46" s="32">
        <v>1E-3</v>
      </c>
      <c r="AA46" s="32">
        <v>1E-3</v>
      </c>
      <c r="AB46" s="32">
        <v>1E-3</v>
      </c>
      <c r="AC46" s="32">
        <v>1E-3</v>
      </c>
      <c r="AD46" s="32">
        <v>1E-3</v>
      </c>
    </row>
    <row r="47" spans="2:30">
      <c r="B47" t="str">
        <f>Processes!D15</f>
        <v>T-CAR-HEV_GSL00</v>
      </c>
      <c r="C47" t="s">
        <v>525</v>
      </c>
      <c r="D47" s="32">
        <v>1E-3</v>
      </c>
      <c r="E47" s="32">
        <v>1E-3</v>
      </c>
      <c r="F47" s="32">
        <v>1E-3</v>
      </c>
      <c r="G47" s="32">
        <v>1E-3</v>
      </c>
      <c r="H47" s="32">
        <v>1E-3</v>
      </c>
      <c r="I47" s="32">
        <v>1E-3</v>
      </c>
      <c r="J47" s="32">
        <v>1E-3</v>
      </c>
      <c r="K47" s="32">
        <v>1E-3</v>
      </c>
      <c r="L47" s="32">
        <v>1E-3</v>
      </c>
      <c r="M47" s="32">
        <v>1E-3</v>
      </c>
      <c r="N47" s="32">
        <v>1E-3</v>
      </c>
      <c r="O47" s="32">
        <v>1E-3</v>
      </c>
      <c r="P47" s="32">
        <v>1E-3</v>
      </c>
      <c r="Q47" s="32">
        <v>1E-3</v>
      </c>
      <c r="R47" s="32">
        <v>1E-3</v>
      </c>
      <c r="S47" s="32">
        <v>1E-3</v>
      </c>
      <c r="T47" s="32">
        <v>1E-3</v>
      </c>
      <c r="U47" s="32">
        <v>1E-3</v>
      </c>
      <c r="V47" s="32">
        <v>1E-3</v>
      </c>
      <c r="W47" s="32">
        <v>1E-3</v>
      </c>
      <c r="X47" s="32">
        <v>1E-3</v>
      </c>
      <c r="Y47" s="32">
        <v>1E-3</v>
      </c>
      <c r="Z47" s="32">
        <v>1E-3</v>
      </c>
      <c r="AA47" s="32">
        <v>1E-3</v>
      </c>
      <c r="AB47" s="32">
        <v>1E-3</v>
      </c>
      <c r="AC47" s="32">
        <v>1E-3</v>
      </c>
      <c r="AD47" s="32">
        <v>1E-3</v>
      </c>
    </row>
    <row r="48" spans="2:30">
      <c r="B48" t="str">
        <f>Processes!D16</f>
        <v>T-CAR-HEV_DST00</v>
      </c>
      <c r="C48" t="s">
        <v>525</v>
      </c>
      <c r="D48" s="32">
        <v>1E-3</v>
      </c>
      <c r="E48" s="32">
        <v>1E-3</v>
      </c>
      <c r="F48" s="32">
        <v>1E-3</v>
      </c>
      <c r="G48" s="32">
        <v>1E-3</v>
      </c>
      <c r="H48" s="32">
        <v>1E-3</v>
      </c>
      <c r="I48" s="32">
        <v>1E-3</v>
      </c>
      <c r="J48" s="32">
        <v>1E-3</v>
      </c>
      <c r="K48" s="32">
        <v>1E-3</v>
      </c>
      <c r="L48" s="32">
        <v>1E-3</v>
      </c>
      <c r="M48" s="32">
        <v>1E-3</v>
      </c>
      <c r="N48" s="32">
        <v>1E-3</v>
      </c>
      <c r="O48" s="32">
        <v>1E-3</v>
      </c>
      <c r="P48" s="32">
        <v>1E-3</v>
      </c>
      <c r="Q48" s="32">
        <v>1E-3</v>
      </c>
      <c r="R48" s="32">
        <v>1E-3</v>
      </c>
      <c r="S48" s="32">
        <v>1E-3</v>
      </c>
      <c r="T48" s="32">
        <v>1E-3</v>
      </c>
      <c r="U48" s="32">
        <v>1E-3</v>
      </c>
      <c r="V48" s="32">
        <v>1E-3</v>
      </c>
      <c r="W48" s="32">
        <v>1E-3</v>
      </c>
      <c r="X48" s="32">
        <v>1E-3</v>
      </c>
      <c r="Y48" s="32">
        <v>1E-3</v>
      </c>
      <c r="Z48" s="32">
        <v>1E-3</v>
      </c>
      <c r="AA48" s="32">
        <v>1E-3</v>
      </c>
      <c r="AB48" s="32">
        <v>1E-3</v>
      </c>
      <c r="AC48" s="32">
        <v>1E-3</v>
      </c>
      <c r="AD48" s="32">
        <v>1E-3</v>
      </c>
    </row>
    <row r="49" spans="2:30">
      <c r="B49" t="str">
        <f>Processes!D17</f>
        <v>T-CAR-PHEV_GSL00</v>
      </c>
      <c r="C49" t="s">
        <v>525</v>
      </c>
      <c r="D49" s="32">
        <v>1E-3</v>
      </c>
      <c r="E49" s="32">
        <v>1E-3</v>
      </c>
      <c r="F49" s="32">
        <v>1E-3</v>
      </c>
      <c r="G49" s="32">
        <v>1E-3</v>
      </c>
      <c r="H49" s="32">
        <v>1E-3</v>
      </c>
      <c r="I49" s="32">
        <v>1E-3</v>
      </c>
      <c r="J49" s="32">
        <v>1E-3</v>
      </c>
      <c r="K49" s="32">
        <v>1E-3</v>
      </c>
      <c r="L49" s="32">
        <v>1E-3</v>
      </c>
      <c r="M49" s="32">
        <v>1E-3</v>
      </c>
      <c r="N49" s="32">
        <v>1E-3</v>
      </c>
      <c r="O49" s="32">
        <v>1E-3</v>
      </c>
      <c r="P49" s="32">
        <v>1E-3</v>
      </c>
      <c r="Q49" s="32">
        <v>1E-3</v>
      </c>
      <c r="R49" s="32">
        <v>1E-3</v>
      </c>
      <c r="S49" s="32">
        <v>1E-3</v>
      </c>
      <c r="T49" s="32">
        <v>1E-3</v>
      </c>
      <c r="U49" s="32">
        <v>1E-3</v>
      </c>
      <c r="V49" s="32">
        <v>1E-3</v>
      </c>
      <c r="W49" s="32">
        <v>1E-3</v>
      </c>
      <c r="X49" s="32">
        <v>1E-3</v>
      </c>
      <c r="Y49" s="32">
        <v>1E-3</v>
      </c>
      <c r="Z49" s="32">
        <v>1E-3</v>
      </c>
      <c r="AA49" s="32">
        <v>1E-3</v>
      </c>
      <c r="AB49" s="32">
        <v>1E-3</v>
      </c>
      <c r="AC49" s="32">
        <v>1E-3</v>
      </c>
      <c r="AD49" s="32">
        <v>1E-3</v>
      </c>
    </row>
    <row r="50" spans="2:30">
      <c r="B50" t="str">
        <f>Processes!D18</f>
        <v>T-CAR-PHEV_DST00</v>
      </c>
      <c r="C50" t="s">
        <v>525</v>
      </c>
      <c r="D50" s="32">
        <v>1E-3</v>
      </c>
      <c r="E50" s="32">
        <v>1E-3</v>
      </c>
      <c r="F50" s="32">
        <v>1E-3</v>
      </c>
      <c r="G50" s="32">
        <v>1E-3</v>
      </c>
      <c r="H50" s="32">
        <v>1E-3</v>
      </c>
      <c r="I50" s="32">
        <v>1E-3</v>
      </c>
      <c r="J50" s="32">
        <v>1E-3</v>
      </c>
      <c r="K50" s="32">
        <v>1E-3</v>
      </c>
      <c r="L50" s="32">
        <v>1E-3</v>
      </c>
      <c r="M50" s="32">
        <v>1E-3</v>
      </c>
      <c r="N50" s="32">
        <v>1E-3</v>
      </c>
      <c r="O50" s="32">
        <v>1E-3</v>
      </c>
      <c r="P50" s="32">
        <v>1E-3</v>
      </c>
      <c r="Q50" s="32">
        <v>1E-3</v>
      </c>
      <c r="R50" s="32">
        <v>1E-3</v>
      </c>
      <c r="S50" s="32">
        <v>1E-3</v>
      </c>
      <c r="T50" s="32">
        <v>1E-3</v>
      </c>
      <c r="U50" s="32">
        <v>1E-3</v>
      </c>
      <c r="V50" s="32">
        <v>1E-3</v>
      </c>
      <c r="W50" s="32">
        <v>1E-3</v>
      </c>
      <c r="X50" s="32">
        <v>1E-3</v>
      </c>
      <c r="Y50" s="32">
        <v>1E-3</v>
      </c>
      <c r="Z50" s="32">
        <v>1E-3</v>
      </c>
      <c r="AA50" s="32">
        <v>1E-3</v>
      </c>
      <c r="AB50" s="32">
        <v>1E-3</v>
      </c>
      <c r="AC50" s="32">
        <v>1E-3</v>
      </c>
      <c r="AD50" s="32">
        <v>1E-3</v>
      </c>
    </row>
    <row r="51" spans="2:30">
      <c r="B51" t="str">
        <f>Processes!D19</f>
        <v>T-CAR-BEV_ELC00</v>
      </c>
      <c r="C51" t="s">
        <v>525</v>
      </c>
      <c r="D51" s="32">
        <v>1E-3</v>
      </c>
      <c r="E51" s="32">
        <v>1E-3</v>
      </c>
      <c r="F51" s="32">
        <v>1E-3</v>
      </c>
      <c r="G51" s="32">
        <v>1E-3</v>
      </c>
      <c r="H51" s="32">
        <v>1E-3</v>
      </c>
      <c r="I51" s="32">
        <v>1E-3</v>
      </c>
      <c r="J51" s="32">
        <v>1E-3</v>
      </c>
      <c r="K51" s="32">
        <v>1E-3</v>
      </c>
      <c r="L51" s="32">
        <v>1E-3</v>
      </c>
      <c r="M51" s="32">
        <v>1E-3</v>
      </c>
      <c r="N51" s="32">
        <v>1E-3</v>
      </c>
      <c r="O51" s="32">
        <v>1E-3</v>
      </c>
      <c r="P51" s="32">
        <v>1E-3</v>
      </c>
      <c r="Q51" s="32">
        <v>1E-3</v>
      </c>
      <c r="R51" s="32">
        <v>1E-3</v>
      </c>
      <c r="S51" s="32">
        <v>1E-3</v>
      </c>
      <c r="T51" s="32">
        <v>1E-3</v>
      </c>
      <c r="U51" s="32">
        <v>1E-3</v>
      </c>
      <c r="V51" s="32">
        <v>1E-3</v>
      </c>
      <c r="W51" s="32">
        <v>1E-3</v>
      </c>
      <c r="X51" s="32">
        <v>1E-3</v>
      </c>
      <c r="Y51" s="32">
        <v>1E-3</v>
      </c>
      <c r="Z51" s="32">
        <v>1E-3</v>
      </c>
      <c r="AA51" s="32">
        <v>1E-3</v>
      </c>
      <c r="AB51" s="32">
        <v>1E-3</v>
      </c>
      <c r="AC51" s="32">
        <v>1E-3</v>
      </c>
      <c r="AD51" s="32">
        <v>1E-3</v>
      </c>
    </row>
    <row r="52" spans="2:30">
      <c r="B52" t="str">
        <f>Processes!D21</f>
        <v>T-TAX-ICE_GSL00</v>
      </c>
      <c r="C52" t="s">
        <v>525</v>
      </c>
      <c r="D52" s="32">
        <v>1E-3</v>
      </c>
      <c r="E52" s="32">
        <v>1E-3</v>
      </c>
      <c r="F52" s="32">
        <v>1E-3</v>
      </c>
      <c r="G52" s="32">
        <v>1E-3</v>
      </c>
      <c r="H52" s="32">
        <v>1E-3</v>
      </c>
      <c r="I52" s="32">
        <v>1E-3</v>
      </c>
      <c r="J52" s="32">
        <v>1E-3</v>
      </c>
      <c r="K52" s="32">
        <v>1E-3</v>
      </c>
      <c r="L52" s="32">
        <v>1E-3</v>
      </c>
      <c r="M52" s="32">
        <v>1E-3</v>
      </c>
      <c r="N52" s="32">
        <v>1E-3</v>
      </c>
      <c r="O52" s="32">
        <v>1E-3</v>
      </c>
      <c r="P52" s="32">
        <v>1E-3</v>
      </c>
      <c r="Q52" s="32">
        <v>1E-3</v>
      </c>
      <c r="R52" s="32">
        <v>1E-3</v>
      </c>
      <c r="S52" s="32">
        <v>1E-3</v>
      </c>
      <c r="T52" s="32">
        <v>1E-3</v>
      </c>
      <c r="U52" s="32">
        <v>1E-3</v>
      </c>
      <c r="V52" s="32">
        <v>1E-3</v>
      </c>
      <c r="W52" s="32">
        <v>1E-3</v>
      </c>
      <c r="X52" s="32">
        <v>1E-3</v>
      </c>
      <c r="Y52" s="32">
        <v>1E-3</v>
      </c>
      <c r="Z52" s="32">
        <v>1E-3</v>
      </c>
      <c r="AA52" s="32">
        <v>1E-3</v>
      </c>
      <c r="AB52" s="32">
        <v>1E-3</v>
      </c>
      <c r="AC52" s="32">
        <v>1E-3</v>
      </c>
      <c r="AD52" s="32">
        <v>1E-3</v>
      </c>
    </row>
    <row r="53" spans="2:30">
      <c r="B53" t="str">
        <f>Processes!D22</f>
        <v>T-TAX-ICE_DST00</v>
      </c>
      <c r="C53" t="s">
        <v>525</v>
      </c>
      <c r="D53" s="32">
        <v>1E-3</v>
      </c>
      <c r="E53" s="32">
        <v>1E-3</v>
      </c>
      <c r="F53" s="32">
        <v>1E-3</v>
      </c>
      <c r="G53" s="32">
        <v>1E-3</v>
      </c>
      <c r="H53" s="32">
        <v>1E-3</v>
      </c>
      <c r="I53" s="32">
        <v>1E-3</v>
      </c>
      <c r="J53" s="32">
        <v>1E-3</v>
      </c>
      <c r="K53" s="32">
        <v>1E-3</v>
      </c>
      <c r="L53" s="32">
        <v>1E-3</v>
      </c>
      <c r="M53" s="32">
        <v>1E-3</v>
      </c>
      <c r="N53" s="32">
        <v>1E-3</v>
      </c>
      <c r="O53" s="32">
        <v>1E-3</v>
      </c>
      <c r="P53" s="32">
        <v>1E-3</v>
      </c>
      <c r="Q53" s="32">
        <v>1E-3</v>
      </c>
      <c r="R53" s="32">
        <v>1E-3</v>
      </c>
      <c r="S53" s="32">
        <v>1E-3</v>
      </c>
      <c r="T53" s="32">
        <v>1E-3</v>
      </c>
      <c r="U53" s="32">
        <v>1E-3</v>
      </c>
      <c r="V53" s="32">
        <v>1E-3</v>
      </c>
      <c r="W53" s="32">
        <v>1E-3</v>
      </c>
      <c r="X53" s="32">
        <v>1E-3</v>
      </c>
      <c r="Y53" s="32">
        <v>1E-3</v>
      </c>
      <c r="Z53" s="32">
        <v>1E-3</v>
      </c>
      <c r="AA53" s="32">
        <v>1E-3</v>
      </c>
      <c r="AB53" s="32">
        <v>1E-3</v>
      </c>
      <c r="AC53" s="32">
        <v>1E-3</v>
      </c>
      <c r="AD53" s="32">
        <v>1E-3</v>
      </c>
    </row>
    <row r="54" spans="2:30">
      <c r="B54" t="str">
        <f>Processes!D23</f>
        <v>T-TAX-HEV_GSL00</v>
      </c>
      <c r="C54" t="s">
        <v>525</v>
      </c>
      <c r="D54" s="32">
        <v>1E-3</v>
      </c>
      <c r="E54" s="32">
        <v>1E-3</v>
      </c>
      <c r="F54" s="32">
        <v>1E-3</v>
      </c>
      <c r="G54" s="32">
        <v>1E-3</v>
      </c>
      <c r="H54" s="32">
        <v>1E-3</v>
      </c>
      <c r="I54" s="32">
        <v>1E-3</v>
      </c>
      <c r="J54" s="32">
        <v>1E-3</v>
      </c>
      <c r="K54" s="32">
        <v>1E-3</v>
      </c>
      <c r="L54" s="32">
        <v>1E-3</v>
      </c>
      <c r="M54" s="32">
        <v>1E-3</v>
      </c>
      <c r="N54" s="32">
        <v>1E-3</v>
      </c>
      <c r="O54" s="32">
        <v>1E-3</v>
      </c>
      <c r="P54" s="32">
        <v>1E-3</v>
      </c>
      <c r="Q54" s="32">
        <v>1E-3</v>
      </c>
      <c r="R54" s="32">
        <v>1E-3</v>
      </c>
      <c r="S54" s="32">
        <v>1E-3</v>
      </c>
      <c r="T54" s="32">
        <v>1E-3</v>
      </c>
      <c r="U54" s="32">
        <v>1E-3</v>
      </c>
      <c r="V54" s="32">
        <v>1E-3</v>
      </c>
      <c r="W54" s="32">
        <v>1E-3</v>
      </c>
      <c r="X54" s="32">
        <v>1E-3</v>
      </c>
      <c r="Y54" s="32">
        <v>1E-3</v>
      </c>
      <c r="Z54" s="32">
        <v>1E-3</v>
      </c>
      <c r="AA54" s="32">
        <v>1E-3</v>
      </c>
      <c r="AB54" s="32">
        <v>1E-3</v>
      </c>
      <c r="AC54" s="32">
        <v>1E-3</v>
      </c>
      <c r="AD54" s="32">
        <v>1E-3</v>
      </c>
    </row>
    <row r="55" spans="2:30">
      <c r="B55" t="str">
        <f>Processes!D25</f>
        <v>T-BUS-ICE_DST00</v>
      </c>
      <c r="C55" t="s">
        <v>525</v>
      </c>
      <c r="D55" s="32">
        <v>1E-3</v>
      </c>
      <c r="E55" s="32">
        <v>1E-3</v>
      </c>
      <c r="F55" s="32">
        <v>1E-3</v>
      </c>
      <c r="G55" s="32">
        <v>1E-3</v>
      </c>
      <c r="H55" s="32">
        <v>1E-3</v>
      </c>
      <c r="I55" s="32">
        <v>1E-3</v>
      </c>
      <c r="J55" s="32">
        <v>1E-3</v>
      </c>
      <c r="K55" s="32">
        <v>1E-3</v>
      </c>
      <c r="L55" s="32">
        <v>1E-3</v>
      </c>
      <c r="M55" s="32">
        <v>1E-3</v>
      </c>
      <c r="N55" s="32">
        <v>1E-3</v>
      </c>
      <c r="O55" s="32">
        <v>1E-3</v>
      </c>
      <c r="P55" s="32">
        <v>1E-3</v>
      </c>
      <c r="Q55" s="32">
        <v>1E-3</v>
      </c>
      <c r="R55" s="32">
        <v>1E-3</v>
      </c>
      <c r="S55" s="32">
        <v>1E-3</v>
      </c>
      <c r="T55" s="32">
        <v>1E-3</v>
      </c>
      <c r="U55" s="32">
        <v>1E-3</v>
      </c>
      <c r="V55" s="32">
        <v>1E-3</v>
      </c>
      <c r="W55" s="32">
        <v>1E-3</v>
      </c>
      <c r="X55" s="32">
        <v>1E-3</v>
      </c>
      <c r="Y55" s="32">
        <v>1E-3</v>
      </c>
      <c r="Z55" s="32">
        <v>1E-3</v>
      </c>
      <c r="AA55" s="32">
        <v>1E-3</v>
      </c>
      <c r="AB55" s="32">
        <v>1E-3</v>
      </c>
      <c r="AC55" s="32">
        <v>1E-3</v>
      </c>
      <c r="AD55" s="32">
        <v>1E-3</v>
      </c>
    </row>
    <row r="56" spans="2:30">
      <c r="B56" t="str">
        <f>Processes!D27</f>
        <v>T-LPT-BEV_ELC00</v>
      </c>
      <c r="C56" t="s">
        <v>525</v>
      </c>
      <c r="D56" s="32">
        <v>1E-3</v>
      </c>
      <c r="E56" s="32">
        <v>1E-3</v>
      </c>
      <c r="F56" s="32">
        <v>1E-3</v>
      </c>
      <c r="G56" s="32">
        <v>1E-3</v>
      </c>
      <c r="H56" s="32">
        <v>1E-3</v>
      </c>
      <c r="I56" s="32">
        <v>1E-3</v>
      </c>
      <c r="J56" s="32">
        <v>1E-3</v>
      </c>
      <c r="K56" s="32">
        <v>1E-3</v>
      </c>
      <c r="L56" s="32">
        <v>1E-3</v>
      </c>
      <c r="M56" s="32">
        <v>1E-3</v>
      </c>
      <c r="N56" s="32">
        <v>1E-3</v>
      </c>
      <c r="O56" s="32">
        <v>1E-3</v>
      </c>
      <c r="P56" s="32">
        <v>1E-3</v>
      </c>
      <c r="Q56" s="32">
        <v>1E-3</v>
      </c>
      <c r="R56" s="32">
        <v>1E-3</v>
      </c>
      <c r="S56" s="32">
        <v>1E-3</v>
      </c>
      <c r="T56" s="32">
        <v>1E-3</v>
      </c>
      <c r="U56" s="32">
        <v>1E-3</v>
      </c>
      <c r="V56" s="32">
        <v>1E-3</v>
      </c>
      <c r="W56" s="32">
        <v>1E-3</v>
      </c>
      <c r="X56" s="32">
        <v>1E-3</v>
      </c>
      <c r="Y56" s="32">
        <v>1E-3</v>
      </c>
      <c r="Z56" s="32">
        <v>1E-3</v>
      </c>
      <c r="AA56" s="32">
        <v>1E-3</v>
      </c>
      <c r="AB56" s="32">
        <v>1E-3</v>
      </c>
      <c r="AC56" s="32">
        <v>1E-3</v>
      </c>
      <c r="AD56" s="32">
        <v>1E-3</v>
      </c>
    </row>
    <row r="57" spans="2:30">
      <c r="B57" t="str">
        <f>Processes!D28</f>
        <v>T-HPT-BEV_ELC00</v>
      </c>
      <c r="C57" t="s">
        <v>525</v>
      </c>
      <c r="D57" s="32">
        <v>1E-3</v>
      </c>
      <c r="E57" s="32">
        <v>1E-3</v>
      </c>
      <c r="F57" s="32">
        <v>1E-3</v>
      </c>
      <c r="G57" s="32">
        <v>1E-3</v>
      </c>
      <c r="H57" s="32">
        <v>1E-3</v>
      </c>
      <c r="I57" s="32">
        <v>1E-3</v>
      </c>
      <c r="J57" s="32">
        <v>1E-3</v>
      </c>
      <c r="K57" s="32">
        <v>1E-3</v>
      </c>
      <c r="L57" s="32">
        <v>1E-3</v>
      </c>
      <c r="M57" s="32">
        <v>1E-3</v>
      </c>
      <c r="N57" s="32">
        <v>1E-3</v>
      </c>
      <c r="O57" s="32">
        <v>1E-3</v>
      </c>
      <c r="P57" s="32">
        <v>1E-3</v>
      </c>
      <c r="Q57" s="32">
        <v>1E-3</v>
      </c>
      <c r="R57" s="32">
        <v>1E-3</v>
      </c>
      <c r="S57" s="32">
        <v>1E-3</v>
      </c>
      <c r="T57" s="32">
        <v>1E-3</v>
      </c>
      <c r="U57" s="32">
        <v>1E-3</v>
      </c>
      <c r="V57" s="32">
        <v>1E-3</v>
      </c>
      <c r="W57" s="32">
        <v>1E-3</v>
      </c>
      <c r="X57" s="32">
        <v>1E-3</v>
      </c>
      <c r="Y57" s="32">
        <v>1E-3</v>
      </c>
      <c r="Z57" s="32">
        <v>1E-3</v>
      </c>
      <c r="AA57" s="32">
        <v>1E-3</v>
      </c>
      <c r="AB57" s="32">
        <v>1E-3</v>
      </c>
      <c r="AC57" s="32">
        <v>1E-3</v>
      </c>
      <c r="AD57" s="32">
        <v>1E-3</v>
      </c>
    </row>
    <row r="58" spans="2:30">
      <c r="B58" t="str">
        <f>Processes!D29</f>
        <v>T-HPT-ICE_DST00</v>
      </c>
      <c r="C58" t="s">
        <v>525</v>
      </c>
      <c r="D58" s="32">
        <v>1E-3</v>
      </c>
      <c r="E58" s="32">
        <v>1E-3</v>
      </c>
      <c r="F58" s="32">
        <v>1E-3</v>
      </c>
      <c r="G58" s="32">
        <v>1E-3</v>
      </c>
      <c r="H58" s="32">
        <v>1E-3</v>
      </c>
      <c r="I58" s="32">
        <v>1E-3</v>
      </c>
      <c r="J58" s="32">
        <v>1E-3</v>
      </c>
      <c r="K58" s="32">
        <v>1E-3</v>
      </c>
      <c r="L58" s="32">
        <v>1E-3</v>
      </c>
      <c r="M58" s="32">
        <v>1E-3</v>
      </c>
      <c r="N58" s="32">
        <v>1E-3</v>
      </c>
      <c r="O58" s="32">
        <v>1E-3</v>
      </c>
      <c r="P58" s="32">
        <v>1E-3</v>
      </c>
      <c r="Q58" s="32">
        <v>1E-3</v>
      </c>
      <c r="R58" s="32">
        <v>1E-3</v>
      </c>
      <c r="S58" s="32">
        <v>1E-3</v>
      </c>
      <c r="T58" s="32">
        <v>1E-3</v>
      </c>
      <c r="U58" s="32">
        <v>1E-3</v>
      </c>
      <c r="V58" s="32">
        <v>1E-3</v>
      </c>
      <c r="W58" s="32">
        <v>1E-3</v>
      </c>
      <c r="X58" s="32">
        <v>1E-3</v>
      </c>
      <c r="Y58" s="32">
        <v>1E-3</v>
      </c>
      <c r="Z58" s="32">
        <v>1E-3</v>
      </c>
      <c r="AA58" s="32">
        <v>1E-3</v>
      </c>
      <c r="AB58" s="32">
        <v>1E-3</v>
      </c>
      <c r="AC58" s="32">
        <v>1E-3</v>
      </c>
      <c r="AD58" s="32">
        <v>1E-3</v>
      </c>
    </row>
    <row r="59" spans="2:30">
      <c r="B59" s="78" t="str">
        <f>Processes!D32</f>
        <v>T-LGT-ICE_GSL00</v>
      </c>
      <c r="C59" s="78" t="s">
        <v>525</v>
      </c>
      <c r="D59" s="32">
        <v>1E-3</v>
      </c>
      <c r="E59" s="32">
        <v>1E-3</v>
      </c>
      <c r="F59" s="32">
        <v>1E-3</v>
      </c>
      <c r="G59" s="32">
        <v>1E-3</v>
      </c>
      <c r="H59" s="32">
        <v>1E-3</v>
      </c>
      <c r="I59" s="32">
        <v>1E-3</v>
      </c>
      <c r="J59" s="32">
        <v>1E-3</v>
      </c>
      <c r="K59" s="32">
        <v>1E-3</v>
      </c>
      <c r="L59" s="32">
        <v>1E-3</v>
      </c>
      <c r="M59" s="32">
        <v>1E-3</v>
      </c>
      <c r="N59" s="32">
        <v>1E-3</v>
      </c>
      <c r="O59" s="32">
        <v>1E-3</v>
      </c>
      <c r="P59" s="32">
        <v>1E-3</v>
      </c>
      <c r="Q59" s="32">
        <v>1E-3</v>
      </c>
      <c r="R59" s="32">
        <v>1E-3</v>
      </c>
      <c r="S59" s="32">
        <v>1E-3</v>
      </c>
      <c r="T59" s="32">
        <v>1E-3</v>
      </c>
      <c r="U59" s="32">
        <v>1E-3</v>
      </c>
      <c r="V59" s="32">
        <v>1E-3</v>
      </c>
      <c r="W59" s="32">
        <v>1E-3</v>
      </c>
      <c r="X59" s="32">
        <v>1E-3</v>
      </c>
      <c r="Y59" s="32">
        <v>1E-3</v>
      </c>
      <c r="Z59" s="32">
        <v>1E-3</v>
      </c>
      <c r="AA59" s="32">
        <v>1E-3</v>
      </c>
      <c r="AB59" s="32">
        <v>1E-3</v>
      </c>
      <c r="AC59" s="32">
        <v>1E-3</v>
      </c>
      <c r="AD59" s="32">
        <v>1E-3</v>
      </c>
    </row>
    <row r="60" spans="2:30">
      <c r="B60" s="78" t="str">
        <f>Processes!D33</f>
        <v>T-LGT-ICE_DST00</v>
      </c>
      <c r="C60" s="78" t="s">
        <v>525</v>
      </c>
      <c r="D60" s="32">
        <v>1E-3</v>
      </c>
      <c r="E60" s="32">
        <v>1E-3</v>
      </c>
      <c r="F60" s="32">
        <v>1E-3</v>
      </c>
      <c r="G60" s="32">
        <v>1E-3</v>
      </c>
      <c r="H60" s="32">
        <v>1E-3</v>
      </c>
      <c r="I60" s="32">
        <v>1E-3</v>
      </c>
      <c r="J60" s="32">
        <v>1E-3</v>
      </c>
      <c r="K60" s="32">
        <v>1E-3</v>
      </c>
      <c r="L60" s="32">
        <v>1E-3</v>
      </c>
      <c r="M60" s="32">
        <v>1E-3</v>
      </c>
      <c r="N60" s="32">
        <v>1E-3</v>
      </c>
      <c r="O60" s="32">
        <v>1E-3</v>
      </c>
      <c r="P60" s="32">
        <v>1E-3</v>
      </c>
      <c r="Q60" s="32">
        <v>1E-3</v>
      </c>
      <c r="R60" s="32">
        <v>1E-3</v>
      </c>
      <c r="S60" s="32">
        <v>1E-3</v>
      </c>
      <c r="T60" s="32">
        <v>1E-3</v>
      </c>
      <c r="U60" s="32">
        <v>1E-3</v>
      </c>
      <c r="V60" s="32">
        <v>1E-3</v>
      </c>
      <c r="W60" s="32">
        <v>1E-3</v>
      </c>
      <c r="X60" s="32">
        <v>1E-3</v>
      </c>
      <c r="Y60" s="32">
        <v>1E-3</v>
      </c>
      <c r="Z60" s="32">
        <v>1E-3</v>
      </c>
      <c r="AA60" s="32">
        <v>1E-3</v>
      </c>
      <c r="AB60" s="32">
        <v>1E-3</v>
      </c>
      <c r="AC60" s="32">
        <v>1E-3</v>
      </c>
      <c r="AD60" s="32">
        <v>1E-3</v>
      </c>
    </row>
    <row r="61" spans="2:30">
      <c r="B61" s="78" t="str">
        <f>Processes!D34</f>
        <v>T-MGT-ICE_DST00</v>
      </c>
      <c r="C61" s="78" t="s">
        <v>525</v>
      </c>
      <c r="D61" s="32">
        <v>1E-3</v>
      </c>
      <c r="E61" s="32">
        <v>1E-3</v>
      </c>
      <c r="F61" s="32">
        <v>1E-3</v>
      </c>
      <c r="G61" s="32">
        <v>1E-3</v>
      </c>
      <c r="H61" s="32">
        <v>1E-3</v>
      </c>
      <c r="I61" s="32">
        <v>1E-3</v>
      </c>
      <c r="J61" s="32">
        <v>1E-3</v>
      </c>
      <c r="K61" s="32">
        <v>1E-3</v>
      </c>
      <c r="L61" s="32">
        <v>1E-3</v>
      </c>
      <c r="M61" s="32">
        <v>1E-3</v>
      </c>
      <c r="N61" s="32">
        <v>1E-3</v>
      </c>
      <c r="O61" s="32">
        <v>1E-3</v>
      </c>
      <c r="P61" s="32">
        <v>1E-3</v>
      </c>
      <c r="Q61" s="32">
        <v>1E-3</v>
      </c>
      <c r="R61" s="32">
        <v>1E-3</v>
      </c>
      <c r="S61" s="32">
        <v>1E-3</v>
      </c>
      <c r="T61" s="32">
        <v>1E-3</v>
      </c>
      <c r="U61" s="32">
        <v>1E-3</v>
      </c>
      <c r="V61" s="32">
        <v>1E-3</v>
      </c>
      <c r="W61" s="32">
        <v>1E-3</v>
      </c>
      <c r="X61" s="32">
        <v>1E-3</v>
      </c>
      <c r="Y61" s="32">
        <v>1E-3</v>
      </c>
      <c r="Z61" s="32">
        <v>1E-3</v>
      </c>
      <c r="AA61" s="32">
        <v>1E-3</v>
      </c>
      <c r="AB61" s="32">
        <v>1E-3</v>
      </c>
      <c r="AC61" s="32">
        <v>1E-3</v>
      </c>
      <c r="AD61" s="32">
        <v>1E-3</v>
      </c>
    </row>
    <row r="62" spans="2:30">
      <c r="B62" s="78" t="str">
        <f>Processes!D35</f>
        <v>T-HGT-ICE_DST00</v>
      </c>
      <c r="C62" s="78" t="s">
        <v>525</v>
      </c>
      <c r="D62" s="32">
        <v>1E-3</v>
      </c>
      <c r="E62" s="32">
        <v>1E-3</v>
      </c>
      <c r="F62" s="32">
        <v>1E-3</v>
      </c>
      <c r="G62" s="32">
        <v>1E-3</v>
      </c>
      <c r="H62" s="32">
        <v>1E-3</v>
      </c>
      <c r="I62" s="32">
        <v>1E-3</v>
      </c>
      <c r="J62" s="32">
        <v>1E-3</v>
      </c>
      <c r="K62" s="32">
        <v>1E-3</v>
      </c>
      <c r="L62" s="32">
        <v>1E-3</v>
      </c>
      <c r="M62" s="32">
        <v>1E-3</v>
      </c>
      <c r="N62" s="32">
        <v>1E-3</v>
      </c>
      <c r="O62" s="32">
        <v>1E-3</v>
      </c>
      <c r="P62" s="32">
        <v>1E-3</v>
      </c>
      <c r="Q62" s="32">
        <v>1E-3</v>
      </c>
      <c r="R62" s="32">
        <v>1E-3</v>
      </c>
      <c r="S62" s="32">
        <v>1E-3</v>
      </c>
      <c r="T62" s="32">
        <v>1E-3</v>
      </c>
      <c r="U62" s="32">
        <v>1E-3</v>
      </c>
      <c r="V62" s="32">
        <v>1E-3</v>
      </c>
      <c r="W62" s="32">
        <v>1E-3</v>
      </c>
      <c r="X62" s="32">
        <v>1E-3</v>
      </c>
      <c r="Y62" s="32">
        <v>1E-3</v>
      </c>
      <c r="Z62" s="32">
        <v>1E-3</v>
      </c>
      <c r="AA62" s="32">
        <v>1E-3</v>
      </c>
      <c r="AB62" s="32">
        <v>1E-3</v>
      </c>
      <c r="AC62" s="32">
        <v>1E-3</v>
      </c>
      <c r="AD62" s="32">
        <v>1E-3</v>
      </c>
    </row>
    <row r="63" spans="2:30">
      <c r="B63" s="78" t="str">
        <f>Processes!D36</f>
        <v>T-GTR-ICE_DST00</v>
      </c>
      <c r="C63" s="78" t="s">
        <v>525</v>
      </c>
      <c r="D63" s="32">
        <v>1E-3</v>
      </c>
      <c r="E63" s="32">
        <v>1E-3</v>
      </c>
      <c r="F63" s="32">
        <v>1E-3</v>
      </c>
      <c r="G63" s="32">
        <v>1E-3</v>
      </c>
      <c r="H63" s="32">
        <v>1E-3</v>
      </c>
      <c r="I63" s="32">
        <v>1E-3</v>
      </c>
      <c r="J63" s="32">
        <v>1E-3</v>
      </c>
      <c r="K63" s="32">
        <v>1E-3</v>
      </c>
      <c r="L63" s="32">
        <v>1E-3</v>
      </c>
      <c r="M63" s="32">
        <v>1E-3</v>
      </c>
      <c r="N63" s="32">
        <v>1E-3</v>
      </c>
      <c r="O63" s="32">
        <v>1E-3</v>
      </c>
      <c r="P63" s="32">
        <v>1E-3</v>
      </c>
      <c r="Q63" s="32">
        <v>1E-3</v>
      </c>
      <c r="R63" s="32">
        <v>1E-3</v>
      </c>
      <c r="S63" s="32">
        <v>1E-3</v>
      </c>
      <c r="T63" s="32">
        <v>1E-3</v>
      </c>
      <c r="U63" s="32">
        <v>1E-3</v>
      </c>
      <c r="V63" s="32">
        <v>1E-3</v>
      </c>
      <c r="W63" s="32">
        <v>1E-3</v>
      </c>
      <c r="X63" s="32">
        <v>1E-3</v>
      </c>
      <c r="Y63" s="32">
        <v>1E-3</v>
      </c>
      <c r="Z63" s="32">
        <v>1E-3</v>
      </c>
      <c r="AA63" s="32">
        <v>1E-3</v>
      </c>
      <c r="AB63" s="32">
        <v>1E-3</v>
      </c>
      <c r="AC63" s="32">
        <v>1E-3</v>
      </c>
      <c r="AD63" s="32">
        <v>1E-3</v>
      </c>
    </row>
    <row r="64" spans="2:30">
      <c r="B64" s="78" t="str">
        <f>Processes!D38</f>
        <v>T-TUR_CON00</v>
      </c>
      <c r="C64" s="78" t="s">
        <v>525</v>
      </c>
      <c r="D64" s="2">
        <v>1</v>
      </c>
      <c r="E64" s="2">
        <v>1</v>
      </c>
      <c r="F64" s="2">
        <v>1</v>
      </c>
      <c r="G64" s="2">
        <v>1</v>
      </c>
      <c r="H64" s="2">
        <v>1</v>
      </c>
      <c r="I64" s="2">
        <v>1</v>
      </c>
      <c r="J64" s="2">
        <v>1</v>
      </c>
      <c r="K64" s="2">
        <v>1</v>
      </c>
      <c r="L64" s="2">
        <v>1</v>
      </c>
      <c r="M64" s="2">
        <v>1</v>
      </c>
      <c r="N64" s="2">
        <v>1</v>
      </c>
      <c r="O64" s="2">
        <v>1</v>
      </c>
      <c r="P64" s="2">
        <v>1</v>
      </c>
      <c r="Q64" s="2">
        <v>1</v>
      </c>
      <c r="R64" s="2">
        <v>1</v>
      </c>
      <c r="S64" s="2">
        <v>1</v>
      </c>
      <c r="T64" s="2">
        <v>1</v>
      </c>
      <c r="U64" s="2">
        <v>1</v>
      </c>
      <c r="V64" s="2">
        <v>1</v>
      </c>
      <c r="W64" s="2">
        <v>1</v>
      </c>
      <c r="X64" s="2">
        <v>1</v>
      </c>
      <c r="Y64" s="2">
        <v>1</v>
      </c>
      <c r="Z64" s="2">
        <v>1</v>
      </c>
      <c r="AA64" s="2">
        <v>1</v>
      </c>
      <c r="AB64" s="2">
        <v>1</v>
      </c>
      <c r="AC64" s="2">
        <v>1</v>
      </c>
      <c r="AD64" s="2">
        <v>1</v>
      </c>
    </row>
    <row r="65" spans="2:31">
      <c r="B65" s="78" t="str">
        <f>Processes!D39</f>
        <v>T-NAV_CON00</v>
      </c>
      <c r="C65" s="78" t="s">
        <v>525</v>
      </c>
      <c r="D65" s="2">
        <v>1</v>
      </c>
      <c r="E65" s="2">
        <v>1</v>
      </c>
      <c r="F65" s="2">
        <v>1</v>
      </c>
      <c r="G65" s="2">
        <v>1</v>
      </c>
      <c r="H65" s="2">
        <v>1</v>
      </c>
      <c r="I65" s="2">
        <v>1</v>
      </c>
      <c r="J65" s="2">
        <v>1</v>
      </c>
      <c r="K65" s="2">
        <v>1</v>
      </c>
      <c r="L65" s="2">
        <v>1</v>
      </c>
      <c r="M65" s="2">
        <v>1</v>
      </c>
      <c r="N65" s="2">
        <v>1</v>
      </c>
      <c r="O65" s="2">
        <v>1</v>
      </c>
      <c r="P65" s="2">
        <v>1</v>
      </c>
      <c r="Q65" s="2">
        <v>1</v>
      </c>
      <c r="R65" s="2">
        <v>1</v>
      </c>
      <c r="S65" s="2">
        <v>1</v>
      </c>
      <c r="T65" s="2">
        <v>1</v>
      </c>
      <c r="U65" s="2">
        <v>1</v>
      </c>
      <c r="V65" s="2">
        <v>1</v>
      </c>
      <c r="W65" s="2">
        <v>1</v>
      </c>
      <c r="X65" s="2">
        <v>1</v>
      </c>
      <c r="Y65" s="2">
        <v>1</v>
      </c>
      <c r="Z65" s="2">
        <v>1</v>
      </c>
      <c r="AA65" s="2">
        <v>1</v>
      </c>
      <c r="AB65" s="2">
        <v>1</v>
      </c>
      <c r="AC65" s="2">
        <v>1</v>
      </c>
      <c r="AD65" s="2">
        <v>1</v>
      </c>
    </row>
    <row r="66" spans="2:31">
      <c r="B66" s="78" t="str">
        <f>Processes!D40</f>
        <v>T-OTH_CON00</v>
      </c>
      <c r="C66" s="78" t="s">
        <v>525</v>
      </c>
      <c r="D66" s="2">
        <v>1</v>
      </c>
      <c r="E66" s="2">
        <v>1</v>
      </c>
      <c r="F66" s="2">
        <v>1</v>
      </c>
      <c r="G66" s="2">
        <v>1</v>
      </c>
      <c r="H66" s="2">
        <v>1</v>
      </c>
      <c r="I66" s="2">
        <v>1</v>
      </c>
      <c r="J66" s="2">
        <v>1</v>
      </c>
      <c r="K66" s="2">
        <v>1</v>
      </c>
      <c r="L66" s="2">
        <v>1</v>
      </c>
      <c r="M66" s="2">
        <v>1</v>
      </c>
      <c r="N66" s="2">
        <v>1</v>
      </c>
      <c r="O66" s="2">
        <v>1</v>
      </c>
      <c r="P66" s="2">
        <v>1</v>
      </c>
      <c r="Q66" s="2">
        <v>1</v>
      </c>
      <c r="R66" s="2">
        <v>1</v>
      </c>
      <c r="S66" s="2">
        <v>1</v>
      </c>
      <c r="T66" s="2">
        <v>1</v>
      </c>
      <c r="U66" s="2">
        <v>1</v>
      </c>
      <c r="V66" s="2">
        <v>1</v>
      </c>
      <c r="W66" s="2">
        <v>1</v>
      </c>
      <c r="X66" s="2">
        <v>1</v>
      </c>
      <c r="Y66" s="2">
        <v>1</v>
      </c>
      <c r="Z66" s="2">
        <v>1</v>
      </c>
      <c r="AA66" s="2">
        <v>1</v>
      </c>
      <c r="AB66" s="2">
        <v>1</v>
      </c>
      <c r="AC66" s="2">
        <v>1</v>
      </c>
      <c r="AD66" s="2">
        <v>1</v>
      </c>
    </row>
    <row r="67" spans="2:31">
      <c r="B67" s="78" t="str">
        <f>Processes!D42</f>
        <v>T-AVI_DOM00</v>
      </c>
      <c r="C67" s="78" t="s">
        <v>525</v>
      </c>
      <c r="D67" s="2">
        <v>1</v>
      </c>
      <c r="E67" s="2">
        <v>1</v>
      </c>
      <c r="F67" s="2">
        <v>1</v>
      </c>
      <c r="G67" s="2">
        <v>1</v>
      </c>
      <c r="H67" s="2">
        <v>1</v>
      </c>
      <c r="I67" s="2">
        <v>1</v>
      </c>
      <c r="J67" s="2">
        <v>1</v>
      </c>
      <c r="K67" s="2">
        <v>1</v>
      </c>
      <c r="L67" s="2">
        <v>1</v>
      </c>
      <c r="M67" s="2">
        <v>1</v>
      </c>
      <c r="N67" s="2">
        <v>1</v>
      </c>
      <c r="O67" s="2">
        <v>1</v>
      </c>
      <c r="P67" s="2">
        <v>1</v>
      </c>
      <c r="Q67" s="2">
        <v>1</v>
      </c>
      <c r="R67" s="2">
        <v>1</v>
      </c>
      <c r="S67" s="2">
        <v>1</v>
      </c>
      <c r="T67" s="2">
        <v>1</v>
      </c>
      <c r="U67" s="2">
        <v>1</v>
      </c>
      <c r="V67" s="2">
        <v>1</v>
      </c>
      <c r="W67" s="2">
        <v>1</v>
      </c>
      <c r="X67" s="2">
        <v>1</v>
      </c>
      <c r="Y67" s="2">
        <v>1</v>
      </c>
      <c r="Z67" s="2">
        <v>1</v>
      </c>
      <c r="AA67" s="2">
        <v>1</v>
      </c>
      <c r="AB67" s="2">
        <v>1</v>
      </c>
      <c r="AC67" s="2">
        <v>1</v>
      </c>
      <c r="AD67" s="2">
        <v>1</v>
      </c>
    </row>
    <row r="68" spans="2:31">
      <c r="B68" s="168" t="str">
        <f>Processes!D43</f>
        <v>T-AVI_INT00</v>
      </c>
      <c r="C68" s="168" t="s">
        <v>525</v>
      </c>
      <c r="D68" s="180">
        <v>1</v>
      </c>
      <c r="E68" s="180">
        <v>1</v>
      </c>
      <c r="F68" s="180">
        <v>1</v>
      </c>
      <c r="G68" s="180">
        <v>1</v>
      </c>
      <c r="H68" s="180">
        <v>1</v>
      </c>
      <c r="I68" s="180">
        <v>1</v>
      </c>
      <c r="J68" s="180">
        <v>1</v>
      </c>
      <c r="K68" s="180">
        <v>1</v>
      </c>
      <c r="L68" s="180">
        <v>1</v>
      </c>
      <c r="M68" s="180">
        <v>1</v>
      </c>
      <c r="N68" s="180">
        <v>1</v>
      </c>
      <c r="O68" s="180">
        <v>1</v>
      </c>
      <c r="P68" s="180">
        <v>1</v>
      </c>
      <c r="Q68" s="180">
        <v>1</v>
      </c>
      <c r="R68" s="180">
        <v>1</v>
      </c>
      <c r="S68" s="180">
        <v>1</v>
      </c>
      <c r="T68" s="180">
        <v>1</v>
      </c>
      <c r="U68" s="180">
        <v>1</v>
      </c>
      <c r="V68" s="180">
        <v>1</v>
      </c>
      <c r="W68" s="180">
        <v>1</v>
      </c>
      <c r="X68" s="180">
        <v>1</v>
      </c>
      <c r="Y68" s="180">
        <v>1</v>
      </c>
      <c r="Z68" s="180">
        <v>1</v>
      </c>
      <c r="AA68" s="180">
        <v>1</v>
      </c>
      <c r="AB68" s="180">
        <v>1</v>
      </c>
      <c r="AC68" s="180">
        <v>1</v>
      </c>
      <c r="AD68" s="180">
        <v>1</v>
      </c>
    </row>
    <row r="69" spans="2:31">
      <c r="B69" s="147"/>
      <c r="C69" s="147"/>
    </row>
    <row r="70" spans="2:31">
      <c r="B70" s="147"/>
      <c r="C70" s="147"/>
    </row>
    <row r="74" spans="2:31">
      <c r="B74" t="s">
        <v>779</v>
      </c>
    </row>
    <row r="75" spans="2:31" ht="15" thickBot="1">
      <c r="B75" s="35" t="s">
        <v>69</v>
      </c>
      <c r="C75" s="35" t="s">
        <v>94</v>
      </c>
      <c r="D75" s="35" t="str">
        <f t="shared" ref="D75:AD75" si="26">D3</f>
        <v>IE</v>
      </c>
      <c r="E75" s="35" t="str">
        <f t="shared" si="26"/>
        <v>IE-CW</v>
      </c>
      <c r="F75" s="35" t="str">
        <f t="shared" si="26"/>
        <v>IE-D</v>
      </c>
      <c r="G75" s="35" t="str">
        <f t="shared" si="26"/>
        <v>IE-KE</v>
      </c>
      <c r="H75" s="35" t="str">
        <f t="shared" si="26"/>
        <v>IE-KK</v>
      </c>
      <c r="I75" s="35" t="str">
        <f t="shared" si="26"/>
        <v>IE-LS</v>
      </c>
      <c r="J75" s="35" t="str">
        <f t="shared" si="26"/>
        <v>IE-LD</v>
      </c>
      <c r="K75" s="35" t="str">
        <f t="shared" si="26"/>
        <v>IE-LH</v>
      </c>
      <c r="L75" s="35" t="str">
        <f t="shared" si="26"/>
        <v>IE-MH</v>
      </c>
      <c r="M75" s="35" t="str">
        <f t="shared" si="26"/>
        <v>IE-OY</v>
      </c>
      <c r="N75" s="35" t="str">
        <f t="shared" si="26"/>
        <v>IE-WH</v>
      </c>
      <c r="O75" s="35" t="str">
        <f t="shared" si="26"/>
        <v>IE-WX</v>
      </c>
      <c r="P75" s="35" t="str">
        <f t="shared" si="26"/>
        <v>IE-WW</v>
      </c>
      <c r="Q75" s="35" t="str">
        <f t="shared" si="26"/>
        <v>IE-CE</v>
      </c>
      <c r="R75" s="35" t="str">
        <f t="shared" si="26"/>
        <v>IE-CO</v>
      </c>
      <c r="S75" s="35" t="str">
        <f t="shared" si="26"/>
        <v>IE-KY</v>
      </c>
      <c r="T75" s="35" t="str">
        <f t="shared" si="26"/>
        <v>IE-LK</v>
      </c>
      <c r="U75" s="35" t="str">
        <f t="shared" si="26"/>
        <v>IE-TA</v>
      </c>
      <c r="V75" s="35" t="str">
        <f t="shared" si="26"/>
        <v>IE-WD</v>
      </c>
      <c r="W75" s="35" t="str">
        <f t="shared" si="26"/>
        <v>IE-G</v>
      </c>
      <c r="X75" s="35" t="str">
        <f t="shared" si="26"/>
        <v>IE-LM</v>
      </c>
      <c r="Y75" s="35" t="str">
        <f t="shared" si="26"/>
        <v>IE-MO</v>
      </c>
      <c r="Z75" s="35" t="str">
        <f t="shared" si="26"/>
        <v>IE-RN</v>
      </c>
      <c r="AA75" s="35" t="str">
        <f t="shared" si="26"/>
        <v>IE-SO</v>
      </c>
      <c r="AB75" s="35" t="str">
        <f t="shared" si="26"/>
        <v>IE-CN</v>
      </c>
      <c r="AC75" s="35" t="str">
        <f t="shared" si="26"/>
        <v>IE-DL</v>
      </c>
      <c r="AD75" s="35" t="str">
        <f t="shared" si="26"/>
        <v>IE-MN</v>
      </c>
      <c r="AE75" t="s">
        <v>526</v>
      </c>
    </row>
    <row r="76" spans="2:31">
      <c r="B76" t="str">
        <f t="shared" ref="B76:B93" si="27">B6</f>
        <v>T-MOT-ICE_GSL00</v>
      </c>
      <c r="C76" t="s">
        <v>744</v>
      </c>
      <c r="D76" s="5">
        <v>2.7309999999999999</v>
      </c>
      <c r="E76" s="5">
        <v>2.637</v>
      </c>
      <c r="F76" s="5">
        <v>2.798</v>
      </c>
      <c r="G76" s="5">
        <v>2.7280000000000002</v>
      </c>
      <c r="H76" s="5">
        <v>2.6520000000000001</v>
      </c>
      <c r="I76" s="5">
        <v>2.71</v>
      </c>
      <c r="J76" s="5">
        <v>2.669</v>
      </c>
      <c r="K76" s="5">
        <v>2.758</v>
      </c>
      <c r="L76" s="5">
        <v>2.722</v>
      </c>
      <c r="M76" s="5">
        <v>2.6560000000000001</v>
      </c>
      <c r="N76" s="5">
        <v>2.706</v>
      </c>
      <c r="O76" s="5">
        <v>2.657</v>
      </c>
      <c r="P76" s="5">
        <v>2.72</v>
      </c>
      <c r="Q76" s="5">
        <v>2.726</v>
      </c>
      <c r="R76" s="5">
        <v>2.6880000000000002</v>
      </c>
      <c r="S76" s="5">
        <v>2.68</v>
      </c>
      <c r="T76" s="5">
        <v>2.7</v>
      </c>
      <c r="U76" s="5">
        <v>2.694</v>
      </c>
      <c r="V76" s="5">
        <v>2.6480000000000001</v>
      </c>
      <c r="W76" s="5">
        <v>2.7010000000000001</v>
      </c>
      <c r="X76" s="5">
        <v>2.7250000000000001</v>
      </c>
      <c r="Y76" s="5">
        <v>2.718</v>
      </c>
      <c r="Z76" s="5">
        <v>2.7290000000000001</v>
      </c>
      <c r="AA76" s="5">
        <v>2.6480000000000001</v>
      </c>
      <c r="AB76" s="5">
        <v>2.7109999999999999</v>
      </c>
      <c r="AC76" s="5">
        <v>2.7930000000000001</v>
      </c>
      <c r="AD76" s="5">
        <v>2.7800000000000002</v>
      </c>
      <c r="AE76" t="s">
        <v>527</v>
      </c>
    </row>
    <row r="77" spans="2:31">
      <c r="B77" t="str">
        <f t="shared" si="27"/>
        <v>T-CAR-ICE_GSL00</v>
      </c>
      <c r="C77" t="s">
        <v>744</v>
      </c>
      <c r="D77" s="5">
        <v>12.817</v>
      </c>
      <c r="E77" s="5">
        <v>13.538</v>
      </c>
      <c r="F77" s="5">
        <v>11.021000000000001</v>
      </c>
      <c r="G77" s="5">
        <v>13.529</v>
      </c>
      <c r="H77" s="5">
        <v>13.763999999999999</v>
      </c>
      <c r="I77" s="5">
        <v>14.083</v>
      </c>
      <c r="J77" s="5">
        <v>14.022</v>
      </c>
      <c r="K77" s="5">
        <v>13.183</v>
      </c>
      <c r="L77" s="5">
        <v>13.941000000000001</v>
      </c>
      <c r="M77" s="5">
        <v>14.13</v>
      </c>
      <c r="N77" s="5">
        <v>13.906000000000001</v>
      </c>
      <c r="O77" s="5">
        <v>13.939</v>
      </c>
      <c r="P77" s="5">
        <v>13.411</v>
      </c>
      <c r="Q77" s="5">
        <v>14.196999999999999</v>
      </c>
      <c r="R77" s="5">
        <v>13.069000000000001</v>
      </c>
      <c r="S77" s="5">
        <v>13.894</v>
      </c>
      <c r="T77" s="5">
        <v>13.465999999999999</v>
      </c>
      <c r="U77" s="5">
        <v>14.237</v>
      </c>
      <c r="V77" s="5">
        <v>13.135999999999999</v>
      </c>
      <c r="W77" s="5">
        <v>13.557</v>
      </c>
      <c r="X77" s="5">
        <v>14.583</v>
      </c>
      <c r="Y77" s="5">
        <v>13.987</v>
      </c>
      <c r="Z77" s="5">
        <v>15.377000000000001</v>
      </c>
      <c r="AA77" s="5">
        <v>13.425000000000001</v>
      </c>
      <c r="AB77" s="5">
        <v>14.218</v>
      </c>
      <c r="AC77" s="5">
        <v>13.877000000000001</v>
      </c>
      <c r="AD77" s="5">
        <v>13.781000000000001</v>
      </c>
      <c r="AE77" t="s">
        <v>463</v>
      </c>
    </row>
    <row r="78" spans="2:31">
      <c r="B78" t="str">
        <f t="shared" si="27"/>
        <v>T-CAR-ICE_DST00</v>
      </c>
      <c r="C78" t="s">
        <v>744</v>
      </c>
      <c r="D78" s="5">
        <v>20.617000000000001</v>
      </c>
      <c r="E78" s="5">
        <v>21.731000000000002</v>
      </c>
      <c r="F78" s="5">
        <v>18.106000000000002</v>
      </c>
      <c r="G78" s="5">
        <v>20.908999999999999</v>
      </c>
      <c r="H78" s="5">
        <v>21.75</v>
      </c>
      <c r="I78" s="5">
        <v>22.298999999999999</v>
      </c>
      <c r="J78" s="5">
        <v>22.722999999999999</v>
      </c>
      <c r="K78" s="5">
        <v>20.613</v>
      </c>
      <c r="L78" s="5">
        <v>21.196999999999999</v>
      </c>
      <c r="M78" s="5">
        <v>22.055</v>
      </c>
      <c r="N78" s="5">
        <v>22.035</v>
      </c>
      <c r="O78" s="5">
        <v>21.408000000000001</v>
      </c>
      <c r="P78" s="5">
        <v>20.399999999999999</v>
      </c>
      <c r="Q78" s="5">
        <v>22.021000000000001</v>
      </c>
      <c r="R78" s="5">
        <v>20.07</v>
      </c>
      <c r="S78" s="5">
        <v>20.986000000000001</v>
      </c>
      <c r="T78" s="5">
        <v>21.373999999999999</v>
      </c>
      <c r="U78" s="5">
        <v>22.268999999999998</v>
      </c>
      <c r="V78" s="5">
        <v>20.774999999999999</v>
      </c>
      <c r="W78" s="5">
        <v>21.388000000000002</v>
      </c>
      <c r="X78" s="5">
        <v>22.28</v>
      </c>
      <c r="Y78" s="5">
        <v>21.443000000000001</v>
      </c>
      <c r="Z78" s="5">
        <v>23.317</v>
      </c>
      <c r="AA78" s="5">
        <v>21.324000000000002</v>
      </c>
      <c r="AB78" s="5">
        <v>21.887</v>
      </c>
      <c r="AC78" s="5">
        <v>20.55</v>
      </c>
      <c r="AD78" s="5">
        <v>21.584</v>
      </c>
      <c r="AE78" t="s">
        <v>463</v>
      </c>
    </row>
    <row r="79" spans="2:31">
      <c r="B79" t="str">
        <f t="shared" si="27"/>
        <v>T-CAR-ICE_DF00</v>
      </c>
      <c r="C79" t="s">
        <v>744</v>
      </c>
      <c r="D79" s="5">
        <v>13.444000000000001</v>
      </c>
      <c r="E79" s="5">
        <v>14.090999999999999</v>
      </c>
      <c r="F79" s="5">
        <v>12.847</v>
      </c>
      <c r="G79" s="5">
        <v>13.913</v>
      </c>
      <c r="H79" s="5">
        <v>14.358000000000001</v>
      </c>
      <c r="I79" s="5">
        <v>14.586</v>
      </c>
      <c r="J79" s="5">
        <v>14.004</v>
      </c>
      <c r="K79" s="5">
        <v>13.414</v>
      </c>
      <c r="L79" s="5">
        <v>14.103</v>
      </c>
      <c r="M79" s="5">
        <v>14.503</v>
      </c>
      <c r="N79" s="5">
        <v>14.009</v>
      </c>
      <c r="O79" s="5">
        <v>14.132</v>
      </c>
      <c r="P79" s="5">
        <v>13.914999999999999</v>
      </c>
      <c r="Q79" s="5">
        <v>14.077999999999999</v>
      </c>
      <c r="R79" s="5">
        <v>13.355</v>
      </c>
      <c r="S79" s="5">
        <v>13.78</v>
      </c>
      <c r="T79" s="5">
        <v>13.922000000000001</v>
      </c>
      <c r="U79" s="5">
        <v>13.884</v>
      </c>
      <c r="V79" s="5">
        <v>13.941000000000001</v>
      </c>
      <c r="W79" s="5">
        <v>13.930999999999999</v>
      </c>
      <c r="X79" s="5">
        <v>14.143000000000001</v>
      </c>
      <c r="Y79" s="5">
        <v>14.191000000000001</v>
      </c>
      <c r="Z79" s="5">
        <v>14.154</v>
      </c>
      <c r="AA79" s="5">
        <v>13.852</v>
      </c>
      <c r="AB79" s="5">
        <v>14.061999999999999</v>
      </c>
      <c r="AC79" s="5">
        <v>14.304</v>
      </c>
      <c r="AD79" s="5">
        <v>13.791</v>
      </c>
      <c r="AE79" t="s">
        <v>463</v>
      </c>
    </row>
    <row r="80" spans="2:31">
      <c r="B80" t="str">
        <f t="shared" si="27"/>
        <v>T-CAR-ICE_E8500</v>
      </c>
      <c r="C80" t="s">
        <v>744</v>
      </c>
      <c r="D80" s="5">
        <v>13.444000000000001</v>
      </c>
      <c r="E80" s="5">
        <v>14.090999999999999</v>
      </c>
      <c r="F80" s="5">
        <v>12.847</v>
      </c>
      <c r="G80" s="5">
        <v>13.913</v>
      </c>
      <c r="H80" s="5">
        <v>14.358000000000001</v>
      </c>
      <c r="I80" s="5">
        <v>14.586</v>
      </c>
      <c r="J80" s="5">
        <v>14.004</v>
      </c>
      <c r="K80" s="5">
        <v>13.414</v>
      </c>
      <c r="L80" s="5">
        <v>14.103</v>
      </c>
      <c r="M80" s="5">
        <v>14.503</v>
      </c>
      <c r="N80" s="5">
        <v>14.009</v>
      </c>
      <c r="O80" s="5">
        <v>14.132</v>
      </c>
      <c r="P80" s="5">
        <v>13.914999999999999</v>
      </c>
      <c r="Q80" s="5">
        <v>14.077999999999999</v>
      </c>
      <c r="R80" s="5">
        <v>13.355</v>
      </c>
      <c r="S80" s="5">
        <v>13.78</v>
      </c>
      <c r="T80" s="5">
        <v>13.922000000000001</v>
      </c>
      <c r="U80" s="5">
        <v>13.884</v>
      </c>
      <c r="V80" s="5">
        <v>13.941000000000001</v>
      </c>
      <c r="W80" s="5">
        <v>13.930999999999999</v>
      </c>
      <c r="X80" s="5">
        <v>14.143000000000001</v>
      </c>
      <c r="Y80" s="5">
        <v>14.191000000000001</v>
      </c>
      <c r="Z80" s="5">
        <v>14.154</v>
      </c>
      <c r="AA80" s="5">
        <v>13.852</v>
      </c>
      <c r="AB80" s="5">
        <v>14.061999999999999</v>
      </c>
      <c r="AC80" s="5">
        <v>14.304</v>
      </c>
      <c r="AD80" s="5">
        <v>13.791</v>
      </c>
      <c r="AE80" t="s">
        <v>463</v>
      </c>
    </row>
    <row r="81" spans="2:31">
      <c r="B81" t="str">
        <f t="shared" si="27"/>
        <v>T-CAR-HEV_GSL00</v>
      </c>
      <c r="C81" t="s">
        <v>744</v>
      </c>
      <c r="D81" s="5">
        <f>D77</f>
        <v>12.817</v>
      </c>
      <c r="E81" s="5">
        <f>E77</f>
        <v>13.538</v>
      </c>
      <c r="F81" s="5">
        <f t="shared" ref="F81:AD81" si="28">F77</f>
        <v>11.021000000000001</v>
      </c>
      <c r="G81" s="5">
        <f t="shared" si="28"/>
        <v>13.529</v>
      </c>
      <c r="H81" s="5">
        <f t="shared" si="28"/>
        <v>13.763999999999999</v>
      </c>
      <c r="I81" s="5">
        <f t="shared" si="28"/>
        <v>14.083</v>
      </c>
      <c r="J81" s="5">
        <f t="shared" si="28"/>
        <v>14.022</v>
      </c>
      <c r="K81" s="5">
        <f t="shared" si="28"/>
        <v>13.183</v>
      </c>
      <c r="L81" s="5">
        <f t="shared" si="28"/>
        <v>13.941000000000001</v>
      </c>
      <c r="M81" s="5">
        <f t="shared" si="28"/>
        <v>14.13</v>
      </c>
      <c r="N81" s="5">
        <f t="shared" si="28"/>
        <v>13.906000000000001</v>
      </c>
      <c r="O81" s="5">
        <f t="shared" si="28"/>
        <v>13.939</v>
      </c>
      <c r="P81" s="5">
        <f t="shared" si="28"/>
        <v>13.411</v>
      </c>
      <c r="Q81" s="5">
        <f t="shared" si="28"/>
        <v>14.196999999999999</v>
      </c>
      <c r="R81" s="5">
        <f t="shared" si="28"/>
        <v>13.069000000000001</v>
      </c>
      <c r="S81" s="5">
        <f t="shared" si="28"/>
        <v>13.894</v>
      </c>
      <c r="T81" s="5">
        <f t="shared" si="28"/>
        <v>13.465999999999999</v>
      </c>
      <c r="U81" s="5">
        <f t="shared" si="28"/>
        <v>14.237</v>
      </c>
      <c r="V81" s="5">
        <f t="shared" si="28"/>
        <v>13.135999999999999</v>
      </c>
      <c r="W81" s="5">
        <f t="shared" si="28"/>
        <v>13.557</v>
      </c>
      <c r="X81" s="5">
        <f t="shared" si="28"/>
        <v>14.583</v>
      </c>
      <c r="Y81" s="5">
        <f t="shared" si="28"/>
        <v>13.987</v>
      </c>
      <c r="Z81" s="5">
        <f t="shared" si="28"/>
        <v>15.377000000000001</v>
      </c>
      <c r="AA81" s="5">
        <f t="shared" si="28"/>
        <v>13.425000000000001</v>
      </c>
      <c r="AB81" s="5">
        <f t="shared" si="28"/>
        <v>14.218</v>
      </c>
      <c r="AC81" s="5">
        <f t="shared" si="28"/>
        <v>13.877000000000001</v>
      </c>
      <c r="AD81" s="5">
        <f t="shared" si="28"/>
        <v>13.781000000000001</v>
      </c>
      <c r="AE81" t="s">
        <v>463</v>
      </c>
    </row>
    <row r="82" spans="2:31">
      <c r="B82" t="str">
        <f t="shared" si="27"/>
        <v>T-CAR-HEV_DST00</v>
      </c>
      <c r="C82" t="s">
        <v>744</v>
      </c>
      <c r="D82" s="5">
        <f>D78</f>
        <v>20.617000000000001</v>
      </c>
      <c r="E82" s="5">
        <f t="shared" ref="E82:AD82" si="29">E78</f>
        <v>21.731000000000002</v>
      </c>
      <c r="F82" s="5">
        <f t="shared" si="29"/>
        <v>18.106000000000002</v>
      </c>
      <c r="G82" s="5">
        <f t="shared" si="29"/>
        <v>20.908999999999999</v>
      </c>
      <c r="H82" s="5">
        <f t="shared" si="29"/>
        <v>21.75</v>
      </c>
      <c r="I82" s="5">
        <f t="shared" si="29"/>
        <v>22.298999999999999</v>
      </c>
      <c r="J82" s="5">
        <f t="shared" si="29"/>
        <v>22.722999999999999</v>
      </c>
      <c r="K82" s="5">
        <f t="shared" si="29"/>
        <v>20.613</v>
      </c>
      <c r="L82" s="5">
        <f t="shared" si="29"/>
        <v>21.196999999999999</v>
      </c>
      <c r="M82" s="5">
        <f t="shared" si="29"/>
        <v>22.055</v>
      </c>
      <c r="N82" s="5">
        <f t="shared" si="29"/>
        <v>22.035</v>
      </c>
      <c r="O82" s="5">
        <f t="shared" si="29"/>
        <v>21.408000000000001</v>
      </c>
      <c r="P82" s="5">
        <f t="shared" si="29"/>
        <v>20.399999999999999</v>
      </c>
      <c r="Q82" s="5">
        <f t="shared" si="29"/>
        <v>22.021000000000001</v>
      </c>
      <c r="R82" s="5">
        <f t="shared" si="29"/>
        <v>20.07</v>
      </c>
      <c r="S82" s="5">
        <f t="shared" si="29"/>
        <v>20.986000000000001</v>
      </c>
      <c r="T82" s="5">
        <f t="shared" si="29"/>
        <v>21.373999999999999</v>
      </c>
      <c r="U82" s="5">
        <f t="shared" si="29"/>
        <v>22.268999999999998</v>
      </c>
      <c r="V82" s="5">
        <f t="shared" si="29"/>
        <v>20.774999999999999</v>
      </c>
      <c r="W82" s="5">
        <f t="shared" si="29"/>
        <v>21.388000000000002</v>
      </c>
      <c r="X82" s="5">
        <f t="shared" si="29"/>
        <v>22.28</v>
      </c>
      <c r="Y82" s="5">
        <f t="shared" si="29"/>
        <v>21.443000000000001</v>
      </c>
      <c r="Z82" s="5">
        <f t="shared" si="29"/>
        <v>23.317</v>
      </c>
      <c r="AA82" s="5">
        <f t="shared" si="29"/>
        <v>21.324000000000002</v>
      </c>
      <c r="AB82" s="5">
        <f t="shared" si="29"/>
        <v>21.887</v>
      </c>
      <c r="AC82" s="5">
        <f t="shared" si="29"/>
        <v>20.55</v>
      </c>
      <c r="AD82" s="5">
        <f t="shared" si="29"/>
        <v>21.584</v>
      </c>
      <c r="AE82" t="s">
        <v>463</v>
      </c>
    </row>
    <row r="83" spans="2:31">
      <c r="B83" t="str">
        <f t="shared" si="27"/>
        <v>T-CAR-PHEV_GSL00</v>
      </c>
      <c r="C83" t="s">
        <v>744</v>
      </c>
      <c r="D83" s="5">
        <f t="shared" ref="D83:AD83" si="30">D81</f>
        <v>12.817</v>
      </c>
      <c r="E83" s="5">
        <f t="shared" si="30"/>
        <v>13.538</v>
      </c>
      <c r="F83" s="5">
        <f t="shared" si="30"/>
        <v>11.021000000000001</v>
      </c>
      <c r="G83" s="5">
        <f t="shared" si="30"/>
        <v>13.529</v>
      </c>
      <c r="H83" s="5">
        <f t="shared" si="30"/>
        <v>13.763999999999999</v>
      </c>
      <c r="I83" s="5">
        <f t="shared" si="30"/>
        <v>14.083</v>
      </c>
      <c r="J83" s="5">
        <f t="shared" si="30"/>
        <v>14.022</v>
      </c>
      <c r="K83" s="5">
        <f t="shared" si="30"/>
        <v>13.183</v>
      </c>
      <c r="L83" s="5">
        <f t="shared" si="30"/>
        <v>13.941000000000001</v>
      </c>
      <c r="M83" s="5">
        <f t="shared" si="30"/>
        <v>14.13</v>
      </c>
      <c r="N83" s="5">
        <f t="shared" si="30"/>
        <v>13.906000000000001</v>
      </c>
      <c r="O83" s="5">
        <f t="shared" si="30"/>
        <v>13.939</v>
      </c>
      <c r="P83" s="5">
        <f t="shared" si="30"/>
        <v>13.411</v>
      </c>
      <c r="Q83" s="5">
        <f t="shared" si="30"/>
        <v>14.196999999999999</v>
      </c>
      <c r="R83" s="5">
        <f t="shared" si="30"/>
        <v>13.069000000000001</v>
      </c>
      <c r="S83" s="5">
        <f t="shared" si="30"/>
        <v>13.894</v>
      </c>
      <c r="T83" s="5">
        <f t="shared" si="30"/>
        <v>13.465999999999999</v>
      </c>
      <c r="U83" s="5">
        <f t="shared" si="30"/>
        <v>14.237</v>
      </c>
      <c r="V83" s="5">
        <f t="shared" si="30"/>
        <v>13.135999999999999</v>
      </c>
      <c r="W83" s="5">
        <f t="shared" si="30"/>
        <v>13.557</v>
      </c>
      <c r="X83" s="5">
        <f t="shared" si="30"/>
        <v>14.583</v>
      </c>
      <c r="Y83" s="5">
        <f t="shared" si="30"/>
        <v>13.987</v>
      </c>
      <c r="Z83" s="5">
        <f t="shared" si="30"/>
        <v>15.377000000000001</v>
      </c>
      <c r="AA83" s="5">
        <f t="shared" si="30"/>
        <v>13.425000000000001</v>
      </c>
      <c r="AB83" s="5">
        <f t="shared" si="30"/>
        <v>14.218</v>
      </c>
      <c r="AC83" s="5">
        <f t="shared" si="30"/>
        <v>13.877000000000001</v>
      </c>
      <c r="AD83" s="5">
        <f t="shared" si="30"/>
        <v>13.781000000000001</v>
      </c>
      <c r="AE83" t="s">
        <v>463</v>
      </c>
    </row>
    <row r="84" spans="2:31">
      <c r="B84" t="str">
        <f t="shared" si="27"/>
        <v>T-CAR-PHEV_DST00</v>
      </c>
      <c r="C84" t="s">
        <v>744</v>
      </c>
      <c r="D84" s="5">
        <f>D78</f>
        <v>20.617000000000001</v>
      </c>
      <c r="E84" s="5">
        <f t="shared" ref="E84:AD84" si="31">E78</f>
        <v>21.731000000000002</v>
      </c>
      <c r="F84" s="5">
        <f t="shared" si="31"/>
        <v>18.106000000000002</v>
      </c>
      <c r="G84" s="5">
        <f t="shared" si="31"/>
        <v>20.908999999999999</v>
      </c>
      <c r="H84" s="5">
        <f t="shared" si="31"/>
        <v>21.75</v>
      </c>
      <c r="I84" s="5">
        <f t="shared" si="31"/>
        <v>22.298999999999999</v>
      </c>
      <c r="J84" s="5">
        <f t="shared" si="31"/>
        <v>22.722999999999999</v>
      </c>
      <c r="K84" s="5">
        <f t="shared" si="31"/>
        <v>20.613</v>
      </c>
      <c r="L84" s="5">
        <f t="shared" si="31"/>
        <v>21.196999999999999</v>
      </c>
      <c r="M84" s="5">
        <f t="shared" si="31"/>
        <v>22.055</v>
      </c>
      <c r="N84" s="5">
        <f t="shared" si="31"/>
        <v>22.035</v>
      </c>
      <c r="O84" s="5">
        <f t="shared" si="31"/>
        <v>21.408000000000001</v>
      </c>
      <c r="P84" s="5">
        <f t="shared" si="31"/>
        <v>20.399999999999999</v>
      </c>
      <c r="Q84" s="5">
        <f t="shared" si="31"/>
        <v>22.021000000000001</v>
      </c>
      <c r="R84" s="5">
        <f t="shared" si="31"/>
        <v>20.07</v>
      </c>
      <c r="S84" s="5">
        <f t="shared" si="31"/>
        <v>20.986000000000001</v>
      </c>
      <c r="T84" s="5">
        <f t="shared" si="31"/>
        <v>21.373999999999999</v>
      </c>
      <c r="U84" s="5">
        <f t="shared" si="31"/>
        <v>22.268999999999998</v>
      </c>
      <c r="V84" s="5">
        <f t="shared" si="31"/>
        <v>20.774999999999999</v>
      </c>
      <c r="W84" s="5">
        <f t="shared" si="31"/>
        <v>21.388000000000002</v>
      </c>
      <c r="X84" s="5">
        <f t="shared" si="31"/>
        <v>22.28</v>
      </c>
      <c r="Y84" s="5">
        <f t="shared" si="31"/>
        <v>21.443000000000001</v>
      </c>
      <c r="Z84" s="5">
        <f t="shared" si="31"/>
        <v>23.317</v>
      </c>
      <c r="AA84" s="5">
        <f t="shared" si="31"/>
        <v>21.324000000000002</v>
      </c>
      <c r="AB84" s="5">
        <f t="shared" si="31"/>
        <v>21.887</v>
      </c>
      <c r="AC84" s="5">
        <f t="shared" si="31"/>
        <v>20.55</v>
      </c>
      <c r="AD84" s="5">
        <f t="shared" si="31"/>
        <v>21.584</v>
      </c>
      <c r="AE84" t="s">
        <v>463</v>
      </c>
    </row>
    <row r="85" spans="2:31">
      <c r="B85" t="str">
        <f t="shared" si="27"/>
        <v>T-CAR-BEV_ELC00</v>
      </c>
      <c r="C85" t="s">
        <v>744</v>
      </c>
      <c r="D85" s="5">
        <f>D80</f>
        <v>13.444000000000001</v>
      </c>
      <c r="E85" s="5">
        <f t="shared" ref="E85:AD85" si="32">E80</f>
        <v>14.090999999999999</v>
      </c>
      <c r="F85" s="5">
        <f t="shared" si="32"/>
        <v>12.847</v>
      </c>
      <c r="G85" s="5">
        <f t="shared" si="32"/>
        <v>13.913</v>
      </c>
      <c r="H85" s="5">
        <f t="shared" si="32"/>
        <v>14.358000000000001</v>
      </c>
      <c r="I85" s="5">
        <f t="shared" si="32"/>
        <v>14.586</v>
      </c>
      <c r="J85" s="5">
        <f t="shared" si="32"/>
        <v>14.004</v>
      </c>
      <c r="K85" s="5">
        <f t="shared" si="32"/>
        <v>13.414</v>
      </c>
      <c r="L85" s="5">
        <f t="shared" si="32"/>
        <v>14.103</v>
      </c>
      <c r="M85" s="5">
        <f t="shared" si="32"/>
        <v>14.503</v>
      </c>
      <c r="N85" s="5">
        <f t="shared" si="32"/>
        <v>14.009</v>
      </c>
      <c r="O85" s="5">
        <f t="shared" si="32"/>
        <v>14.132</v>
      </c>
      <c r="P85" s="5">
        <f t="shared" si="32"/>
        <v>13.914999999999999</v>
      </c>
      <c r="Q85" s="5">
        <f t="shared" si="32"/>
        <v>14.077999999999999</v>
      </c>
      <c r="R85" s="5">
        <f t="shared" si="32"/>
        <v>13.355</v>
      </c>
      <c r="S85" s="5">
        <f t="shared" si="32"/>
        <v>13.78</v>
      </c>
      <c r="T85" s="5">
        <f t="shared" si="32"/>
        <v>13.922000000000001</v>
      </c>
      <c r="U85" s="5">
        <f t="shared" si="32"/>
        <v>13.884</v>
      </c>
      <c r="V85" s="5">
        <f t="shared" si="32"/>
        <v>13.941000000000001</v>
      </c>
      <c r="W85" s="5">
        <f t="shared" si="32"/>
        <v>13.930999999999999</v>
      </c>
      <c r="X85" s="5">
        <f t="shared" si="32"/>
        <v>14.143000000000001</v>
      </c>
      <c r="Y85" s="5">
        <f t="shared" si="32"/>
        <v>14.191000000000001</v>
      </c>
      <c r="Z85" s="5">
        <f t="shared" si="32"/>
        <v>14.154</v>
      </c>
      <c r="AA85" s="5">
        <f t="shared" si="32"/>
        <v>13.852</v>
      </c>
      <c r="AB85" s="5">
        <f t="shared" si="32"/>
        <v>14.061999999999999</v>
      </c>
      <c r="AC85" s="5">
        <f t="shared" si="32"/>
        <v>14.304</v>
      </c>
      <c r="AD85" s="5">
        <f t="shared" si="32"/>
        <v>13.791</v>
      </c>
      <c r="AE85" t="s">
        <v>463</v>
      </c>
    </row>
    <row r="86" spans="2:31">
      <c r="B86" t="str">
        <f t="shared" si="27"/>
        <v>T-TAX-ICE_GSL00</v>
      </c>
      <c r="C86" t="s">
        <v>744</v>
      </c>
      <c r="D86" s="5">
        <v>35.606999999999999</v>
      </c>
      <c r="E86" s="5">
        <v>22.277000000000001</v>
      </c>
      <c r="F86" s="5">
        <v>35.493000000000002</v>
      </c>
      <c r="G86" s="5">
        <v>41.204999999999998</v>
      </c>
      <c r="H86" s="5">
        <v>41.378</v>
      </c>
      <c r="I86" s="5">
        <v>32.383000000000003</v>
      </c>
      <c r="J86" s="5">
        <v>41.290999999999997</v>
      </c>
      <c r="K86" s="5">
        <v>36.228999999999999</v>
      </c>
      <c r="L86" s="5">
        <v>41.643999999999998</v>
      </c>
      <c r="M86" s="5">
        <v>27.047000000000001</v>
      </c>
      <c r="N86" s="5">
        <v>44.625</v>
      </c>
      <c r="O86" s="5">
        <v>32.718000000000004</v>
      </c>
      <c r="P86" s="5">
        <v>31.013000000000002</v>
      </c>
      <c r="Q86" s="5">
        <v>37.658999999999999</v>
      </c>
      <c r="R86" s="5">
        <v>34.145000000000003</v>
      </c>
      <c r="S86" s="5">
        <v>31.021999999999998</v>
      </c>
      <c r="T86" s="5">
        <v>37.139000000000003</v>
      </c>
      <c r="U86" s="5">
        <v>33.700000000000003</v>
      </c>
      <c r="V86" s="5">
        <v>29.905999999999999</v>
      </c>
      <c r="W86" s="5">
        <v>36.619999999999997</v>
      </c>
      <c r="X86" s="5">
        <v>28.806999999999999</v>
      </c>
      <c r="Y86" s="5">
        <v>32.491999999999997</v>
      </c>
      <c r="Z86" s="5">
        <v>24.44</v>
      </c>
      <c r="AA86" s="5">
        <v>27.395</v>
      </c>
      <c r="AB86" s="5">
        <v>35.872999999999998</v>
      </c>
      <c r="AC86" s="5">
        <v>34.793999999999997</v>
      </c>
      <c r="AD86" s="5">
        <v>13.925000000000001</v>
      </c>
      <c r="AE86" t="s">
        <v>528</v>
      </c>
    </row>
    <row r="87" spans="2:31">
      <c r="B87" t="str">
        <f t="shared" si="27"/>
        <v>T-TAX-ICE_DST00</v>
      </c>
      <c r="C87" t="s">
        <v>744</v>
      </c>
      <c r="D87" s="5">
        <v>39.924999999999997</v>
      </c>
      <c r="E87" s="5">
        <v>36.674999999999997</v>
      </c>
      <c r="F87" s="5">
        <v>38.923999999999999</v>
      </c>
      <c r="G87" s="5">
        <v>42.279000000000003</v>
      </c>
      <c r="H87" s="5">
        <v>41.710999999999999</v>
      </c>
      <c r="I87" s="5">
        <v>41.725000000000001</v>
      </c>
      <c r="J87" s="5">
        <v>45.546999999999997</v>
      </c>
      <c r="K87" s="5">
        <v>42.713000000000001</v>
      </c>
      <c r="L87" s="5">
        <v>43.365000000000002</v>
      </c>
      <c r="M87" s="5">
        <v>38.703000000000003</v>
      </c>
      <c r="N87" s="5">
        <v>41.908000000000001</v>
      </c>
      <c r="O87" s="5">
        <v>38.863999999999997</v>
      </c>
      <c r="P87" s="5">
        <v>39.012</v>
      </c>
      <c r="Q87" s="5">
        <v>40.003999999999998</v>
      </c>
      <c r="R87" s="5">
        <v>40.366</v>
      </c>
      <c r="S87" s="5">
        <v>39.216999999999999</v>
      </c>
      <c r="T87" s="5">
        <v>40.262</v>
      </c>
      <c r="U87" s="5">
        <v>40.31</v>
      </c>
      <c r="V87" s="5">
        <v>39.709000000000003</v>
      </c>
      <c r="W87" s="5">
        <v>40.692999999999998</v>
      </c>
      <c r="X87" s="5">
        <v>42.972000000000001</v>
      </c>
      <c r="Y87" s="5">
        <v>38.369</v>
      </c>
      <c r="Z87" s="5">
        <v>39.170999999999999</v>
      </c>
      <c r="AA87" s="5">
        <v>40.359000000000002</v>
      </c>
      <c r="AB87" s="5">
        <v>44.034999999999997</v>
      </c>
      <c r="AC87" s="5">
        <v>40.661000000000001</v>
      </c>
      <c r="AD87" s="5">
        <v>42.5</v>
      </c>
      <c r="AE87" t="s">
        <v>528</v>
      </c>
    </row>
    <row r="88" spans="2:31">
      <c r="B88" t="str">
        <f t="shared" si="27"/>
        <v>T-TAX-HEV_GSL00</v>
      </c>
      <c r="C88" t="s">
        <v>744</v>
      </c>
      <c r="D88" s="5">
        <v>41.210999999999999</v>
      </c>
      <c r="E88" s="5">
        <v>46.207999999999998</v>
      </c>
      <c r="F88" s="5">
        <v>40.334000000000003</v>
      </c>
      <c r="G88" s="5">
        <v>46.970999999999997</v>
      </c>
      <c r="H88" s="5">
        <v>42.451000000000001</v>
      </c>
      <c r="I88" s="5">
        <v>40.606000000000002</v>
      </c>
      <c r="J88" s="5">
        <v>0</v>
      </c>
      <c r="K88" s="5">
        <v>42.247</v>
      </c>
      <c r="L88" s="5">
        <v>47.298000000000002</v>
      </c>
      <c r="M88" s="5">
        <v>39.761000000000003</v>
      </c>
      <c r="N88" s="5">
        <v>49.19</v>
      </c>
      <c r="O88" s="5">
        <v>41.015000000000001</v>
      </c>
      <c r="P88" s="5">
        <v>39.994999999999997</v>
      </c>
      <c r="Q88" s="5">
        <v>37.396999999999998</v>
      </c>
      <c r="R88" s="5">
        <v>45.326999999999998</v>
      </c>
      <c r="S88" s="5">
        <v>35.898000000000003</v>
      </c>
      <c r="T88" s="5">
        <v>45.386000000000003</v>
      </c>
      <c r="U88" s="5">
        <v>38.015000000000001</v>
      </c>
      <c r="V88" s="5">
        <v>60.183999999999997</v>
      </c>
      <c r="W88" s="5">
        <v>40.619999999999997</v>
      </c>
      <c r="X88" s="5">
        <v>0</v>
      </c>
      <c r="Y88" s="5">
        <v>54.843000000000004</v>
      </c>
      <c r="Z88" s="5">
        <v>0</v>
      </c>
      <c r="AA88" s="5">
        <v>25.759</v>
      </c>
      <c r="AB88" s="5">
        <v>42.872999999999998</v>
      </c>
      <c r="AC88" s="5">
        <v>59.003999999999998</v>
      </c>
      <c r="AD88" s="5">
        <v>0</v>
      </c>
      <c r="AE88" t="s">
        <v>528</v>
      </c>
    </row>
    <row r="89" spans="2:31">
      <c r="B89" t="str">
        <f t="shared" si="27"/>
        <v>T-BUS-ICE_DST00</v>
      </c>
      <c r="C89" t="s">
        <v>744</v>
      </c>
      <c r="D89" s="5">
        <v>36.094999999999999</v>
      </c>
      <c r="E89" s="5">
        <v>29.084</v>
      </c>
      <c r="F89" s="5">
        <v>42.320999999999998</v>
      </c>
      <c r="G89" s="5">
        <v>33.158999999999999</v>
      </c>
      <c r="H89" s="5">
        <v>36.375999999999998</v>
      </c>
      <c r="I89" s="5">
        <v>27.684999999999999</v>
      </c>
      <c r="J89" s="5">
        <v>29.504999999999999</v>
      </c>
      <c r="K89" s="5">
        <v>36.526000000000003</v>
      </c>
      <c r="L89" s="5">
        <v>29.387</v>
      </c>
      <c r="M89" s="5">
        <v>31.809000000000001</v>
      </c>
      <c r="N89" s="5">
        <v>32.343000000000004</v>
      </c>
      <c r="O89" s="5">
        <v>33.917999999999999</v>
      </c>
      <c r="P89" s="5">
        <v>35.256999999999998</v>
      </c>
      <c r="Q89" s="5">
        <v>30.913</v>
      </c>
      <c r="R89" s="5">
        <v>32.386000000000003</v>
      </c>
      <c r="S89" s="5">
        <v>35.008000000000003</v>
      </c>
      <c r="T89" s="5">
        <v>34.691000000000003</v>
      </c>
      <c r="U89" s="5">
        <v>32.432000000000002</v>
      </c>
      <c r="V89" s="5">
        <v>31.053999999999998</v>
      </c>
      <c r="W89" s="5">
        <v>35.097999999999999</v>
      </c>
      <c r="X89" s="5">
        <v>22.18</v>
      </c>
      <c r="Y89" s="5">
        <v>37.491999999999997</v>
      </c>
      <c r="Z89" s="5">
        <v>31.65</v>
      </c>
      <c r="AA89" s="5">
        <v>34.908000000000001</v>
      </c>
      <c r="AB89" s="5">
        <v>39.076999999999998</v>
      </c>
      <c r="AC89" s="5">
        <v>32.835999999999999</v>
      </c>
      <c r="AD89" s="5">
        <v>45.258000000000003</v>
      </c>
      <c r="AE89" t="s">
        <v>559</v>
      </c>
    </row>
    <row r="90" spans="2:31">
      <c r="B90" t="str">
        <f t="shared" si="27"/>
        <v>T-LPT-BEV_ELC00</v>
      </c>
      <c r="C90" t="s">
        <v>744</v>
      </c>
      <c r="D90" s="310">
        <v>55.691000000000003</v>
      </c>
      <c r="E90" s="5">
        <f>D90</f>
        <v>55.691000000000003</v>
      </c>
      <c r="F90" s="5">
        <f t="shared" ref="F90:F92" si="33">E90</f>
        <v>55.691000000000003</v>
      </c>
      <c r="G90" s="5">
        <f t="shared" ref="G90:G92" si="34">F90</f>
        <v>55.691000000000003</v>
      </c>
      <c r="H90" s="5">
        <f t="shared" ref="H90:H92" si="35">G90</f>
        <v>55.691000000000003</v>
      </c>
      <c r="I90" s="5">
        <f t="shared" ref="I90:I92" si="36">H90</f>
        <v>55.691000000000003</v>
      </c>
      <c r="J90" s="5">
        <f t="shared" ref="J90:J92" si="37">I90</f>
        <v>55.691000000000003</v>
      </c>
      <c r="K90" s="5">
        <f t="shared" ref="K90:K92" si="38">J90</f>
        <v>55.691000000000003</v>
      </c>
      <c r="L90" s="5">
        <f t="shared" ref="L90:L92" si="39">K90</f>
        <v>55.691000000000003</v>
      </c>
      <c r="M90" s="5">
        <f t="shared" ref="M90:M92" si="40">L90</f>
        <v>55.691000000000003</v>
      </c>
      <c r="N90" s="5">
        <f t="shared" ref="N90:N92" si="41">M90</f>
        <v>55.691000000000003</v>
      </c>
      <c r="O90" s="5">
        <f t="shared" ref="O90:O92" si="42">N90</f>
        <v>55.691000000000003</v>
      </c>
      <c r="P90" s="5">
        <f t="shared" ref="P90:P92" si="43">O90</f>
        <v>55.691000000000003</v>
      </c>
      <c r="Q90" s="5">
        <f t="shared" ref="Q90:Q92" si="44">P90</f>
        <v>55.691000000000003</v>
      </c>
      <c r="R90" s="5">
        <f t="shared" ref="R90:R92" si="45">Q90</f>
        <v>55.691000000000003</v>
      </c>
      <c r="S90" s="5">
        <f t="shared" ref="S90:S92" si="46">R90</f>
        <v>55.691000000000003</v>
      </c>
      <c r="T90" s="5">
        <f t="shared" ref="T90:T92" si="47">S90</f>
        <v>55.691000000000003</v>
      </c>
      <c r="U90" s="5">
        <f t="shared" ref="U90:U92" si="48">T90</f>
        <v>55.691000000000003</v>
      </c>
      <c r="V90" s="5">
        <f t="shared" ref="V90:V92" si="49">U90</f>
        <v>55.691000000000003</v>
      </c>
      <c r="W90" s="5">
        <f t="shared" ref="W90:W92" si="50">V90</f>
        <v>55.691000000000003</v>
      </c>
      <c r="X90" s="5">
        <f t="shared" ref="X90:X92" si="51">W90</f>
        <v>55.691000000000003</v>
      </c>
      <c r="Y90" s="5">
        <f t="shared" ref="Y90:Y92" si="52">X90</f>
        <v>55.691000000000003</v>
      </c>
      <c r="Z90" s="5">
        <f t="shared" ref="Z90:Z92" si="53">Y90</f>
        <v>55.691000000000003</v>
      </c>
      <c r="AA90" s="5">
        <f t="shared" ref="AA90:AA92" si="54">Z90</f>
        <v>55.691000000000003</v>
      </c>
      <c r="AB90" s="5">
        <f t="shared" ref="AB90:AB92" si="55">AA90</f>
        <v>55.691000000000003</v>
      </c>
      <c r="AC90" s="5">
        <f t="shared" ref="AC90:AC92" si="56">AB90</f>
        <v>55.691000000000003</v>
      </c>
      <c r="AD90" s="5">
        <f t="shared" ref="AD90:AD92" si="57">AC90</f>
        <v>55.691000000000003</v>
      </c>
      <c r="AE90" s="147" t="s">
        <v>567</v>
      </c>
    </row>
    <row r="91" spans="2:31">
      <c r="B91" t="str">
        <f t="shared" si="27"/>
        <v>T-HPT-BEV_ELC00</v>
      </c>
      <c r="C91" t="s">
        <v>744</v>
      </c>
      <c r="D91" s="310">
        <v>158.476</v>
      </c>
      <c r="E91" s="5">
        <f t="shared" ref="E91:E92" si="58">D91</f>
        <v>158.476</v>
      </c>
      <c r="F91" s="5">
        <f t="shared" si="33"/>
        <v>158.476</v>
      </c>
      <c r="G91" s="5">
        <f t="shared" si="34"/>
        <v>158.476</v>
      </c>
      <c r="H91" s="5">
        <f t="shared" si="35"/>
        <v>158.476</v>
      </c>
      <c r="I91" s="5">
        <f t="shared" si="36"/>
        <v>158.476</v>
      </c>
      <c r="J91" s="5">
        <f t="shared" si="37"/>
        <v>158.476</v>
      </c>
      <c r="K91" s="5">
        <f t="shared" si="38"/>
        <v>158.476</v>
      </c>
      <c r="L91" s="5">
        <f t="shared" si="39"/>
        <v>158.476</v>
      </c>
      <c r="M91" s="5">
        <f t="shared" si="40"/>
        <v>158.476</v>
      </c>
      <c r="N91" s="5">
        <f t="shared" si="41"/>
        <v>158.476</v>
      </c>
      <c r="O91" s="5">
        <f t="shared" si="42"/>
        <v>158.476</v>
      </c>
      <c r="P91" s="5">
        <f t="shared" si="43"/>
        <v>158.476</v>
      </c>
      <c r="Q91" s="5">
        <f t="shared" si="44"/>
        <v>158.476</v>
      </c>
      <c r="R91" s="5">
        <f t="shared" si="45"/>
        <v>158.476</v>
      </c>
      <c r="S91" s="5">
        <f t="shared" si="46"/>
        <v>158.476</v>
      </c>
      <c r="T91" s="5">
        <f t="shared" si="47"/>
        <v>158.476</v>
      </c>
      <c r="U91" s="5">
        <f t="shared" si="48"/>
        <v>158.476</v>
      </c>
      <c r="V91" s="5">
        <f t="shared" si="49"/>
        <v>158.476</v>
      </c>
      <c r="W91" s="5">
        <f t="shared" si="50"/>
        <v>158.476</v>
      </c>
      <c r="X91" s="5">
        <f t="shared" si="51"/>
        <v>158.476</v>
      </c>
      <c r="Y91" s="5">
        <f t="shared" si="52"/>
        <v>158.476</v>
      </c>
      <c r="Z91" s="5">
        <f t="shared" si="53"/>
        <v>158.476</v>
      </c>
      <c r="AA91" s="5">
        <f t="shared" si="54"/>
        <v>158.476</v>
      </c>
      <c r="AB91" s="5">
        <f t="shared" si="55"/>
        <v>158.476</v>
      </c>
      <c r="AC91" s="5">
        <f t="shared" si="56"/>
        <v>158.476</v>
      </c>
      <c r="AD91" s="5">
        <f t="shared" si="57"/>
        <v>158.476</v>
      </c>
      <c r="AE91" s="147" t="s">
        <v>567</v>
      </c>
    </row>
    <row r="92" spans="2:31">
      <c r="B92" t="str">
        <f t="shared" si="27"/>
        <v>T-HPT-ICE_DST00</v>
      </c>
      <c r="C92" t="s">
        <v>744</v>
      </c>
      <c r="D92" s="310">
        <v>73.884</v>
      </c>
      <c r="E92" s="5">
        <f t="shared" si="58"/>
        <v>73.884</v>
      </c>
      <c r="F92" s="5">
        <f t="shared" si="33"/>
        <v>73.884</v>
      </c>
      <c r="G92" s="5">
        <f t="shared" si="34"/>
        <v>73.884</v>
      </c>
      <c r="H92" s="5">
        <f t="shared" si="35"/>
        <v>73.884</v>
      </c>
      <c r="I92" s="5">
        <f t="shared" si="36"/>
        <v>73.884</v>
      </c>
      <c r="J92" s="5">
        <f t="shared" si="37"/>
        <v>73.884</v>
      </c>
      <c r="K92" s="5">
        <f t="shared" si="38"/>
        <v>73.884</v>
      </c>
      <c r="L92" s="5">
        <f t="shared" si="39"/>
        <v>73.884</v>
      </c>
      <c r="M92" s="5">
        <f t="shared" si="40"/>
        <v>73.884</v>
      </c>
      <c r="N92" s="5">
        <f t="shared" si="41"/>
        <v>73.884</v>
      </c>
      <c r="O92" s="5">
        <f t="shared" si="42"/>
        <v>73.884</v>
      </c>
      <c r="P92" s="5">
        <f t="shared" si="43"/>
        <v>73.884</v>
      </c>
      <c r="Q92" s="5">
        <f t="shared" si="44"/>
        <v>73.884</v>
      </c>
      <c r="R92" s="5">
        <f t="shared" si="45"/>
        <v>73.884</v>
      </c>
      <c r="S92" s="5">
        <f t="shared" si="46"/>
        <v>73.884</v>
      </c>
      <c r="T92" s="5">
        <f t="shared" si="47"/>
        <v>73.884</v>
      </c>
      <c r="U92" s="5">
        <f t="shared" si="48"/>
        <v>73.884</v>
      </c>
      <c r="V92" s="5">
        <f t="shared" si="49"/>
        <v>73.884</v>
      </c>
      <c r="W92" s="5">
        <f t="shared" si="50"/>
        <v>73.884</v>
      </c>
      <c r="X92" s="5">
        <f t="shared" si="51"/>
        <v>73.884</v>
      </c>
      <c r="Y92" s="5">
        <f t="shared" si="52"/>
        <v>73.884</v>
      </c>
      <c r="Z92" s="5">
        <f t="shared" si="53"/>
        <v>73.884</v>
      </c>
      <c r="AA92" s="5">
        <f t="shared" si="54"/>
        <v>73.884</v>
      </c>
      <c r="AB92" s="5">
        <f t="shared" si="55"/>
        <v>73.884</v>
      </c>
      <c r="AC92" s="5">
        <f t="shared" si="56"/>
        <v>73.884</v>
      </c>
      <c r="AD92" s="5">
        <f t="shared" si="57"/>
        <v>73.884</v>
      </c>
      <c r="AE92" s="147" t="s">
        <v>567</v>
      </c>
    </row>
    <row r="93" spans="2:31">
      <c r="B93" t="str">
        <f t="shared" si="27"/>
        <v>T-LGT-ICE_GSL00</v>
      </c>
      <c r="C93" t="s">
        <v>744</v>
      </c>
      <c r="D93" s="310">
        <f>AVERAGE(D133:D134)/1000</f>
        <v>20.794499999999999</v>
      </c>
      <c r="E93" s="310">
        <f t="shared" ref="E93:AD93" si="59">AVERAGE(E133:E134)/1000</f>
        <v>20.6495</v>
      </c>
      <c r="F93" s="310">
        <f t="shared" si="59"/>
        <v>22.375</v>
      </c>
      <c r="G93" s="310">
        <f t="shared" si="59"/>
        <v>21.454000000000001</v>
      </c>
      <c r="H93" s="310">
        <f t="shared" si="59"/>
        <v>20.001000000000001</v>
      </c>
      <c r="I93" s="310">
        <f t="shared" si="59"/>
        <v>20.641500000000001</v>
      </c>
      <c r="J93" s="310">
        <f t="shared" si="59"/>
        <v>20.355</v>
      </c>
      <c r="K93" s="310">
        <f t="shared" si="59"/>
        <v>20.972999999999999</v>
      </c>
      <c r="L93" s="310">
        <f t="shared" si="59"/>
        <v>21.956499999999998</v>
      </c>
      <c r="M93" s="310">
        <f t="shared" si="59"/>
        <v>20.138500000000001</v>
      </c>
      <c r="N93" s="310">
        <f t="shared" si="59"/>
        <v>20.660499999999999</v>
      </c>
      <c r="O93" s="310">
        <f t="shared" si="59"/>
        <v>20.590499999999999</v>
      </c>
      <c r="P93" s="310">
        <f t="shared" si="59"/>
        <v>19.901</v>
      </c>
      <c r="Q93" s="310">
        <f t="shared" si="59"/>
        <v>20.317499999999999</v>
      </c>
      <c r="R93" s="310">
        <f t="shared" si="59"/>
        <v>19.6965</v>
      </c>
      <c r="S93" s="310">
        <f t="shared" si="59"/>
        <v>20.023499999999999</v>
      </c>
      <c r="T93" s="310">
        <f t="shared" si="59"/>
        <v>21.157</v>
      </c>
      <c r="U93" s="310">
        <f t="shared" si="59"/>
        <v>19.945499999999999</v>
      </c>
      <c r="V93" s="310">
        <f t="shared" si="59"/>
        <v>18.807500000000001</v>
      </c>
      <c r="W93" s="310">
        <f t="shared" si="59"/>
        <v>20.356000000000002</v>
      </c>
      <c r="X93" s="310">
        <f t="shared" si="59"/>
        <v>20.490500000000001</v>
      </c>
      <c r="Y93" s="310">
        <f t="shared" si="59"/>
        <v>20.330500000000001</v>
      </c>
      <c r="Z93" s="310">
        <f t="shared" si="59"/>
        <v>20.715499999999999</v>
      </c>
      <c r="AA93" s="310">
        <f t="shared" si="59"/>
        <v>19.79</v>
      </c>
      <c r="AB93" s="310">
        <f t="shared" si="59"/>
        <v>20.96</v>
      </c>
      <c r="AC93" s="310">
        <f t="shared" si="59"/>
        <v>19.359000000000002</v>
      </c>
      <c r="AD93" s="310">
        <f t="shared" si="59"/>
        <v>20.867999999999999</v>
      </c>
      <c r="AE93" t="s">
        <v>1031</v>
      </c>
    </row>
    <row r="94" spans="2:31">
      <c r="B94" t="str">
        <f t="shared" ref="B94:B96" si="60">B24</f>
        <v>T-LGT-ICE_DST00</v>
      </c>
      <c r="C94" t="s">
        <v>744</v>
      </c>
      <c r="D94" s="310">
        <f>AVERAGE(D133:D134)/1000</f>
        <v>20.794499999999999</v>
      </c>
      <c r="E94" s="310">
        <f t="shared" ref="E94:AD94" si="61">AVERAGE(E133:E134)/1000</f>
        <v>20.6495</v>
      </c>
      <c r="F94" s="310">
        <f t="shared" si="61"/>
        <v>22.375</v>
      </c>
      <c r="G94" s="310">
        <f t="shared" si="61"/>
        <v>21.454000000000001</v>
      </c>
      <c r="H94" s="310">
        <f t="shared" si="61"/>
        <v>20.001000000000001</v>
      </c>
      <c r="I94" s="310">
        <f t="shared" si="61"/>
        <v>20.641500000000001</v>
      </c>
      <c r="J94" s="310">
        <f t="shared" si="61"/>
        <v>20.355</v>
      </c>
      <c r="K94" s="310">
        <f t="shared" si="61"/>
        <v>20.972999999999999</v>
      </c>
      <c r="L94" s="310">
        <f t="shared" si="61"/>
        <v>21.956499999999998</v>
      </c>
      <c r="M94" s="310">
        <f t="shared" si="61"/>
        <v>20.138500000000001</v>
      </c>
      <c r="N94" s="310">
        <f t="shared" si="61"/>
        <v>20.660499999999999</v>
      </c>
      <c r="O94" s="310">
        <f t="shared" si="61"/>
        <v>20.590499999999999</v>
      </c>
      <c r="P94" s="310">
        <f t="shared" si="61"/>
        <v>19.901</v>
      </c>
      <c r="Q94" s="310">
        <f t="shared" si="61"/>
        <v>20.317499999999999</v>
      </c>
      <c r="R94" s="310">
        <f t="shared" si="61"/>
        <v>19.6965</v>
      </c>
      <c r="S94" s="310">
        <f t="shared" si="61"/>
        <v>20.023499999999999</v>
      </c>
      <c r="T94" s="310">
        <f t="shared" si="61"/>
        <v>21.157</v>
      </c>
      <c r="U94" s="310">
        <f t="shared" si="61"/>
        <v>19.945499999999999</v>
      </c>
      <c r="V94" s="310">
        <f t="shared" si="61"/>
        <v>18.807500000000001</v>
      </c>
      <c r="W94" s="310">
        <f t="shared" si="61"/>
        <v>20.356000000000002</v>
      </c>
      <c r="X94" s="310">
        <f t="shared" si="61"/>
        <v>20.490500000000001</v>
      </c>
      <c r="Y94" s="310">
        <f t="shared" si="61"/>
        <v>20.330500000000001</v>
      </c>
      <c r="Z94" s="310">
        <f t="shared" si="61"/>
        <v>20.715499999999999</v>
      </c>
      <c r="AA94" s="310">
        <f t="shared" si="61"/>
        <v>19.79</v>
      </c>
      <c r="AB94" s="310">
        <f t="shared" si="61"/>
        <v>20.96</v>
      </c>
      <c r="AC94" s="310">
        <f t="shared" si="61"/>
        <v>19.359000000000002</v>
      </c>
      <c r="AD94" s="310">
        <f t="shared" si="61"/>
        <v>20.867999999999999</v>
      </c>
      <c r="AE94" s="310" t="str">
        <f>AE93</f>
        <v>CSO, Table THA19</v>
      </c>
    </row>
    <row r="95" spans="2:31">
      <c r="B95" t="str">
        <f t="shared" si="60"/>
        <v>T-MGT-ICE_DST00</v>
      </c>
      <c r="C95" t="s">
        <v>744</v>
      </c>
      <c r="D95" s="310">
        <f>AVERAGE(D135:D136)/1000</f>
        <v>29.397500000000001</v>
      </c>
      <c r="E95" s="310">
        <f t="shared" ref="E95:AD95" si="62">AVERAGE(E135:E136)/1000</f>
        <v>31.172499999999999</v>
      </c>
      <c r="F95" s="310">
        <f t="shared" si="62"/>
        <v>33.305999999999997</v>
      </c>
      <c r="G95" s="310">
        <f t="shared" si="62"/>
        <v>25.042000000000002</v>
      </c>
      <c r="H95" s="310">
        <f t="shared" si="62"/>
        <v>24.787500000000001</v>
      </c>
      <c r="I95" s="310">
        <f t="shared" si="62"/>
        <v>26.09</v>
      </c>
      <c r="J95" s="310">
        <f t="shared" si="62"/>
        <v>24.6065</v>
      </c>
      <c r="K95" s="310">
        <f t="shared" si="62"/>
        <v>29.489000000000001</v>
      </c>
      <c r="L95" s="310">
        <f t="shared" si="62"/>
        <v>28.097000000000001</v>
      </c>
      <c r="M95" s="310">
        <f t="shared" si="62"/>
        <v>24.5305</v>
      </c>
      <c r="N95" s="310">
        <f t="shared" si="62"/>
        <v>26.7775</v>
      </c>
      <c r="O95" s="310">
        <f t="shared" si="62"/>
        <v>32.348999999999997</v>
      </c>
      <c r="P95" s="310">
        <f t="shared" si="62"/>
        <v>26.45</v>
      </c>
      <c r="Q95" s="310">
        <f t="shared" si="62"/>
        <v>25.686</v>
      </c>
      <c r="R95" s="310">
        <f t="shared" si="62"/>
        <v>29.422000000000001</v>
      </c>
      <c r="S95" s="310">
        <f t="shared" si="62"/>
        <v>26.604500000000002</v>
      </c>
      <c r="T95" s="310">
        <f t="shared" si="62"/>
        <v>30.3155</v>
      </c>
      <c r="U95" s="310">
        <f t="shared" si="62"/>
        <v>26.679500000000001</v>
      </c>
      <c r="V95" s="310">
        <f t="shared" si="62"/>
        <v>25.986000000000001</v>
      </c>
      <c r="W95" s="310">
        <f t="shared" si="62"/>
        <v>28.8355</v>
      </c>
      <c r="X95" s="310">
        <f t="shared" si="62"/>
        <v>26.519500000000001</v>
      </c>
      <c r="Y95" s="310">
        <f t="shared" si="62"/>
        <v>27.371500000000001</v>
      </c>
      <c r="Z95" s="310">
        <f t="shared" si="62"/>
        <v>34.000500000000002</v>
      </c>
      <c r="AA95" s="310">
        <f t="shared" si="62"/>
        <v>22.640499999999999</v>
      </c>
      <c r="AB95" s="310">
        <f t="shared" si="62"/>
        <v>30.84</v>
      </c>
      <c r="AC95" s="310">
        <f t="shared" si="62"/>
        <v>23.1995</v>
      </c>
      <c r="AD95" s="310">
        <f t="shared" si="62"/>
        <v>31.799499999999998</v>
      </c>
      <c r="AE95" s="310" t="str">
        <f>AE93</f>
        <v>CSO, Table THA19</v>
      </c>
    </row>
    <row r="96" spans="2:31">
      <c r="B96" t="str">
        <f t="shared" si="60"/>
        <v>T-HGT-ICE_DST00</v>
      </c>
      <c r="C96" t="s">
        <v>744</v>
      </c>
      <c r="D96" s="311">
        <f>AVERAGE(D137:D138)/1000</f>
        <v>50.915999999999997</v>
      </c>
      <c r="E96" s="311">
        <f t="shared" ref="E96:AD96" si="63">AVERAGE(E137:E138)/1000</f>
        <v>48.8825</v>
      </c>
      <c r="F96" s="311">
        <f t="shared" si="63"/>
        <v>49.607999999999997</v>
      </c>
      <c r="G96" s="311">
        <f t="shared" si="63"/>
        <v>54.716999999999999</v>
      </c>
      <c r="H96" s="311">
        <f t="shared" si="63"/>
        <v>59.597000000000001</v>
      </c>
      <c r="I96" s="311">
        <f t="shared" si="63"/>
        <v>52.476999999999997</v>
      </c>
      <c r="J96" s="311">
        <f t="shared" si="63"/>
        <v>51.298000000000002</v>
      </c>
      <c r="K96" s="311">
        <f t="shared" si="63"/>
        <v>51.7545</v>
      </c>
      <c r="L96" s="311">
        <f t="shared" si="63"/>
        <v>50.350499999999997</v>
      </c>
      <c r="M96" s="311">
        <f t="shared" si="63"/>
        <v>49.205500000000001</v>
      </c>
      <c r="N96" s="311">
        <f t="shared" si="63"/>
        <v>48.326999999999998</v>
      </c>
      <c r="O96" s="311">
        <f t="shared" si="63"/>
        <v>56.772500000000001</v>
      </c>
      <c r="P96" s="311">
        <f t="shared" si="63"/>
        <v>48.652999999999999</v>
      </c>
      <c r="Q96" s="311">
        <f t="shared" si="63"/>
        <v>48.671999999999997</v>
      </c>
      <c r="R96" s="311">
        <f t="shared" si="63"/>
        <v>51.267000000000003</v>
      </c>
      <c r="S96" s="311">
        <f t="shared" si="63"/>
        <v>47.985999999999997</v>
      </c>
      <c r="T96" s="311">
        <f t="shared" si="63"/>
        <v>54.374499999999998</v>
      </c>
      <c r="U96" s="311">
        <f t="shared" si="63"/>
        <v>45.490499999999997</v>
      </c>
      <c r="V96" s="311">
        <f t="shared" si="63"/>
        <v>50.088500000000003</v>
      </c>
      <c r="W96" s="311">
        <f t="shared" si="63"/>
        <v>42.529499999999999</v>
      </c>
      <c r="X96" s="311">
        <f t="shared" si="63"/>
        <v>52.52</v>
      </c>
      <c r="Y96" s="311">
        <f t="shared" si="63"/>
        <v>37.160499999999999</v>
      </c>
      <c r="Z96" s="311">
        <f t="shared" si="63"/>
        <v>48.639000000000003</v>
      </c>
      <c r="AA96" s="311">
        <f t="shared" si="63"/>
        <v>46.78</v>
      </c>
      <c r="AB96" s="311">
        <f t="shared" si="63"/>
        <v>61.667499999999997</v>
      </c>
      <c r="AC96" s="311">
        <f t="shared" si="63"/>
        <v>47.325000000000003</v>
      </c>
      <c r="AD96" s="311">
        <f t="shared" si="63"/>
        <v>57.072000000000003</v>
      </c>
      <c r="AE96" s="5" t="str">
        <f>AE95</f>
        <v>CSO, Table THA19</v>
      </c>
    </row>
    <row r="97" spans="2:30">
      <c r="B97" s="79" t="str">
        <f>B27</f>
        <v>T-GTR-ICE_DST00</v>
      </c>
      <c r="C97" s="79" t="s">
        <v>744</v>
      </c>
      <c r="D97" s="312">
        <v>39.363999999999997</v>
      </c>
      <c r="E97" s="250">
        <f>D97</f>
        <v>39.363999999999997</v>
      </c>
      <c r="F97" s="250">
        <f t="shared" ref="F97" si="64">E97</f>
        <v>39.363999999999997</v>
      </c>
      <c r="G97" s="250">
        <f t="shared" ref="G97" si="65">F97</f>
        <v>39.363999999999997</v>
      </c>
      <c r="H97" s="250">
        <f t="shared" ref="H97" si="66">G97</f>
        <v>39.363999999999997</v>
      </c>
      <c r="I97" s="250">
        <f t="shared" ref="I97" si="67">H97</f>
        <v>39.363999999999997</v>
      </c>
      <c r="J97" s="250">
        <f t="shared" ref="J97" si="68">I97</f>
        <v>39.363999999999997</v>
      </c>
      <c r="K97" s="250">
        <f t="shared" ref="K97" si="69">J97</f>
        <v>39.363999999999997</v>
      </c>
      <c r="L97" s="250">
        <f t="shared" ref="L97" si="70">K97</f>
        <v>39.363999999999997</v>
      </c>
      <c r="M97" s="250">
        <f t="shared" ref="M97" si="71">L97</f>
        <v>39.363999999999997</v>
      </c>
      <c r="N97" s="250">
        <f t="shared" ref="N97" si="72">M97</f>
        <v>39.363999999999997</v>
      </c>
      <c r="O97" s="250">
        <f t="shared" ref="O97" si="73">N97</f>
        <v>39.363999999999997</v>
      </c>
      <c r="P97" s="250">
        <f t="shared" ref="P97" si="74">O97</f>
        <v>39.363999999999997</v>
      </c>
      <c r="Q97" s="250">
        <f t="shared" ref="Q97" si="75">P97</f>
        <v>39.363999999999997</v>
      </c>
      <c r="R97" s="250">
        <f t="shared" ref="R97" si="76">Q97</f>
        <v>39.363999999999997</v>
      </c>
      <c r="S97" s="250">
        <f t="shared" ref="S97" si="77">R97</f>
        <v>39.363999999999997</v>
      </c>
      <c r="T97" s="250">
        <f t="shared" ref="T97" si="78">S97</f>
        <v>39.363999999999997</v>
      </c>
      <c r="U97" s="250">
        <f t="shared" ref="U97" si="79">T97</f>
        <v>39.363999999999997</v>
      </c>
      <c r="V97" s="250">
        <f t="shared" ref="V97" si="80">U97</f>
        <v>39.363999999999997</v>
      </c>
      <c r="W97" s="250">
        <f t="shared" ref="W97" si="81">V97</f>
        <v>39.363999999999997</v>
      </c>
      <c r="X97" s="250">
        <f t="shared" ref="X97" si="82">W97</f>
        <v>39.363999999999997</v>
      </c>
      <c r="Y97" s="250">
        <f t="shared" ref="Y97" si="83">X97</f>
        <v>39.363999999999997</v>
      </c>
      <c r="Z97" s="250">
        <f t="shared" ref="Z97" si="84">Y97</f>
        <v>39.363999999999997</v>
      </c>
      <c r="AA97" s="250">
        <f t="shared" ref="AA97" si="85">Z97</f>
        <v>39.363999999999997</v>
      </c>
      <c r="AB97" s="250">
        <f t="shared" ref="AB97" si="86">AA97</f>
        <v>39.363999999999997</v>
      </c>
      <c r="AC97" s="250">
        <f t="shared" ref="AC97" si="87">AB97</f>
        <v>39.363999999999997</v>
      </c>
      <c r="AD97" s="250">
        <f t="shared" ref="AD97" si="88">AC97</f>
        <v>39.363999999999997</v>
      </c>
    </row>
    <row r="105" spans="2:30" ht="18.5">
      <c r="B105" s="270" t="s">
        <v>780</v>
      </c>
    </row>
    <row r="106" spans="2:30" ht="15" thickBot="1">
      <c r="B106" s="35" t="s">
        <v>69</v>
      </c>
      <c r="C106" s="35" t="s">
        <v>94</v>
      </c>
      <c r="D106" s="146" t="str">
        <f t="shared" ref="D106:AD106" si="89">D3</f>
        <v>IE</v>
      </c>
      <c r="E106" s="146" t="str">
        <f t="shared" si="89"/>
        <v>IE-CW</v>
      </c>
      <c r="F106" s="146" t="str">
        <f t="shared" si="89"/>
        <v>IE-D</v>
      </c>
      <c r="G106" s="146" t="str">
        <f t="shared" si="89"/>
        <v>IE-KE</v>
      </c>
      <c r="H106" s="146" t="str">
        <f t="shared" si="89"/>
        <v>IE-KK</v>
      </c>
      <c r="I106" s="146" t="str">
        <f t="shared" si="89"/>
        <v>IE-LS</v>
      </c>
      <c r="J106" s="146" t="str">
        <f t="shared" si="89"/>
        <v>IE-LD</v>
      </c>
      <c r="K106" s="146" t="str">
        <f t="shared" si="89"/>
        <v>IE-LH</v>
      </c>
      <c r="L106" s="146" t="str">
        <f t="shared" si="89"/>
        <v>IE-MH</v>
      </c>
      <c r="M106" s="146" t="str">
        <f t="shared" si="89"/>
        <v>IE-OY</v>
      </c>
      <c r="N106" s="146" t="str">
        <f t="shared" si="89"/>
        <v>IE-WH</v>
      </c>
      <c r="O106" s="146" t="str">
        <f t="shared" si="89"/>
        <v>IE-WX</v>
      </c>
      <c r="P106" s="146" t="str">
        <f t="shared" si="89"/>
        <v>IE-WW</v>
      </c>
      <c r="Q106" s="146" t="str">
        <f t="shared" si="89"/>
        <v>IE-CE</v>
      </c>
      <c r="R106" s="146" t="str">
        <f t="shared" si="89"/>
        <v>IE-CO</v>
      </c>
      <c r="S106" s="146" t="str">
        <f t="shared" si="89"/>
        <v>IE-KY</v>
      </c>
      <c r="T106" s="146" t="str">
        <f t="shared" si="89"/>
        <v>IE-LK</v>
      </c>
      <c r="U106" s="146" t="str">
        <f t="shared" si="89"/>
        <v>IE-TA</v>
      </c>
      <c r="V106" s="146" t="str">
        <f t="shared" si="89"/>
        <v>IE-WD</v>
      </c>
      <c r="W106" s="146" t="str">
        <f t="shared" si="89"/>
        <v>IE-G</v>
      </c>
      <c r="X106" s="146" t="str">
        <f t="shared" si="89"/>
        <v>IE-LM</v>
      </c>
      <c r="Y106" s="146" t="str">
        <f t="shared" si="89"/>
        <v>IE-MO</v>
      </c>
      <c r="Z106" s="146" t="str">
        <f t="shared" si="89"/>
        <v>IE-RN</v>
      </c>
      <c r="AA106" s="146" t="str">
        <f t="shared" si="89"/>
        <v>IE-SO</v>
      </c>
      <c r="AB106" s="146" t="str">
        <f t="shared" si="89"/>
        <v>IE-CN</v>
      </c>
      <c r="AC106" s="146" t="str">
        <f t="shared" si="89"/>
        <v>IE-DL</v>
      </c>
      <c r="AD106" s="146" t="str">
        <f t="shared" si="89"/>
        <v>IE-MN</v>
      </c>
    </row>
    <row r="107" spans="2:30">
      <c r="B107" t="str">
        <f t="shared" ref="B107:B124" si="90">B6</f>
        <v>T-MOT-ICE_GSL00</v>
      </c>
      <c r="C107" t="s">
        <v>781</v>
      </c>
      <c r="D107" s="10">
        <f>Stock!G6*AF!D76*ACT2FLO!E52*AF!D42</f>
        <v>0.1197193932</v>
      </c>
      <c r="E107" s="10">
        <f>Stock!H6*AF!E76*ACT2FLO!F52*AF!E42</f>
        <v>1.6330940999999999E-3</v>
      </c>
      <c r="F107" s="10">
        <f>Stock!I6*AF!F76*ACT2FLO!G52*AF!F42</f>
        <v>3.8829524800000001E-2</v>
      </c>
      <c r="G107" s="10">
        <f>Stock!J6*AF!G76*ACT2FLO!H52*AF!G42</f>
        <v>6.505734400000001E-3</v>
      </c>
      <c r="H107" s="10">
        <f>Stock!K6*AF!H76*ACT2FLO!I52*AF!H42</f>
        <v>2.5437984E-3</v>
      </c>
      <c r="I107" s="10">
        <f>Stock!L6*AF!I76*ACT2FLO!J52*AF!I42</f>
        <v>1.5292530000000002E-3</v>
      </c>
      <c r="J107" s="10">
        <f>Stock!M6*AF!J76*ACT2FLO!K52*AF!J42</f>
        <v>6.2534670000000006E-4</v>
      </c>
      <c r="K107" s="10">
        <f>Stock!N6*AF!K76*ACT2FLO!L52*AF!K42</f>
        <v>2.5938990000000002E-3</v>
      </c>
      <c r="L107" s="10">
        <f>Stock!O6*AF!L76*ACT2FLO!M52*AF!L42</f>
        <v>5.0422328000000001E-3</v>
      </c>
      <c r="M107" s="10">
        <f>Stock!P6*AF!M76*ACT2FLO!N52*AF!M42</f>
        <v>1.9545504000000003E-3</v>
      </c>
      <c r="N107" s="10">
        <f>Stock!Q6*AF!N76*ACT2FLO!O52*AF!N42</f>
        <v>1.7978664000000001E-3</v>
      </c>
      <c r="O107" s="10">
        <f>Stock!R6*AF!O76*ACT2FLO!P52*AF!O42</f>
        <v>4.4015862000000008E-3</v>
      </c>
      <c r="P107" s="10">
        <f>Stock!S6*AF!P76*ACT2FLO!Q52*AF!P42</f>
        <v>4.6495680000000015E-3</v>
      </c>
      <c r="Q107" s="10">
        <f>Stock!T6*AF!Q76*ACT2FLO!R52*AF!Q42</f>
        <v>2.7707064000000005E-3</v>
      </c>
      <c r="R107" s="10">
        <f>Stock!U6*AF!R76*ACT2FLO!S52*AF!R42</f>
        <v>1.6120473600000004E-2</v>
      </c>
      <c r="S107" s="10">
        <f>Stock!V6*AF!S76*ACT2FLO!T52*AF!S42</f>
        <v>3.1307760000000005E-3</v>
      </c>
      <c r="T107" s="10">
        <f>Stock!W6*AF!T76*ACT2FLO!U52*AF!T42</f>
        <v>4.4223300000000012E-3</v>
      </c>
      <c r="U107" s="10">
        <f>Stock!X6*AF!U76*ACT2FLO!V52*AF!U42</f>
        <v>4.1843208000000003E-3</v>
      </c>
      <c r="V107" s="10">
        <f>Stock!Y6*AF!V76*ACT2FLO!W52*AF!V42</f>
        <v>3.7662504000000002E-3</v>
      </c>
      <c r="W107" s="10">
        <f>Stock!Z6*AF!W76*ACT2FLO!X52*AF!W42</f>
        <v>4.3318638000000003E-3</v>
      </c>
      <c r="X107" s="10">
        <f>Stock!AA6*AF!X76*ACT2FLO!Y52*AF!X42</f>
        <v>4.7960000000000006E-4</v>
      </c>
      <c r="Y107" s="10">
        <f>Stock!AB6*AF!Y76*ACT2FLO!Z52*AF!Y42</f>
        <v>1.8088290000000003E-3</v>
      </c>
      <c r="Z107" s="10">
        <f>Stock!AC6*AF!Z76*ACT2FLO!AA52*AF!Z42</f>
        <v>8.8556050000000014E-4</v>
      </c>
      <c r="AA107" s="10">
        <f>Stock!AD6*AF!AA76*ACT2FLO!AB52*AF!AA42</f>
        <v>1.1651200000000002E-3</v>
      </c>
      <c r="AB107" s="10">
        <f>Stock!AE6*AF!AB76*ACT2FLO!AC52*AF!AB42</f>
        <v>1.3359808000000001E-3</v>
      </c>
      <c r="AC107" s="10">
        <f>Stock!AF6*AF!AC76*ACT2FLO!AD52*AF!AC42</f>
        <v>2.2612128000000006E-3</v>
      </c>
      <c r="AD107" s="10">
        <f>Stock!AG6*AF!AD76*ACT2FLO!AE52*AF!AD42</f>
        <v>9.2045800000000008E-4</v>
      </c>
    </row>
    <row r="108" spans="2:30">
      <c r="B108" t="str">
        <f t="shared" si="90"/>
        <v>T-CAR-ICE_GSL00</v>
      </c>
      <c r="C108" t="s">
        <v>781</v>
      </c>
      <c r="D108" s="10">
        <f>Stock!G8*AF!D77*ACT2FLO!E53*AF!D43</f>
        <v>18.106909533018577</v>
      </c>
      <c r="E108" s="10">
        <f>Stock!H8*AF!E77*ACT2FLO!F53*AF!E43</f>
        <v>0.2180668061497526</v>
      </c>
      <c r="F108" s="10">
        <f>Stock!I8*AF!F77*ACT2FLO!G53*AF!F43</f>
        <v>4.9233031702123737</v>
      </c>
      <c r="G108" s="10">
        <f>Stock!J8*AF!G77*ACT2FLO!H53*AF!G43</f>
        <v>0.89867525711270679</v>
      </c>
      <c r="H108" s="10">
        <f>Stock!K8*AF!H77*ACT2FLO!I53*AF!H43</f>
        <v>0.35621826432787701</v>
      </c>
      <c r="I108" s="10">
        <f>Stock!L8*AF!I77*ACT2FLO!J53*AF!I43</f>
        <v>0.26035967063828375</v>
      </c>
      <c r="J108" s="10">
        <f>Stock!M8*AF!J77*ACT2FLO!K53*AF!J43</f>
        <v>0.12142540026648706</v>
      </c>
      <c r="K108" s="10">
        <f>Stock!N8*AF!K77*ACT2FLO!L53*AF!K43</f>
        <v>0.40758491177739253</v>
      </c>
      <c r="L108" s="10">
        <f>Stock!O8*AF!L77*ACT2FLO!M53*AF!L43</f>
        <v>0.71169733840297489</v>
      </c>
      <c r="M108" s="10">
        <f>Stock!P8*AF!M77*ACT2FLO!N53*AF!M43</f>
        <v>0.25829816876126876</v>
      </c>
      <c r="N108" s="10">
        <f>Stock!Q8*AF!N77*ACT2FLO!O53*AF!N43</f>
        <v>0.2991226507134559</v>
      </c>
      <c r="O108" s="10">
        <f>Stock!R8*AF!O77*ACT2FLO!P53*AF!O43</f>
        <v>0.60802543695906919</v>
      </c>
      <c r="P108" s="10">
        <f>Stock!S8*AF!P77*ACT2FLO!Q53*AF!P43</f>
        <v>0.65724766249917688</v>
      </c>
      <c r="Q108" s="10">
        <f>Stock!T8*AF!Q77*ACT2FLO!R53*AF!Q43</f>
        <v>0.50957748114378698</v>
      </c>
      <c r="R108" s="10">
        <f>Stock!U8*AF!R77*ACT2FLO!S53*AF!R43</f>
        <v>2.3638367240963061</v>
      </c>
      <c r="S108" s="10">
        <f>Stock!V8*AF!S77*ACT2FLO!T53*AF!S43</f>
        <v>0.65770096693205482</v>
      </c>
      <c r="T108" s="10">
        <f>Stock!W8*AF!T77*ACT2FLO!U53*AF!T43</f>
        <v>0.8065904350240175</v>
      </c>
      <c r="U108" s="10">
        <f>Stock!X8*AF!U77*ACT2FLO!V53*AF!U43</f>
        <v>0.65539351143153579</v>
      </c>
      <c r="V108" s="10">
        <f>Stock!Y8*AF!V77*ACT2FLO!W53*AF!V43</f>
        <v>0.5322909619003956</v>
      </c>
      <c r="W108" s="10">
        <f>Stock!Z8*AF!W77*ACT2FLO!X53*AF!W43</f>
        <v>0.92681031385224144</v>
      </c>
      <c r="X108" s="10">
        <f>Stock!AA8*AF!X77*ACT2FLO!Y53*AF!X43</f>
        <v>0.10794145802976565</v>
      </c>
      <c r="Y108" s="10">
        <f>Stock!AB8*AF!Y77*ACT2FLO!Z53*AF!Y43</f>
        <v>0.46754381486504826</v>
      </c>
      <c r="Z108" s="10">
        <f>Stock!AC8*AF!Z77*ACT2FLO!AA53*AF!Z43</f>
        <v>0.27464659706446604</v>
      </c>
      <c r="AA108" s="10">
        <f>Stock!AD8*AF!AA77*ACT2FLO!AB53*AF!AA43</f>
        <v>0.23557582545621453</v>
      </c>
      <c r="AB108" s="10">
        <f>Stock!AE8*AF!AB77*ACT2FLO!AC53*AF!AB43</f>
        <v>0.22418342078047424</v>
      </c>
      <c r="AC108" s="10">
        <f>Stock!AF8*AF!AC77*ACT2FLO!AD53*AF!AC43</f>
        <v>0.46374261412430856</v>
      </c>
      <c r="AD108" s="10">
        <f>Stock!AG8*AF!AD77*ACT2FLO!AE53*AF!AD43</f>
        <v>0.1614070747496574</v>
      </c>
    </row>
    <row r="109" spans="2:30">
      <c r="B109" t="str">
        <f t="shared" si="90"/>
        <v>T-CAR-ICE_DST00</v>
      </c>
      <c r="C109" t="s">
        <v>781</v>
      </c>
      <c r="D109" s="10">
        <f>Stock!G9*AF!D78*ACT2FLO!E54*AF!D44</f>
        <v>34.741372332081305</v>
      </c>
      <c r="E109" s="10">
        <f>Stock!H9*AF!E78*ACT2FLO!F54*AF!E44</f>
        <v>0.56367215826992334</v>
      </c>
      <c r="F109" s="10">
        <f>Stock!I9*AF!F78*ACT2FLO!G54*AF!F44</f>
        <v>6.0973032808917331</v>
      </c>
      <c r="G109" s="10">
        <f>Stock!J9*AF!G78*ACT2FLO!H54*AF!G44</f>
        <v>1.7730201152173173</v>
      </c>
      <c r="H109" s="10">
        <f>Stock!K9*AF!H78*ACT2FLO!I54*AF!H44</f>
        <v>0.86560465907990058</v>
      </c>
      <c r="I109" s="10">
        <f>Stock!L9*AF!I78*ACT2FLO!J54*AF!I44</f>
        <v>0.73387771001437219</v>
      </c>
      <c r="J109" s="10">
        <f>Stock!M9*AF!J78*ACT2FLO!K54*AF!J44</f>
        <v>0.38208656018117776</v>
      </c>
      <c r="K109" s="10">
        <f>Stock!N9*AF!K78*ACT2FLO!L54*AF!K44</f>
        <v>0.92101499942692677</v>
      </c>
      <c r="L109" s="10">
        <f>Stock!O9*AF!L78*ACT2FLO!M54*AF!L44</f>
        <v>1.6579702443091546</v>
      </c>
      <c r="M109" s="10">
        <f>Stock!P9*AF!M78*ACT2FLO!N54*AF!M44</f>
        <v>0.71686405345360538</v>
      </c>
      <c r="N109" s="10">
        <f>Stock!Q9*AF!N78*ACT2FLO!O54*AF!N44</f>
        <v>0.85850336309646769</v>
      </c>
      <c r="O109" s="10">
        <f>Stock!R9*AF!O78*ACT2FLO!P54*AF!O44</f>
        <v>1.436417932136778</v>
      </c>
      <c r="P109" s="10">
        <f>Stock!S9*AF!P78*ACT2FLO!Q54*AF!P44</f>
        <v>1.0407944140734382</v>
      </c>
      <c r="Q109" s="10">
        <f>Stock!T9*AF!Q78*ACT2FLO!R54*AF!Q44</f>
        <v>1.0705664058910511</v>
      </c>
      <c r="R109" s="10">
        <f>Stock!U9*AF!R78*ACT2FLO!S54*AF!R44</f>
        <v>3.9615302847675804</v>
      </c>
      <c r="S109" s="10">
        <f>Stock!V9*AF!S78*ACT2FLO!T54*AF!S44</f>
        <v>1.228876703300243</v>
      </c>
      <c r="T109" s="10">
        <f>Stock!W9*AF!T78*ACT2FLO!U54*AF!T44</f>
        <v>1.5260443384910798</v>
      </c>
      <c r="U109" s="10">
        <f>Stock!X9*AF!U78*ACT2FLO!V54*AF!U44</f>
        <v>1.5853264979762327</v>
      </c>
      <c r="V109" s="10">
        <f>Stock!Y9*AF!V78*ACT2FLO!W54*AF!V44</f>
        <v>0.9197913097643502</v>
      </c>
      <c r="W109" s="10">
        <f>Stock!Z9*AF!W78*ACT2FLO!X54*AF!W44</f>
        <v>2.116889456726248</v>
      </c>
      <c r="X109" s="10">
        <f>Stock!AA9*AF!X78*ACT2FLO!Y54*AF!X44</f>
        <v>0.31427002615290101</v>
      </c>
      <c r="Y109" s="10">
        <f>Stock!AB9*AF!Y78*ACT2FLO!Z54*AF!Y44</f>
        <v>1.2155497579760115</v>
      </c>
      <c r="Z109" s="10">
        <f>Stock!AC9*AF!Z78*ACT2FLO!AA54*AF!Z44</f>
        <v>0.70441238326113909</v>
      </c>
      <c r="AA109" s="10">
        <f>Stock!AD9*AF!AA78*ACT2FLO!AB54*AF!AA44</f>
        <v>0.54064340354244822</v>
      </c>
      <c r="AB109" s="10">
        <f>Stock!AE9*AF!AB78*ACT2FLO!AC54*AF!AB44</f>
        <v>0.6821766580222447</v>
      </c>
      <c r="AC109" s="10">
        <f>Stock!AF9*AF!AC78*ACT2FLO!AD54*AF!AC44</f>
        <v>1.2609269131605734</v>
      </c>
      <c r="AD109" s="10">
        <f>Stock!AG9*AF!AD78*ACT2FLO!AE54*AF!AD44</f>
        <v>0.56787787168272141</v>
      </c>
    </row>
    <row r="110" spans="2:30">
      <c r="B110" t="str">
        <f t="shared" si="90"/>
        <v>T-CAR-ICE_DF00</v>
      </c>
      <c r="C110" t="s">
        <v>781</v>
      </c>
      <c r="D110" s="10">
        <f>Stock!G10*AF!D79*ACT2FLO!E55*AF!D45</f>
        <v>1.3439263951670231E-3</v>
      </c>
      <c r="E110" s="10">
        <f>Stock!H10*AF!E79*ACT2FLO!F55*AF!E45</f>
        <v>0</v>
      </c>
      <c r="F110" s="10">
        <f>Stock!I10*AF!F79*ACT2FLO!G55*AF!F45</f>
        <v>5.3670041694669395E-4</v>
      </c>
      <c r="G110" s="10">
        <f>Stock!J10*AF!G79*ACT2FLO!H55*AF!G45</f>
        <v>2.0758356317148401E-5</v>
      </c>
      <c r="H110" s="10">
        <f>Stock!K10*AF!H79*ACT2FLO!I55*AF!H45</f>
        <v>2.1422301444808215E-5</v>
      </c>
      <c r="I110" s="10">
        <f>Stock!L10*AF!I79*ACT2FLO!J55*AF!I45</f>
        <v>0</v>
      </c>
      <c r="J110" s="10">
        <f>Stock!M10*AF!J79*ACT2FLO!K55*AF!J45</f>
        <v>4.1788258731452048E-5</v>
      </c>
      <c r="K110" s="10">
        <f>Stock!N10*AF!K79*ACT2FLO!L55*AF!K45</f>
        <v>2.0013842567255704E-5</v>
      </c>
      <c r="L110" s="10">
        <f>Stock!O10*AF!L79*ACT2FLO!M55*AF!L45</f>
        <v>4.2083677012972596E-5</v>
      </c>
      <c r="M110" s="10">
        <f>Stock!P10*AF!M79*ACT2FLO!N55*AF!M45</f>
        <v>6.4915929346856155E-5</v>
      </c>
      <c r="N110" s="10">
        <f>Stock!Q10*AF!N79*ACT2FLO!O55*AF!N45</f>
        <v>2.0901589423340182E-5</v>
      </c>
      <c r="O110" s="10">
        <f>Stock!R10*AF!O79*ACT2FLO!P55*AF!O45</f>
        <v>6.3255320521945197E-5</v>
      </c>
      <c r="P110" s="10">
        <f>Stock!S10*AF!P79*ACT2FLO!Q55*AF!P45</f>
        <v>1.0380670170097029E-4</v>
      </c>
      <c r="Q110" s="10">
        <f>Stock!T10*AF!Q79*ACT2FLO!R55*AF!Q45</f>
        <v>2.1004538218415522E-5</v>
      </c>
      <c r="R110" s="10">
        <f>Stock!U10*AF!R79*ACT2FLO!S55*AF!R45</f>
        <v>9.9629069437043359E-5</v>
      </c>
      <c r="S110" s="10">
        <f>Stock!V10*AF!S79*ACT2FLO!T55*AF!S45</f>
        <v>6.1679756353835605E-5</v>
      </c>
      <c r="T110" s="10">
        <f>Stock!W10*AF!T79*ACT2FLO!U55*AF!T45</f>
        <v>4.1543568841707758E-5</v>
      </c>
      <c r="U110" s="10">
        <f>Stock!X10*AF!U79*ACT2FLO!V55*AF!U45</f>
        <v>0</v>
      </c>
      <c r="V110" s="10">
        <f>Stock!Y10*AF!V79*ACT2FLO!W55*AF!V45</f>
        <v>0</v>
      </c>
      <c r="W110" s="10">
        <f>Stock!Z10*AF!W79*ACT2FLO!X55*AF!W45</f>
        <v>1.454964876719155E-4</v>
      </c>
      <c r="X110" s="10">
        <f>Stock!AA10*AF!X79*ACT2FLO!Y55*AF!X45</f>
        <v>0</v>
      </c>
      <c r="Y110" s="10">
        <f>Stock!AB10*AF!Y79*ACT2FLO!Z55*AF!Y45</f>
        <v>0</v>
      </c>
      <c r="Z110" s="10">
        <f>Stock!AC10*AF!Z79*ACT2FLO!AA55*AF!Z45</f>
        <v>0</v>
      </c>
      <c r="AA110" s="10">
        <f>Stock!AD10*AF!AA79*ACT2FLO!AB55*AF!AA45</f>
        <v>0</v>
      </c>
      <c r="AB110" s="10">
        <f>Stock!AE10*AF!AB79*ACT2FLO!AC55*AF!AB45</f>
        <v>0</v>
      </c>
      <c r="AC110" s="10">
        <f>Stock!AF10*AF!AC79*ACT2FLO!AD55*AF!AC45</f>
        <v>4.2683465645150677E-5</v>
      </c>
      <c r="AD110" s="10">
        <f>Stock!AG10*AF!AD79*ACT2FLO!AE55*AF!AD45</f>
        <v>0</v>
      </c>
    </row>
    <row r="111" spans="2:30">
      <c r="B111" t="str">
        <f t="shared" si="90"/>
        <v>T-CAR-ICE_E8500</v>
      </c>
      <c r="C111" t="s">
        <v>781</v>
      </c>
      <c r="D111" s="10">
        <f>Stock!G11*AF!D80*ACT2FLO!E56*AF!D46</f>
        <v>0.17107982424447071</v>
      </c>
      <c r="E111" s="10">
        <f>Stock!H11*AF!E80*ACT2FLO!F56*AF!E46</f>
        <v>2.0603455680848078E-3</v>
      </c>
      <c r="F111" s="10">
        <f>Stock!I11*AF!F80*ACT2FLO!G56*AF!F46</f>
        <v>5.0794860889597816E-3</v>
      </c>
      <c r="G111" s="10">
        <f>Stock!J11*AF!G80*ACT2FLO!H56*AF!G46</f>
        <v>5.8330981251187002E-3</v>
      </c>
      <c r="H111" s="10">
        <f>Stock!K11*AF!H80*ACT2FLO!I56*AF!H46</f>
        <v>1.2296401029319915E-2</v>
      </c>
      <c r="I111" s="10">
        <f>Stock!L11*AF!I80*ACT2FLO!J56*AF!I46</f>
        <v>2.6985475289296981E-3</v>
      </c>
      <c r="J111" s="10">
        <f>Stock!M11*AF!J80*ACT2FLO!K56*AF!J46</f>
        <v>6.6025448795694244E-3</v>
      </c>
      <c r="K111" s="10">
        <f>Stock!N11*AF!K80*ACT2FLO!L56*AF!K46</f>
        <v>8.2056754525748393E-4</v>
      </c>
      <c r="L111" s="10">
        <f>Stock!O11*AF!L80*ACT2FLO!M56*AF!L46</f>
        <v>1.746472596038363E-3</v>
      </c>
      <c r="M111" s="10">
        <f>Stock!P11*AF!M80*ACT2FLO!N56*AF!M46</f>
        <v>1.146848085127792E-3</v>
      </c>
      <c r="N111" s="10">
        <f>Stock!Q11*AF!N80*ACT2FLO!O56*AF!N46</f>
        <v>5.4344132500684468E-3</v>
      </c>
      <c r="O111" s="10">
        <f>Stock!R11*AF!O80*ACT2FLO!P56*AF!O46</f>
        <v>3.7320639107947659E-3</v>
      </c>
      <c r="P111" s="10">
        <f>Stock!S11*AF!P80*ACT2FLO!Q56*AF!P46</f>
        <v>6.5398222071611284E-3</v>
      </c>
      <c r="Q111" s="10">
        <f>Stock!T11*AF!Q80*ACT2FLO!R56*AF!Q46</f>
        <v>4.305930334775181E-3</v>
      </c>
      <c r="R111" s="10">
        <f>Stock!U11*AF!R80*ACT2FLO!S56*AF!R46</f>
        <v>2.3153795737168879E-2</v>
      </c>
      <c r="S111" s="10">
        <f>Stock!V11*AF!S80*ACT2FLO!T56*AF!S46</f>
        <v>7.1959715746141538E-3</v>
      </c>
      <c r="T111" s="10">
        <f>Stock!W11*AF!T80*ACT2FLO!U56*AF!T46</f>
        <v>6.8546888588817798E-4</v>
      </c>
      <c r="U111" s="10">
        <f>Stock!X11*AF!U80*ACT2FLO!V56*AF!U46</f>
        <v>1.5536315987239723E-3</v>
      </c>
      <c r="V111" s="10">
        <f>Stock!Y11*AF!V80*ACT2FLO!W56*AF!V46</f>
        <v>4.7632303745113761E-3</v>
      </c>
      <c r="W111" s="10">
        <f>Stock!Z11*AF!W80*ACT2FLO!X56*AF!W46</f>
        <v>5.4581968089492866E-2</v>
      </c>
      <c r="X111" s="10">
        <f>Stock!AA11*AF!X80*ACT2FLO!Y56*AF!X46</f>
        <v>2.2578625295117507E-3</v>
      </c>
      <c r="Y111" s="10">
        <f>Stock!AB11*AF!Y80*ACT2FLO!Z56*AF!Y46</f>
        <v>5.2297644735623721E-3</v>
      </c>
      <c r="Z111" s="10">
        <f>Stock!AC11*AF!Z80*ACT2FLO!AA56*AF!Z46</f>
        <v>1.795024143002808E-3</v>
      </c>
      <c r="AA111" s="10">
        <f>Stock!AD11*AF!AA80*ACT2FLO!AB56*AF!AA46</f>
        <v>1.5500507710691778E-3</v>
      </c>
      <c r="AB111" s="10">
        <f>Stock!AE11*AF!AB80*ACT2FLO!AC56*AF!AB46</f>
        <v>1.9092406090985704E-3</v>
      </c>
      <c r="AC111" s="10">
        <f>Stock!AF11*AF!AC80*ACT2FLO!AD56*AF!AC46</f>
        <v>3.9482205721764379E-3</v>
      </c>
      <c r="AD111" s="10">
        <f>Stock!AG11*AF!AD80*ACT2FLO!AE56*AF!AD46</f>
        <v>9.712028190163341E-3</v>
      </c>
    </row>
    <row r="112" spans="2:30">
      <c r="B112" t="str">
        <f t="shared" si="90"/>
        <v>T-CAR-HEV_GSL00</v>
      </c>
      <c r="C112" t="s">
        <v>781</v>
      </c>
      <c r="D112" s="10">
        <f>Stock!G12*AF!D81*ACT2FLO!E57*AF!D47</f>
        <v>0.56986872830614188</v>
      </c>
      <c r="E112" s="10">
        <f>Stock!H12*AF!E81*ACT2FLO!F57*AF!E47</f>
        <v>4.1407646591977848E-3</v>
      </c>
      <c r="F112" s="10">
        <f>Stock!I12*AF!F81*ACT2FLO!G57*AF!F47</f>
        <v>1.8235796023371189E-2</v>
      </c>
      <c r="G112" s="10">
        <f>Stock!J12*AF!G81*ACT2FLO!H57*AF!G47</f>
        <v>1.1546062466442087E-2</v>
      </c>
      <c r="H112" s="10">
        <f>Stock!K12*AF!H81*ACT2FLO!I57*AF!H47</f>
        <v>2.9325474545152101E-2</v>
      </c>
      <c r="I112" s="10">
        <f>Stock!L12*AF!I81*ACT2FLO!J57*AF!I47</f>
        <v>7.6693793707508324E-3</v>
      </c>
      <c r="J112" s="10">
        <f>Stock!M12*AF!J81*ACT2FLO!K57*AF!J47</f>
        <v>1.6841393386375275E-2</v>
      </c>
      <c r="K112" s="10">
        <f>Stock!N12*AF!K81*ACT2FLO!L57*AF!K47</f>
        <v>3.127400876971595E-3</v>
      </c>
      <c r="L112" s="10">
        <f>Stock!O12*AF!L81*ACT2FLO!M57*AF!L47</f>
        <v>9.5056606163829646E-3</v>
      </c>
      <c r="M112" s="10">
        <f>Stock!P12*AF!M81*ACT2FLO!N57*AF!M47</f>
        <v>3.3942217736340412E-3</v>
      </c>
      <c r="N112" s="10">
        <f>Stock!Q12*AF!N81*ACT2FLO!O57*AF!N47</f>
        <v>8.6726273148522263E-3</v>
      </c>
      <c r="O112" s="10">
        <f>Stock!R12*AF!O81*ACT2FLO!P57*AF!O47</f>
        <v>1.01490085249701E-2</v>
      </c>
      <c r="P112" s="10">
        <f>Stock!S12*AF!P81*ACT2FLO!Q57*AF!P47</f>
        <v>1.2325769784135321E-2</v>
      </c>
      <c r="Q112" s="10">
        <f>Stock!T12*AF!Q81*ACT2FLO!R57*AF!Q47</f>
        <v>1.0421587094099148E-2</v>
      </c>
      <c r="R112" s="10">
        <f>Stock!U12*AF!R81*ACT2FLO!S57*AF!R47</f>
        <v>5.7112859775613568E-2</v>
      </c>
      <c r="S112" s="10">
        <f>Stock!V12*AF!S81*ACT2FLO!T57*AF!S47</f>
        <v>3.4474003467330899E-2</v>
      </c>
      <c r="T112" s="10">
        <f>Stock!W12*AF!T81*ACT2FLO!U57*AF!T47</f>
        <v>1.8082284449798625E-3</v>
      </c>
      <c r="U112" s="10">
        <f>Stock!X12*AF!U81*ACT2FLO!V57*AF!U47</f>
        <v>5.7990026777989655E-3</v>
      </c>
      <c r="V112" s="10">
        <f>Stock!Y12*AF!V81*ACT2FLO!W57*AF!V47</f>
        <v>1.1073470800608397E-2</v>
      </c>
      <c r="W112" s="10">
        <f>Stock!Z12*AF!W81*ACT2FLO!X57*AF!W47</f>
        <v>0.27446287971761374</v>
      </c>
      <c r="X112" s="10">
        <f>Stock!AA12*AF!X81*ACT2FLO!Y57*AF!X47</f>
        <v>6.6797072394956776E-3</v>
      </c>
      <c r="Y112" s="10">
        <f>Stock!AB12*AF!Y81*ACT2FLO!Z57*AF!Y47</f>
        <v>1.2166490094015492E-2</v>
      </c>
      <c r="Z112" s="10">
        <f>Stock!AC12*AF!Z81*ACT2FLO!AA57*AF!Z47</f>
        <v>7.9611034317408503E-3</v>
      </c>
      <c r="AA112" s="10">
        <f>Stock!AD12*AF!AA81*ACT2FLO!AB57*AF!AA47</f>
        <v>5.308017493911815E-3</v>
      </c>
      <c r="AB112" s="10">
        <f>Stock!AE12*AF!AB81*ACT2FLO!AC57*AF!AB47</f>
        <v>5.4306354768926379E-3</v>
      </c>
      <c r="AC112" s="10">
        <f>Stock!AF12*AF!AC81*ACT2FLO!AD57*AF!AC47</f>
        <v>1.1863760956033073E-2</v>
      </c>
      <c r="AD112" s="10">
        <f>Stock!AG12*AF!AD81*ACT2FLO!AE57*AF!AD47</f>
        <v>2.2720358929728842E-2</v>
      </c>
    </row>
    <row r="113" spans="2:30">
      <c r="B113" t="str">
        <f t="shared" si="90"/>
        <v>T-CAR-HEV_DST00</v>
      </c>
      <c r="C113" t="s">
        <v>781</v>
      </c>
      <c r="D113" s="10">
        <f>Stock!G13*AF!D82*ACT2FLO!E58*AF!D48</f>
        <v>2.3778099610678605E-2</v>
      </c>
      <c r="E113" s="10">
        <f>Stock!H13*AF!E82*ACT2FLO!F58*AF!E48</f>
        <v>4.5392063363698166E-4</v>
      </c>
      <c r="F113" s="10">
        <f>Stock!I13*AF!F82*ACT2FLO!G58*AF!F48</f>
        <v>8.914739008685069E-4</v>
      </c>
      <c r="G113" s="10">
        <f>Stock!J13*AF!G82*ACT2FLO!H58*AF!G48</f>
        <v>5.9273290968661413E-4</v>
      </c>
      <c r="H113" s="10">
        <f>Stock!K13*AF!H82*ACT2FLO!I58*AF!H48</f>
        <v>1.3954037767277393E-3</v>
      </c>
      <c r="I113" s="10">
        <f>Stock!L13*AF!I82*ACT2FLO!J58*AF!I48</f>
        <v>5.3232583916175337E-4</v>
      </c>
      <c r="J113" s="10">
        <f>Stock!M13*AF!J82*ACT2FLO!K58*AF!J48</f>
        <v>8.1367146799895878E-4</v>
      </c>
      <c r="K113" s="10">
        <f>Stock!N13*AF!K82*ACT2FLO!L58*AF!K48</f>
        <v>2.4603866816093144E-4</v>
      </c>
      <c r="L113" s="10">
        <f>Stock!O13*AF!L82*ACT2FLO!M58*AF!L48</f>
        <v>4.1114018724284698E-4</v>
      </c>
      <c r="M113" s="10">
        <f>Stock!P13*AF!M82*ACT2FLO!N58*AF!M48</f>
        <v>3.2906314136038807E-4</v>
      </c>
      <c r="N113" s="10">
        <f>Stock!Q13*AF!N82*ACT2FLO!O58*AF!N48</f>
        <v>7.5615889982839023E-4</v>
      </c>
      <c r="O113" s="10">
        <f>Stock!R13*AF!O82*ACT2FLO!P58*AF!O48</f>
        <v>5.1105572289227399E-4</v>
      </c>
      <c r="P113" s="10">
        <f>Stock!S13*AF!P82*ACT2FLO!Q58*AF!P48</f>
        <v>5.1742959611780813E-4</v>
      </c>
      <c r="Q113" s="10">
        <f>Stock!T13*AF!Q82*ACT2FLO!R58*AF!Q48</f>
        <v>4.2712261467541321E-4</v>
      </c>
      <c r="R113" s="10">
        <f>Stock!U13*AF!R82*ACT2FLO!S58*AF!R48</f>
        <v>2.1260716596885614E-3</v>
      </c>
      <c r="S113" s="10">
        <f>Stock!V13*AF!S82*ACT2FLO!T58*AF!S48</f>
        <v>1.0019633221802374E-3</v>
      </c>
      <c r="T113" s="10">
        <f>Stock!W13*AF!T82*ACT2FLO!U58*AF!T48</f>
        <v>6.3780508577981733E-5</v>
      </c>
      <c r="U113" s="10">
        <f>Stock!X13*AF!U82*ACT2FLO!V58*AF!U48</f>
        <v>1.3290241840769861E-4</v>
      </c>
      <c r="V113" s="10">
        <f>Stock!Y13*AF!V82*ACT2FLO!W58*AF!V48</f>
        <v>4.0295501202859576E-4</v>
      </c>
      <c r="W113" s="10">
        <f>Stock!Z13*AF!W82*ACT2FLO!X58*AF!W48</f>
        <v>9.1584978832391136E-3</v>
      </c>
      <c r="X113" s="10">
        <f>Stock!AA13*AF!X82*ACT2FLO!Y58*AF!X48</f>
        <v>5.3187226765881272E-4</v>
      </c>
      <c r="Y113" s="10">
        <f>Stock!AB13*AF!Y82*ACT2FLO!Z58*AF!Y48</f>
        <v>5.4388445242912553E-4</v>
      </c>
      <c r="Z113" s="10">
        <f>Stock!AC13*AF!Z82*ACT2FLO!AA58*AF!Z48</f>
        <v>3.8268155945636747E-4</v>
      </c>
      <c r="AA113" s="10">
        <f>Stock!AD13*AF!AA82*ACT2FLO!AB58*AF!AA48</f>
        <v>1.5907826856424658E-4</v>
      </c>
      <c r="AB113" s="10">
        <f>Stock!AE13*AF!AB82*ACT2FLO!AC58*AF!AB48</f>
        <v>5.2249049920325113E-4</v>
      </c>
      <c r="AC113" s="10">
        <f>Stock!AF13*AF!AC82*ACT2FLO!AD58*AF!AC48</f>
        <v>3.6793004153013695E-4</v>
      </c>
      <c r="AD113" s="10">
        <f>Stock!AG13*AF!AD82*ACT2FLO!AE58*AF!AD48</f>
        <v>1.2237359149338445E-3</v>
      </c>
    </row>
    <row r="114" spans="2:30">
      <c r="B114" t="str">
        <f t="shared" si="90"/>
        <v>T-CAR-PHEV_GSL00</v>
      </c>
      <c r="C114" t="s">
        <v>781</v>
      </c>
      <c r="D114" s="10">
        <f>Stock!G14*AF!D83*ACT2FLO!E59*AF!D49</f>
        <v>5.2760665147538438E-2</v>
      </c>
      <c r="E114" s="10">
        <f>Stock!H14*AF!E83*ACT2FLO!F59*AF!E49</f>
        <v>3.029827799413013E-4</v>
      </c>
      <c r="F114" s="10">
        <f>Stock!I14*AF!F83*ACT2FLO!G59*AF!F49</f>
        <v>1.7923370302501893E-3</v>
      </c>
      <c r="G114" s="10">
        <f>Stock!J14*AF!G83*ACT2FLO!H59*AF!G49</f>
        <v>6.6611898844858215E-4</v>
      </c>
      <c r="H114" s="10">
        <f>Stock!K14*AF!H83*ACT2FLO!I59*AF!H49</f>
        <v>3.0804069900369859E-3</v>
      </c>
      <c r="I114" s="10">
        <f>Stock!L14*AF!I83*ACT2FLO!J59*AF!I49</f>
        <v>5.0428795862471234E-4</v>
      </c>
      <c r="J114" s="10">
        <f>Stock!M14*AF!J83*ACT2FLO!K59*AF!J49</f>
        <v>1.1297332209493972E-3</v>
      </c>
      <c r="K114" s="10">
        <f>Stock!N14*AF!K83*ACT2FLO!L59*AF!K49</f>
        <v>3.5404538229867117E-4</v>
      </c>
      <c r="L114" s="10">
        <f>Stock!O14*AF!L83*ACT2FLO!M59*AF!L49</f>
        <v>4.7840305071511637E-4</v>
      </c>
      <c r="M114" s="10">
        <f>Stock!P14*AF!M83*ACT2FLO!N59*AF!M49</f>
        <v>2.108212281760274E-4</v>
      </c>
      <c r="N114" s="10">
        <f>Stock!Q14*AF!N83*ACT2FLO!O59*AF!N49</f>
        <v>6.639331915676346E-4</v>
      </c>
      <c r="O114" s="10">
        <f>Stock!R14*AF!O83*ACT2FLO!P59*AF!O49</f>
        <v>7.2790020158597021E-4</v>
      </c>
      <c r="P114" s="10">
        <f>Stock!S14*AF!P83*ACT2FLO!Q59*AF!P49</f>
        <v>8.4039339437286297E-4</v>
      </c>
      <c r="Q114" s="10">
        <f>Stock!T14*AF!Q83*ACT2FLO!R59*AF!Q49</f>
        <v>7.8373724081639933E-4</v>
      </c>
      <c r="R114" s="10">
        <f>Stock!U14*AF!R83*ACT2FLO!S59*AF!R49</f>
        <v>5.1087638310722957E-3</v>
      </c>
      <c r="S114" s="10">
        <f>Stock!V14*AF!S83*ACT2FLO!T59*AF!S49</f>
        <v>3.1509612309286203E-3</v>
      </c>
      <c r="T114" s="10">
        <f>Stock!W14*AF!T83*ACT2FLO!U59*AF!T49</f>
        <v>6.0274281499328749E-5</v>
      </c>
      <c r="U114" s="10">
        <f>Stock!X14*AF!U83*ACT2FLO!V59*AF!U49</f>
        <v>4.8856066516255012E-4</v>
      </c>
      <c r="V114" s="10">
        <f>Stock!Y14*AF!V83*ACT2FLO!W59*AF!V49</f>
        <v>7.8396253455634691E-4</v>
      </c>
      <c r="W114" s="10">
        <f>Stock!Z14*AF!W83*ACT2FLO!X59*AF!W49</f>
        <v>2.8924896307479381E-2</v>
      </c>
      <c r="X114" s="10">
        <f>Stock!AA14*AF!X83*ACT2FLO!Y59*AF!X49</f>
        <v>3.6988606863656848E-4</v>
      </c>
      <c r="Y114" s="10">
        <f>Stock!AB14*AF!Y83*ACT2FLO!Z59*AF!Y49</f>
        <v>9.8083196298238105E-4</v>
      </c>
      <c r="Z114" s="10">
        <f>Stock!AC14*AF!Z83*ACT2FLO!AA59*AF!Z49</f>
        <v>4.1296790135831495E-4</v>
      </c>
      <c r="AA114" s="10">
        <f>Stock!AD14*AF!AA83*ACT2FLO!AB59*AF!AA49</f>
        <v>3.2048407510410962E-4</v>
      </c>
      <c r="AB114" s="10">
        <f>Stock!AE14*AF!AB83*ACT2FLO!AC59*AF!AB49</f>
        <v>5.0912207595868485E-4</v>
      </c>
      <c r="AC114" s="10">
        <f>Stock!AF14*AF!AC83*ACT2FLO!AD59*AF!AC49</f>
        <v>7.6607182438607991E-4</v>
      </c>
      <c r="AD114" s="10">
        <f>Stock!AG14*AF!AD83*ACT2FLO!AE59*AF!AD49</f>
        <v>2.2206323659825474E-3</v>
      </c>
    </row>
    <row r="115" spans="2:30">
      <c r="B115" t="str">
        <f t="shared" si="90"/>
        <v>T-CAR-PHEV_DST00</v>
      </c>
      <c r="C115" t="s">
        <v>781</v>
      </c>
      <c r="D115" s="10">
        <f>Stock!G15*AF!D84*ACT2FLO!E60*AF!D50</f>
        <v>0</v>
      </c>
      <c r="E115" s="10">
        <f>Stock!H15*AF!E84*ACT2FLO!F60*AF!E50</f>
        <v>0</v>
      </c>
      <c r="F115" s="10">
        <f>Stock!I15*AF!F84*ACT2FLO!G60*AF!F50</f>
        <v>2.9715796695616893E-4</v>
      </c>
      <c r="G115" s="10">
        <f>Stock!J15*AF!G84*ACT2FLO!H60*AF!G50</f>
        <v>6.2392937861748855E-5</v>
      </c>
      <c r="H115" s="10">
        <f>Stock!K15*AF!H84*ACT2FLO!I60*AF!H50</f>
        <v>0</v>
      </c>
      <c r="I115" s="10">
        <f>Stock!L15*AF!I84*ACT2FLO!J60*AF!I50</f>
        <v>0</v>
      </c>
      <c r="J115" s="10">
        <f>Stock!M15*AF!J84*ACT2FLO!K60*AF!J50</f>
        <v>3.3902977833289954E-5</v>
      </c>
      <c r="K115" s="10">
        <f>Stock!N15*AF!K84*ACT2FLO!L60*AF!K50</f>
        <v>0</v>
      </c>
      <c r="L115" s="10">
        <f>Stock!O15*AF!L84*ACT2FLO!M60*AF!L50</f>
        <v>3.1626168249449771E-5</v>
      </c>
      <c r="M115" s="10">
        <f>Stock!P15*AF!M84*ACT2FLO!N60*AF!M50</f>
        <v>0</v>
      </c>
      <c r="N115" s="10">
        <f>Stock!Q15*AF!N84*ACT2FLO!O60*AF!N50</f>
        <v>0</v>
      </c>
      <c r="O115" s="10">
        <f>Stock!R15*AF!O84*ACT2FLO!P60*AF!O50</f>
        <v>3.1940982680767124E-5</v>
      </c>
      <c r="P115" s="10">
        <f>Stock!S15*AF!P84*ACT2FLO!Q60*AF!P50</f>
        <v>3.0437035065753419E-5</v>
      </c>
      <c r="Q115" s="10">
        <f>Stock!T15*AF!Q84*ACT2FLO!R60*AF!Q50</f>
        <v>6.5711171488525103E-5</v>
      </c>
      <c r="R115" s="10">
        <f>Stock!U15*AF!R84*ACT2FLO!S60*AF!R50</f>
        <v>5.9889342526438354E-5</v>
      </c>
      <c r="S115" s="10">
        <f>Stock!V15*AF!S84*ACT2FLO!T60*AF!S50</f>
        <v>0</v>
      </c>
      <c r="T115" s="10">
        <f>Stock!W15*AF!T84*ACT2FLO!U60*AF!T50</f>
        <v>0</v>
      </c>
      <c r="U115" s="10">
        <f>Stock!X15*AF!U84*ACT2FLO!V60*AF!U50</f>
        <v>3.3225604601924652E-5</v>
      </c>
      <c r="V115" s="10">
        <f>Stock!Y15*AF!V84*ACT2FLO!W60*AF!V50</f>
        <v>0</v>
      </c>
      <c r="W115" s="10">
        <f>Stock!Z15*AF!W84*ACT2FLO!X60*AF!W50</f>
        <v>0</v>
      </c>
      <c r="X115" s="10">
        <f>Stock!AA15*AF!X84*ACT2FLO!Y60*AF!X50</f>
        <v>0</v>
      </c>
      <c r="Y115" s="10">
        <f>Stock!AB15*AF!Y84*ACT2FLO!Z60*AF!Y50</f>
        <v>0</v>
      </c>
      <c r="Z115" s="10">
        <f>Stock!AC15*AF!Z84*ACT2FLO!AA60*AF!Z50</f>
        <v>0</v>
      </c>
      <c r="AA115" s="10">
        <f>Stock!AD15*AF!AA84*ACT2FLO!AB60*AF!AA50</f>
        <v>3.1815653712849314E-5</v>
      </c>
      <c r="AB115" s="10">
        <f>Stock!AE15*AF!AB84*ACT2FLO!AC60*AF!AB50</f>
        <v>0</v>
      </c>
      <c r="AC115" s="10">
        <f>Stock!AF15*AF!AC84*ACT2FLO!AD60*AF!AC50</f>
        <v>3.0660836794178079E-5</v>
      </c>
      <c r="AD115" s="10">
        <f>Stock!AG15*AF!AD84*ACT2FLO!AE60*AF!AD50</f>
        <v>3.2203576708785385E-5</v>
      </c>
    </row>
    <row r="116" spans="2:30">
      <c r="B116" t="str">
        <f t="shared" si="90"/>
        <v>T-CAR-BEV_ELC00</v>
      </c>
      <c r="C116" t="s">
        <v>781</v>
      </c>
      <c r="D116" s="10">
        <f>Stock!G16*AF!D85*ACT2FLO!E61*AF!D51</f>
        <v>9.0865471195621092E-2</v>
      </c>
      <c r="E116" s="10">
        <f>Stock!H16*AF!E85*ACT2FLO!F61*AF!E51</f>
        <v>9.6710098093776692E-4</v>
      </c>
      <c r="F116" s="10">
        <f>Stock!I16*AF!F85*ACT2FLO!G61*AF!F51</f>
        <v>3.2125353528666398E-2</v>
      </c>
      <c r="G116" s="10">
        <f>Stock!J16*AF!G85*ACT2FLO!H61*AF!G51</f>
        <v>6.0614400446073321E-3</v>
      </c>
      <c r="H116" s="10">
        <f>Stock!K16*AF!H85*ACT2FLO!I61*AF!H51</f>
        <v>1.1568042780196438E-3</v>
      </c>
      <c r="I116" s="10">
        <f>Stock!L16*AF!I85*ACT2FLO!J61*AF!I51</f>
        <v>1.218698884032767E-3</v>
      </c>
      <c r="J116" s="10">
        <f>Stock!M16*AF!J85*ACT2FLO!K61*AF!J51</f>
        <v>5.0145910477742458E-4</v>
      </c>
      <c r="K116" s="10">
        <f>Stock!N16*AF!K85*ACT2FLO!L61*AF!K51</f>
        <v>2.0614257844273373E-3</v>
      </c>
      <c r="L116" s="10">
        <f>Stock!O16*AF!L85*ACT2FLO!M61*AF!L51</f>
        <v>5.0289994030502253E-3</v>
      </c>
      <c r="M116" s="10">
        <f>Stock!P16*AF!M85*ACT2FLO!N61*AF!M51</f>
        <v>6.2752065035294295E-4</v>
      </c>
      <c r="N116" s="10">
        <f>Stock!Q16*AF!N85*ACT2FLO!O61*AF!N51</f>
        <v>2.0483557634873376E-3</v>
      </c>
      <c r="O116" s="10">
        <f>Stock!R16*AF!O85*ACT2FLO!P61*AF!O51</f>
        <v>2.973000064531424E-3</v>
      </c>
      <c r="P116" s="10">
        <f>Stock!S16*AF!P85*ACT2FLO!Q61*AF!P51</f>
        <v>5.3356644674298738E-3</v>
      </c>
      <c r="Q116" s="10">
        <f>Stock!T16*AF!Q85*ACT2FLO!R61*AF!Q51</f>
        <v>2.2474855893704609E-3</v>
      </c>
      <c r="R116" s="10">
        <f>Stock!U16*AF!R85*ACT2FLO!S61*AF!R51</f>
        <v>1.024186833812806E-2</v>
      </c>
      <c r="S116" s="10">
        <f>Stock!V16*AF!S85*ACT2FLO!T61*AF!S51</f>
        <v>2.014872040891963E-3</v>
      </c>
      <c r="T116" s="10">
        <f>Stock!W16*AF!T85*ACT2FLO!U61*AF!T51</f>
        <v>2.5549294837650272E-3</v>
      </c>
      <c r="U116" s="10">
        <f>Stock!X16*AF!U85*ACT2FLO!V61*AF!U51</f>
        <v>1.9472182704007121E-3</v>
      </c>
      <c r="V116" s="10">
        <f>Stock!Y16*AF!V85*ACT2FLO!W61*AF!V51</f>
        <v>2.0800132639787671E-3</v>
      </c>
      <c r="W116" s="10">
        <f>Stock!Z16*AF!W85*ACT2FLO!X61*AF!W51</f>
        <v>4.739028455599534E-3</v>
      </c>
      <c r="X116" s="10">
        <f>Stock!AA16*AF!X85*ACT2FLO!Y61*AF!X51</f>
        <v>3.5872582244579219E-4</v>
      </c>
      <c r="Y116" s="10">
        <f>Stock!AB16*AF!Y85*ACT2FLO!Z61*AF!Y51</f>
        <v>1.2280418601887352E-3</v>
      </c>
      <c r="Z116" s="10">
        <f>Stock!AC16*AF!Z85*ACT2FLO!AA61*AF!Z51</f>
        <v>6.3353793282452042E-4</v>
      </c>
      <c r="AA116" s="10">
        <f>Stock!AD16*AF!AA85*ACT2FLO!AB61*AF!AA51</f>
        <v>5.9935296481341551E-4</v>
      </c>
      <c r="AB116" s="10">
        <f>Stock!AE16*AF!AB85*ACT2FLO!AC61*AF!AB51</f>
        <v>7.3432331119175796E-4</v>
      </c>
      <c r="AC116" s="10">
        <f>Stock!AF16*AF!AC85*ACT2FLO!AD61*AF!AC51</f>
        <v>1.0884283739513423E-3</v>
      </c>
      <c r="AD116" s="10">
        <f>Stock!AG16*AF!AD85*ACT2FLO!AE61*AF!AD51</f>
        <v>6.378662582522533E-4</v>
      </c>
    </row>
    <row r="117" spans="2:30">
      <c r="B117" t="str">
        <f t="shared" si="90"/>
        <v>T-TAX-ICE_GSL00</v>
      </c>
      <c r="C117" t="s">
        <v>781</v>
      </c>
      <c r="D117" s="10">
        <f>Stock!G18*AF!D86*ACT2FLO!E62*AF!D52</f>
        <v>0.132815135733613</v>
      </c>
      <c r="E117" s="10">
        <f>Stock!H18*AF!E86*ACT2FLO!F62*AF!E52</f>
        <v>3.3237540694107306E-4</v>
      </c>
      <c r="F117" s="10">
        <f>Stock!I18*AF!F86*ACT2FLO!G62*AF!F52</f>
        <v>8.3617468703171244E-2</v>
      </c>
      <c r="G117" s="10">
        <f>Stock!J18*AF!G86*ACT2FLO!H62*AF!G52</f>
        <v>4.3649617706759914E-3</v>
      </c>
      <c r="H117" s="10">
        <f>Stock!K18*AF!H86*ACT2FLO!I62*AF!H52</f>
        <v>6.1736452791703194E-4</v>
      </c>
      <c r="I117" s="10">
        <f>Stock!L18*AF!I86*ACT2FLO!J62*AF!I52</f>
        <v>5.7978970972605488E-4</v>
      </c>
      <c r="J117" s="10">
        <f>Stock!M18*AF!J86*ACT2FLO!K62*AF!J52</f>
        <v>2.4642659115686755E-4</v>
      </c>
      <c r="K117" s="10">
        <f>Stock!N18*AF!K86*ACT2FLO!L62*AF!K52</f>
        <v>2.5945961021110134E-3</v>
      </c>
      <c r="L117" s="10">
        <f>Stock!O18*AF!L86*ACT2FLO!M62*AF!L52</f>
        <v>5.9026661463937435E-3</v>
      </c>
      <c r="M117" s="10">
        <f>Stock!P18*AF!M86*ACT2FLO!N62*AF!M52</f>
        <v>5.6496209921215966E-4</v>
      </c>
      <c r="N117" s="10">
        <f>Stock!Q18*AF!N86*ACT2FLO!O62*AF!N52</f>
        <v>9.3213419888869852E-4</v>
      </c>
      <c r="O117" s="10">
        <f>Stock!R18*AF!O86*ACT2FLO!P62*AF!O52</f>
        <v>8.2986576106776713E-4</v>
      </c>
      <c r="P117" s="10">
        <f>Stock!S18*AF!P86*ACT2FLO!Q62*AF!P52</f>
        <v>1.4344243540843401E-3</v>
      </c>
      <c r="Q117" s="10">
        <f>Stock!T18*AF!Q86*ACT2FLO!R62*AF!Q52</f>
        <v>2.4722571252849585E-3</v>
      </c>
      <c r="R117" s="10">
        <f>Stock!U18*AF!R86*ACT2FLO!S62*AF!R52</f>
        <v>8.3549362853188591E-3</v>
      </c>
      <c r="S117" s="10">
        <f>Stock!V18*AF!S86*ACT2FLO!T62*AF!S52</f>
        <v>1.2959850809154151E-3</v>
      </c>
      <c r="T117" s="10">
        <f>Stock!W18*AF!T86*ACT2FLO!U62*AF!T52</f>
        <v>6.9264769933027968E-3</v>
      </c>
      <c r="U117" s="10">
        <f>Stock!X18*AF!U86*ACT2FLO!V62*AF!U52</f>
        <v>6.0336945983287672E-4</v>
      </c>
      <c r="V117" s="10">
        <f>Stock!Y18*AF!V86*ACT2FLO!W62*AF!V52</f>
        <v>1.9632842504785568E-3</v>
      </c>
      <c r="W117" s="10">
        <f>Stock!Z18*AF!W86*ACT2FLO!X62*AF!W52</f>
        <v>6.2833081260984004E-3</v>
      </c>
      <c r="X117" s="10">
        <f>Stock!AA18*AF!X86*ACT2FLO!Y62*AF!X52</f>
        <v>0</v>
      </c>
      <c r="Y117" s="10">
        <f>Stock!AB18*AF!Y86*ACT2FLO!Z62*AF!Y52</f>
        <v>9.6956876799652951E-4</v>
      </c>
      <c r="Z117" s="10">
        <f>Stock!AC18*AF!Z86*ACT2FLO!AA62*AF!Z52</f>
        <v>1.0939428485397259E-4</v>
      </c>
      <c r="AA117" s="10">
        <f>Stock!AD18*AF!AA86*ACT2FLO!AB62*AF!AA52</f>
        <v>4.9048386801547937E-4</v>
      </c>
      <c r="AB117" s="10">
        <f>Stock!AE18*AF!AB86*ACT2FLO!AC62*AF!AB52</f>
        <v>3.7466050550962778E-4</v>
      </c>
      <c r="AC117" s="10">
        <f>Stock!AF18*AF!AC86*ACT2FLO!AD62*AF!AC52</f>
        <v>8.8252183173152029E-4</v>
      </c>
      <c r="AD117" s="10">
        <f>Stock!AG18*AF!AD86*ACT2FLO!AE62*AF!AD52</f>
        <v>8.3105041821689501E-5</v>
      </c>
    </row>
    <row r="118" spans="2:30">
      <c r="B118" t="str">
        <f t="shared" si="90"/>
        <v>T-TAX-ICE_DST00</v>
      </c>
      <c r="C118" t="s">
        <v>781</v>
      </c>
      <c r="D118" s="10">
        <f>Stock!G19*AF!D87*ACT2FLO!E63*AF!D53</f>
        <v>1.0402457641362053</v>
      </c>
      <c r="E118" s="10">
        <f>Stock!H19*AF!E87*ACT2FLO!F63*AF!E53</f>
        <v>8.0437698221748274E-3</v>
      </c>
      <c r="F118" s="10">
        <f>Stock!I19*AF!F87*ACT2FLO!G63*AF!F53</f>
        <v>0.49445103116594963</v>
      </c>
      <c r="G118" s="10">
        <f>Stock!J19*AF!G87*ACT2FLO!H63*AF!G53</f>
        <v>4.5102739949248384E-2</v>
      </c>
      <c r="H118" s="10">
        <f>Stock!K19*AF!H87*ACT2FLO!I63*AF!H53</f>
        <v>1.2695591696276407E-2</v>
      </c>
      <c r="I118" s="10">
        <f>Stock!L19*AF!I87*ACT2FLO!J63*AF!I53</f>
        <v>1.2450836158025114E-2</v>
      </c>
      <c r="J118" s="10">
        <f>Stock!M19*AF!J87*ACT2FLO!K63*AF!J53</f>
        <v>5.6404018529220244E-3</v>
      </c>
      <c r="K118" s="10">
        <f>Stock!N19*AF!K87*ACT2FLO!L63*AF!K53</f>
        <v>3.2373970392738781E-2</v>
      </c>
      <c r="L118" s="10">
        <f>Stock!O19*AF!L87*ACT2FLO!M63*AF!L53</f>
        <v>5.3831298300056986E-2</v>
      </c>
      <c r="M118" s="10">
        <f>Stock!P19*AF!M87*ACT2FLO!N63*AF!M53</f>
        <v>8.661798295219519E-3</v>
      </c>
      <c r="N118" s="10">
        <f>Stock!Q19*AF!N87*ACT2FLO!O63*AF!N53</f>
        <v>1.6194549694790145E-2</v>
      </c>
      <c r="O118" s="10">
        <f>Stock!R19*AF!O87*ACT2FLO!P63*AF!O53</f>
        <v>1.4496383955826482E-2</v>
      </c>
      <c r="P118" s="10">
        <f>Stock!S19*AF!P87*ACT2FLO!Q63*AF!P53</f>
        <v>1.8335001361535753E-2</v>
      </c>
      <c r="Q118" s="10">
        <f>Stock!T19*AF!Q87*ACT2FLO!R63*AF!Q53</f>
        <v>1.7965615116759329E-2</v>
      </c>
      <c r="R118" s="10">
        <f>Stock!U19*AF!R87*ACT2FLO!S63*AF!R53</f>
        <v>9.2628414106859985E-2</v>
      </c>
      <c r="S118" s="10">
        <f>Stock!V19*AF!S87*ACT2FLO!T63*AF!S53</f>
        <v>2.5511326128417264E-2</v>
      </c>
      <c r="T118" s="10">
        <f>Stock!W19*AF!T87*ACT2FLO!U63*AF!T53</f>
        <v>2.9254756182992957E-2</v>
      </c>
      <c r="U118" s="10">
        <f>Stock!X19*AF!U87*ACT2FLO!V63*AF!U53</f>
        <v>1.4494459260962029E-2</v>
      </c>
      <c r="V118" s="10">
        <f>Stock!Y19*AF!V87*ACT2FLO!W63*AF!V53</f>
        <v>1.5522526816745721E-2</v>
      </c>
      <c r="W118" s="10">
        <f>Stock!Z19*AF!W87*ACT2FLO!X63*AF!W53</f>
        <v>4.9907257266619535E-2</v>
      </c>
      <c r="X118" s="10">
        <f>Stock!AA19*AF!X87*ACT2FLO!Y63*AF!X53</f>
        <v>4.1674567453412322E-3</v>
      </c>
      <c r="Y118" s="10">
        <f>Stock!AB19*AF!Y87*ACT2FLO!Z63*AF!Y53</f>
        <v>1.5456687332266232E-2</v>
      </c>
      <c r="Z118" s="10">
        <f>Stock!AC19*AF!Z87*ACT2FLO!AA63*AF!Z53</f>
        <v>7.5392222535451432E-3</v>
      </c>
      <c r="AA118" s="10">
        <f>Stock!AD19*AF!AA87*ACT2FLO!AB63*AF!AA53</f>
        <v>9.3334944227404446E-3</v>
      </c>
      <c r="AB118" s="10">
        <f>Stock!AE19*AF!AB87*ACT2FLO!AC63*AF!AB53</f>
        <v>1.0315014203034848E-2</v>
      </c>
      <c r="AC118" s="10">
        <f>Stock!AF19*AF!AC87*ACT2FLO!AD63*AF!AC53</f>
        <v>2.1112004824381993E-2</v>
      </c>
      <c r="AD118" s="10">
        <f>Stock!AG19*AF!AD87*ACT2FLO!AE63*AF!AD53</f>
        <v>4.755786729023972E-3</v>
      </c>
    </row>
    <row r="119" spans="2:30">
      <c r="B119" t="str">
        <f t="shared" si="90"/>
        <v>T-TAX-HEV_GSL00</v>
      </c>
      <c r="C119" t="s">
        <v>781</v>
      </c>
      <c r="D119" s="10">
        <f>Stock!G20*AF!D88*ACT2FLO!E64*AF!D54</f>
        <v>8.300783727097695E-2</v>
      </c>
      <c r="E119" s="10">
        <f>Stock!H20*AF!E88*ACT2FLO!F64*AF!E54</f>
        <v>2.757714737879086E-4</v>
      </c>
      <c r="F119" s="10">
        <f>Stock!I20*AF!F88*ACT2FLO!G64*AF!F54</f>
        <v>6.3488626363770298E-2</v>
      </c>
      <c r="G119" s="10">
        <f>Stock!J20*AF!G88*ACT2FLO!H64*AF!G54</f>
        <v>2.5930071098391977E-3</v>
      </c>
      <c r="H119" s="10">
        <f>Stock!K20*AF!H88*ACT2FLO!I64*AF!H54</f>
        <v>6.3337381155700908E-5</v>
      </c>
      <c r="I119" s="10">
        <f>Stock!L20*AF!I88*ACT2FLO!J64*AF!I54</f>
        <v>9.6935391833724192E-4</v>
      </c>
      <c r="J119" s="10">
        <f>Stock!M20*AF!J88*ACT2FLO!K64*AF!J54</f>
        <v>0</v>
      </c>
      <c r="K119" s="10">
        <f>Stock!N20*AF!K88*ACT2FLO!L64*AF!K54</f>
        <v>1.5758252701260844E-3</v>
      </c>
      <c r="L119" s="10">
        <f>Stock!O20*AF!L88*ACT2FLO!M64*AF!L54</f>
        <v>3.5990272113500133E-3</v>
      </c>
      <c r="M119" s="10">
        <f>Stock!P20*AF!M88*ACT2FLO!N64*AF!M54</f>
        <v>1.7797161047785614E-4</v>
      </c>
      <c r="N119" s="10">
        <f>Stock!Q20*AF!N88*ACT2FLO!O64*AF!N54</f>
        <v>4.403522808483561E-4</v>
      </c>
      <c r="O119" s="10">
        <f>Stock!R20*AF!O88*ACT2FLO!P64*AF!O54</f>
        <v>1.8358455782674656E-4</v>
      </c>
      <c r="P119" s="10">
        <f>Stock!S20*AF!P88*ACT2FLO!Q64*AF!P54</f>
        <v>7.7574901112316191E-4</v>
      </c>
      <c r="Q119" s="10">
        <f>Stock!T20*AF!Q88*ACT2FLO!R64*AF!Q54</f>
        <v>3.905772844351894E-4</v>
      </c>
      <c r="R119" s="10">
        <f>Stock!U20*AF!R88*ACT2FLO!S64*AF!R54</f>
        <v>3.3137919084727874E-3</v>
      </c>
      <c r="S119" s="10">
        <f>Stock!V20*AF!S88*ACT2FLO!T64*AF!S54</f>
        <v>2.1424091858635616E-4</v>
      </c>
      <c r="T119" s="10">
        <f>Stock!W20*AF!T88*ACT2FLO!U64*AF!T54</f>
        <v>2.8440902689588219E-3</v>
      </c>
      <c r="U119" s="10">
        <f>Stock!X20*AF!U88*ACT2FLO!V64*AF!U54</f>
        <v>1.7015645412126712E-4</v>
      </c>
      <c r="V119" s="10">
        <f>Stock!Y20*AF!V88*ACT2FLO!W64*AF!V54</f>
        <v>8.979522149006391E-5</v>
      </c>
      <c r="W119" s="10">
        <f>Stock!Z20*AF!W88*ACT2FLO!X64*AF!W54</f>
        <v>1.454532193377534E-3</v>
      </c>
      <c r="X119" s="10">
        <f>Stock!AA20*AF!X88*ACT2FLO!Y64*AF!X54</f>
        <v>0</v>
      </c>
      <c r="Y119" s="10">
        <f>Stock!AB20*AF!Y88*ACT2FLO!Z64*AF!Y54</f>
        <v>1.6365277589324657E-4</v>
      </c>
      <c r="Z119" s="10">
        <f>Stock!AC20*AF!Z88*ACT2FLO!AA64*AF!Z54</f>
        <v>0</v>
      </c>
      <c r="AA119" s="10">
        <f>Stock!AD20*AF!AA88*ACT2FLO!AB64*AF!AA54</f>
        <v>7.6865449633210035E-5</v>
      </c>
      <c r="AB119" s="10">
        <f>Stock!AE20*AF!AB88*ACT2FLO!AC64*AF!AB54</f>
        <v>6.39670100183356E-5</v>
      </c>
      <c r="AC119" s="10">
        <f>Stock!AF20*AF!AC88*ACT2FLO!AD64*AF!AC54</f>
        <v>8.8034647893123284E-5</v>
      </c>
      <c r="AD119" s="10">
        <f>Stock!AG20*AF!AD88*ACT2FLO!AE64*AF!AD54</f>
        <v>0</v>
      </c>
    </row>
    <row r="120" spans="2:30">
      <c r="B120" t="str">
        <f t="shared" si="90"/>
        <v>T-BUS-ICE_DST00</v>
      </c>
      <c r="C120" t="s">
        <v>781</v>
      </c>
      <c r="D120" s="10">
        <f>Stock!G22*AF!D89*ACT2FLO!E65*AF!D55</f>
        <v>10.519481681250003</v>
      </c>
      <c r="E120" s="10">
        <f>Stock!H22*AF!E89*ACT2FLO!F65*AF!E55</f>
        <v>0.11808831099999999</v>
      </c>
      <c r="F120" s="10">
        <f>Stock!I22*AF!F89*ACT2FLO!G65*AF!F55</f>
        <v>3.5358560684999998</v>
      </c>
      <c r="G120" s="10">
        <f>Stock!J22*AF!G89*ACT2FLO!H65*AF!G55</f>
        <v>0.45269495775000002</v>
      </c>
      <c r="H120" s="10">
        <f>Stock!K22*AF!H89*ACT2FLO!I65*AF!H55</f>
        <v>0.29241756999999996</v>
      </c>
      <c r="I120" s="10">
        <f>Stock!L22*AF!I89*ACT2FLO!J65*AF!I55</f>
        <v>0.1493744175</v>
      </c>
      <c r="J120" s="10">
        <f>Stock!M22*AF!J89*ACT2FLO!K65*AF!J55</f>
        <v>8.4421181249999991E-2</v>
      </c>
      <c r="K120" s="10">
        <f>Stock!N22*AF!K89*ACT2FLO!L65*AF!K55</f>
        <v>0.22892670500000004</v>
      </c>
      <c r="L120" s="10">
        <f>Stock!O22*AF!L89*ACT2FLO!M65*AF!L55</f>
        <v>0.30109920200000001</v>
      </c>
      <c r="M120" s="10">
        <f>Stock!P22*AF!M89*ACT2FLO!N65*AF!M55</f>
        <v>0.18289379775</v>
      </c>
      <c r="N120" s="10">
        <f>Stock!Q22*AF!N89*ACT2FLO!O65*AF!N55</f>
        <v>0.14101548000000003</v>
      </c>
      <c r="O120" s="10">
        <f>Stock!R22*AF!O89*ACT2FLO!P65*AF!O55</f>
        <v>0.26711272949999998</v>
      </c>
      <c r="P120" s="10">
        <f>Stock!S22*AF!P89*ACT2FLO!Q65*AF!P55</f>
        <v>0.24114906574999997</v>
      </c>
      <c r="Q120" s="10">
        <f>Stock!T22*AF!Q89*ACT2FLO!R65*AF!Q55</f>
        <v>0.20048626149999998</v>
      </c>
      <c r="R120" s="10">
        <f>Stock!U22*AF!R89*ACT2FLO!S65*AF!R55</f>
        <v>0.79161909450000012</v>
      </c>
      <c r="S120" s="10">
        <f>Stock!V22*AF!S89*ACT2FLO!T65*AF!S55</f>
        <v>0.49987923200000006</v>
      </c>
      <c r="T120" s="10">
        <f>Stock!W22*AF!T89*ACT2FLO!U65*AF!T55</f>
        <v>0.29683354150000002</v>
      </c>
      <c r="U120" s="10">
        <f>Stock!X22*AF!U89*ACT2FLO!V65*AF!U55</f>
        <v>0.34555485200000002</v>
      </c>
      <c r="V120" s="10">
        <f>Stock!Y22*AF!V89*ACT2FLO!W65*AF!V55</f>
        <v>0.1514736485</v>
      </c>
      <c r="W120" s="10">
        <f>Stock!Z22*AF!W89*ACT2FLO!X65*AF!W55</f>
        <v>0.57002661799999998</v>
      </c>
      <c r="X120" s="10">
        <f>Stock!AA22*AF!X89*ACT2FLO!Y65*AF!X55</f>
        <v>5.9836094999999999E-2</v>
      </c>
      <c r="Y120" s="10">
        <f>Stock!AB22*AF!Y89*ACT2FLO!Z65*AF!Y55</f>
        <v>0.34838503700000001</v>
      </c>
      <c r="Z120" s="10">
        <f>Stock!AC22*AF!Z89*ACT2FLO!AA65*AF!Z55</f>
        <v>0.108670275</v>
      </c>
      <c r="AA120" s="10">
        <f>Stock!AD22*AF!AA89*ACT2FLO!AB65*AF!AA55</f>
        <v>0.11319791700000001</v>
      </c>
      <c r="AB120" s="10">
        <f>Stock!AE22*AF!AB89*ACT2FLO!AC65*AF!AB55</f>
        <v>0.20658056049999998</v>
      </c>
      <c r="AC120" s="10">
        <f>Stock!AF22*AF!AC89*ACT2FLO!AD65*AF!AC55</f>
        <v>0.55923812500000003</v>
      </c>
      <c r="AD120" s="10">
        <f>Stock!AG22*AF!AD89*ACT2FLO!AE65*AF!AD55</f>
        <v>0.27255499050000004</v>
      </c>
    </row>
    <row r="121" spans="2:30">
      <c r="B121" t="str">
        <f t="shared" si="90"/>
        <v>T-LPT-BEV_ELC00</v>
      </c>
      <c r="C121" t="s">
        <v>781</v>
      </c>
      <c r="D121" s="10">
        <f>Stock!G24*AF!D90*ACT2FLO!E66*AF!D56</f>
        <v>0.31718342830155838</v>
      </c>
      <c r="E121" s="10">
        <f>Stock!H24*AF!E90*ACT2FLO!F66*AF!E56</f>
        <v>0</v>
      </c>
      <c r="F121" s="10">
        <f>Stock!I24*AF!F90*ACT2FLO!G66*AF!F56</f>
        <v>0.31718342830155838</v>
      </c>
      <c r="G121" s="10">
        <f>Stock!J24*AF!G90*ACT2FLO!H66*AF!G56</f>
        <v>0</v>
      </c>
      <c r="H121" s="10">
        <f>Stock!K24*AF!H90*ACT2FLO!I66*AF!H56</f>
        <v>0</v>
      </c>
      <c r="I121" s="10">
        <f>Stock!L24*AF!I90*ACT2FLO!J66*AF!I56</f>
        <v>0</v>
      </c>
      <c r="J121" s="10">
        <f>Stock!M24*AF!J90*ACT2FLO!K66*AF!J56</f>
        <v>0</v>
      </c>
      <c r="K121" s="10">
        <f>Stock!N24*AF!K90*ACT2FLO!L66*AF!K56</f>
        <v>0</v>
      </c>
      <c r="L121" s="10">
        <f>Stock!O24*AF!L90*ACT2FLO!M66*AF!L56</f>
        <v>0</v>
      </c>
      <c r="M121" s="10">
        <f>Stock!P24*AF!M90*ACT2FLO!N66*AF!M56</f>
        <v>0</v>
      </c>
      <c r="N121" s="10">
        <f>Stock!Q24*AF!N90*ACT2FLO!O66*AF!N56</f>
        <v>0</v>
      </c>
      <c r="O121" s="10">
        <f>Stock!R24*AF!O90*ACT2FLO!P66*AF!O56</f>
        <v>0</v>
      </c>
      <c r="P121" s="10">
        <f>Stock!S24*AF!P90*ACT2FLO!Q66*AF!P56</f>
        <v>0</v>
      </c>
      <c r="Q121" s="10">
        <f>Stock!T24*AF!Q90*ACT2FLO!R66*AF!Q56</f>
        <v>0</v>
      </c>
      <c r="R121" s="10">
        <f>Stock!U24*AF!R90*ACT2FLO!S66*AF!R56</f>
        <v>0</v>
      </c>
      <c r="S121" s="10">
        <f>Stock!V24*AF!S90*ACT2FLO!T66*AF!S56</f>
        <v>0</v>
      </c>
      <c r="T121" s="10">
        <f>Stock!W24*AF!T90*ACT2FLO!U66*AF!T56</f>
        <v>0</v>
      </c>
      <c r="U121" s="10">
        <f>Stock!X24*AF!U90*ACT2FLO!V66*AF!U56</f>
        <v>0</v>
      </c>
      <c r="V121" s="10">
        <f>Stock!Y24*AF!V90*ACT2FLO!W66*AF!V56</f>
        <v>0</v>
      </c>
      <c r="W121" s="10">
        <f>Stock!Z24*AF!W90*ACT2FLO!X66*AF!W56</f>
        <v>0</v>
      </c>
      <c r="X121" s="10">
        <f>Stock!AA24*AF!X90*ACT2FLO!Y66*AF!X56</f>
        <v>0</v>
      </c>
      <c r="Y121" s="10">
        <f>Stock!AB24*AF!Y90*ACT2FLO!Z66*AF!Y56</f>
        <v>0</v>
      </c>
      <c r="Z121" s="10">
        <f>Stock!AC24*AF!Z90*ACT2FLO!AA66*AF!Z56</f>
        <v>0</v>
      </c>
      <c r="AA121" s="10">
        <f>Stock!AD24*AF!AA90*ACT2FLO!AB66*AF!AA56</f>
        <v>0</v>
      </c>
      <c r="AB121" s="10">
        <f>Stock!AE24*AF!AB90*ACT2FLO!AC66*AF!AB56</f>
        <v>0</v>
      </c>
      <c r="AC121" s="10">
        <f>Stock!AF24*AF!AC90*ACT2FLO!AD66*AF!AC56</f>
        <v>0</v>
      </c>
      <c r="AD121" s="10">
        <f>Stock!AG24*AF!AD90*ACT2FLO!AE66*AF!AD56</f>
        <v>0</v>
      </c>
    </row>
    <row r="122" spans="2:30">
      <c r="B122" t="str">
        <f t="shared" si="90"/>
        <v>T-HPT-BEV_ELC00</v>
      </c>
      <c r="C122" t="s">
        <v>781</v>
      </c>
      <c r="D122" s="10">
        <f>Stock!G25*AF!D91*ACT2FLO!E67*AF!D57</f>
        <v>0.64293853613072993</v>
      </c>
      <c r="E122" s="10">
        <f>Stock!H25*AF!E91*ACT2FLO!F67*AF!E57</f>
        <v>0</v>
      </c>
      <c r="F122" s="10">
        <f>Stock!I25*AF!F91*ACT2FLO!G67*AF!F57</f>
        <v>0.64293853613072993</v>
      </c>
      <c r="G122" s="10">
        <f>Stock!J25*AF!G91*ACT2FLO!H67*AF!G57</f>
        <v>0</v>
      </c>
      <c r="H122" s="10">
        <f>Stock!K25*AF!H91*ACT2FLO!I67*AF!H57</f>
        <v>0</v>
      </c>
      <c r="I122" s="10">
        <f>Stock!L25*AF!I91*ACT2FLO!J67*AF!I57</f>
        <v>0</v>
      </c>
      <c r="J122" s="10">
        <f>Stock!M25*AF!J91*ACT2FLO!K67*AF!J57</f>
        <v>0</v>
      </c>
      <c r="K122" s="10">
        <f>Stock!N25*AF!K91*ACT2FLO!L67*AF!K57</f>
        <v>0</v>
      </c>
      <c r="L122" s="10">
        <f>Stock!O25*AF!L91*ACT2FLO!M67*AF!L57</f>
        <v>0</v>
      </c>
      <c r="M122" s="10">
        <f>Stock!P25*AF!M91*ACT2FLO!N67*AF!M57</f>
        <v>0</v>
      </c>
      <c r="N122" s="10">
        <f>Stock!Q25*AF!N91*ACT2FLO!O67*AF!N57</f>
        <v>0</v>
      </c>
      <c r="O122" s="10">
        <f>Stock!R25*AF!O91*ACT2FLO!P67*AF!O57</f>
        <v>0</v>
      </c>
      <c r="P122" s="10">
        <f>Stock!S25*AF!P91*ACT2FLO!Q67*AF!P57</f>
        <v>0</v>
      </c>
      <c r="Q122" s="10">
        <f>Stock!T25*AF!Q91*ACT2FLO!R67*AF!Q57</f>
        <v>0</v>
      </c>
      <c r="R122" s="10">
        <f>Stock!U25*AF!R91*ACT2FLO!S67*AF!R57</f>
        <v>0</v>
      </c>
      <c r="S122" s="10">
        <f>Stock!V25*AF!S91*ACT2FLO!T67*AF!S57</f>
        <v>0</v>
      </c>
      <c r="T122" s="10">
        <f>Stock!W25*AF!T91*ACT2FLO!U67*AF!T57</f>
        <v>0</v>
      </c>
      <c r="U122" s="10">
        <f>Stock!X25*AF!U91*ACT2FLO!V67*AF!U57</f>
        <v>0</v>
      </c>
      <c r="V122" s="10">
        <f>Stock!Y25*AF!V91*ACT2FLO!W67*AF!V57</f>
        <v>0</v>
      </c>
      <c r="W122" s="10">
        <f>Stock!Z25*AF!W91*ACT2FLO!X67*AF!W57</f>
        <v>0</v>
      </c>
      <c r="X122" s="10">
        <f>Stock!AA25*AF!X91*ACT2FLO!Y67*AF!X57</f>
        <v>0</v>
      </c>
      <c r="Y122" s="10">
        <f>Stock!AB25*AF!Y91*ACT2FLO!Z67*AF!Y57</f>
        <v>0</v>
      </c>
      <c r="Z122" s="10">
        <f>Stock!AC25*AF!Z91*ACT2FLO!AA67*AF!Z57</f>
        <v>0</v>
      </c>
      <c r="AA122" s="10">
        <f>Stock!AD25*AF!AA91*ACT2FLO!AB67*AF!AA57</f>
        <v>0</v>
      </c>
      <c r="AB122" s="10">
        <f>Stock!AE25*AF!AB91*ACT2FLO!AC67*AF!AB57</f>
        <v>0</v>
      </c>
      <c r="AC122" s="10">
        <f>Stock!AF25*AF!AC91*ACT2FLO!AD67*AF!AC57</f>
        <v>0</v>
      </c>
      <c r="AD122" s="10">
        <f>Stock!AG25*AF!AD91*ACT2FLO!AE67*AF!AD57</f>
        <v>0</v>
      </c>
    </row>
    <row r="123" spans="2:30">
      <c r="B123" t="str">
        <f t="shared" si="90"/>
        <v>T-HPT-ICE_DST00</v>
      </c>
      <c r="C123" t="s">
        <v>781</v>
      </c>
      <c r="D123" s="10">
        <f>Stock!G26*AF!D92*ACT2FLO!E68*AF!D58</f>
        <v>1.2767155199999995</v>
      </c>
      <c r="E123" s="10">
        <f>Stock!H26*AF!E92*ACT2FLO!F68*AF!E58</f>
        <v>1.5264180732683506E-2</v>
      </c>
      <c r="F123" s="10">
        <f>Stock!I26*AF!F92*ACT2FLO!G68*AF!F58</f>
        <v>0.36124378711107558</v>
      </c>
      <c r="G123" s="10">
        <f>Stock!J26*AF!G92*ACT2FLO!H68*AF!G58</f>
        <v>5.9656103241498823E-2</v>
      </c>
      <c r="H123" s="10">
        <f>Stock!K26*AF!H92*ACT2FLO!I68*AF!H58</f>
        <v>2.6605339395518336E-2</v>
      </c>
      <c r="I123" s="10">
        <f>Stock!L26*AF!I92*ACT2FLO!J68*AF!I58</f>
        <v>2.2708324237969767E-2</v>
      </c>
      <c r="J123" s="10">
        <f>Stock!M26*AF!J92*ACT2FLO!K68*AF!J58</f>
        <v>1.0958562128275364E-2</v>
      </c>
      <c r="K123" s="10">
        <f>Stock!N26*AF!K92*ACT2FLO!L68*AF!K58</f>
        <v>3.4555411184416164E-2</v>
      </c>
      <c r="L123" s="10">
        <f>Stock!O26*AF!L92*ACT2FLO!M68*AF!L58</f>
        <v>5.2293734048084066E-2</v>
      </c>
      <c r="M123" s="10">
        <f>Stock!P26*AF!M92*ACT2FLO!N68*AF!M58</f>
        <v>2.0902318451850258E-2</v>
      </c>
      <c r="N123" s="10">
        <f>Stock!Q26*AF!N92*ACT2FLO!O68*AF!N58</f>
        <v>2.3800346442076774E-2</v>
      </c>
      <c r="O123" s="10">
        <f>Stock!R26*AF!O92*ACT2FLO!P68*AF!O58</f>
        <v>4.0142339416476505E-2</v>
      </c>
      <c r="P123" s="10">
        <f>Stock!S26*AF!P92*ACT2FLO!Q68*AF!P58</f>
        <v>3.8185922519013003E-2</v>
      </c>
      <c r="Q123" s="10">
        <f>Stock!T26*AF!Q92*ACT2FLO!R68*AF!Q58</f>
        <v>3.1856322667660655E-2</v>
      </c>
      <c r="R123" s="10">
        <f>Stock!U26*AF!R92*ACT2FLO!S68*AF!R58</f>
        <v>0.1455496955313432</v>
      </c>
      <c r="S123" s="10">
        <f>Stock!V26*AF!S92*ACT2FLO!T68*AF!S58</f>
        <v>3.9602092733128702E-2</v>
      </c>
      <c r="T123" s="10">
        <f>Stock!W26*AF!T92*ACT2FLO!U68*AF!T58</f>
        <v>5.2254857735882849E-2</v>
      </c>
      <c r="U123" s="10">
        <f>Stock!X26*AF!U92*ACT2FLO!V68*AF!U58</f>
        <v>4.2778153383718334E-2</v>
      </c>
      <c r="V123" s="10">
        <f>Stock!Y26*AF!V92*ACT2FLO!W68*AF!V58</f>
        <v>3.1148237560602809E-2</v>
      </c>
      <c r="W123" s="10">
        <f>Stock!Z26*AF!W92*ACT2FLO!X68*AF!W58</f>
        <v>6.9188574993234747E-2</v>
      </c>
      <c r="X123" s="10">
        <f>Stock!AA26*AF!X92*ACT2FLO!Y68*AF!X58</f>
        <v>8.5913968839687778E-3</v>
      </c>
      <c r="Y123" s="10">
        <f>Stock!AB26*AF!Y92*ACT2FLO!Z68*AF!Y58</f>
        <v>3.4990557768571746E-2</v>
      </c>
      <c r="Z123" s="10">
        <f>Stock!AC26*AF!Z92*ACT2FLO!AA68*AF!Z58</f>
        <v>1.7305053066997901E-2</v>
      </c>
      <c r="AA123" s="10">
        <f>Stock!AD26*AF!AA92*ACT2FLO!AB68*AF!AA58</f>
        <v>1.7570752552455802E-2</v>
      </c>
      <c r="AB123" s="10">
        <f>Stock!AE26*AF!AB92*ACT2FLO!AC68*AF!AB58</f>
        <v>2.0423737643028506E-2</v>
      </c>
      <c r="AC123" s="10">
        <f>Stock!AF26*AF!AC92*ACT2FLO!AD68*AF!AC58</f>
        <v>4.2681364771962209E-2</v>
      </c>
      <c r="AD123" s="10">
        <f>Stock!AG26*AF!AD92*ACT2FLO!AE68*AF!AD58</f>
        <v>1.6458353798505406E-2</v>
      </c>
    </row>
    <row r="124" spans="2:30">
      <c r="B124" t="str">
        <f t="shared" si="90"/>
        <v>T-LGT-ICE_GSL00</v>
      </c>
      <c r="C124" t="s">
        <v>782</v>
      </c>
      <c r="D124" s="10">
        <f>Stock!G28*AF!D93*ACT2FLO!E70*AF!D59</f>
        <v>7.9580551500000023E-4</v>
      </c>
      <c r="E124" s="10">
        <f>Stock!H28*AF!E93*ACT2FLO!F70*AF!E59</f>
        <v>8.8792850000000005E-6</v>
      </c>
      <c r="F124" s="10">
        <f>Stock!I28*AF!F93*ACT2FLO!G70*AF!F59</f>
        <v>2.6747075000000005E-4</v>
      </c>
      <c r="G124" s="10">
        <f>Stock!J28*AF!G93*ACT2FLO!H70*AF!G59</f>
        <v>4.5203578000000002E-5</v>
      </c>
      <c r="H124" s="10">
        <f>Stock!K28*AF!H93*ACT2FLO!I70*AF!H59</f>
        <v>1.2900645000000001E-5</v>
      </c>
      <c r="I124" s="10">
        <f>Stock!L28*AF!I93*ACT2FLO!J70*AF!I59</f>
        <v>1.86392745E-5</v>
      </c>
      <c r="J124" s="10">
        <f>Stock!M28*AF!J93*ACT2FLO!K70*AF!J59</f>
        <v>7.00212E-6</v>
      </c>
      <c r="K124" s="10">
        <f>Stock!N28*AF!K93*ACT2FLO!L70*AF!K59</f>
        <v>1.3527584999999996E-5</v>
      </c>
      <c r="L124" s="10">
        <f>Stock!O28*AF!L93*ACT2FLO!M70*AF!L59</f>
        <v>1.9826719500000001E-5</v>
      </c>
      <c r="M124" s="10">
        <f>Stock!P28*AF!M93*ACT2FLO!N70*AF!M59</f>
        <v>8.6595549999999995E-6</v>
      </c>
      <c r="N124" s="10">
        <f>Stock!Q28*AF!N93*ACT2FLO!O70*AF!N59</f>
        <v>1.2437620999999998E-5</v>
      </c>
      <c r="O124" s="10">
        <f>Stock!R28*AF!O93*ACT2FLO!P70*AF!O59</f>
        <v>2.4790961999999996E-5</v>
      </c>
      <c r="P124" s="10">
        <f>Stock!S28*AF!P93*ACT2FLO!Q70*AF!P59</f>
        <v>3.9364177999999991E-5</v>
      </c>
      <c r="Q124" s="10">
        <f>Stock!T28*AF!Q93*ACT2FLO!R70*AF!Q59</f>
        <v>1.3978439999999999E-5</v>
      </c>
      <c r="R124" s="10">
        <f>Stock!U28*AF!R93*ACT2FLO!S70*AF!R59</f>
        <v>1.1095038449999999E-4</v>
      </c>
      <c r="S124" s="10">
        <f>Stock!V28*AF!S93*ACT2FLO!T70*AF!S59</f>
        <v>1.8081220499999998E-5</v>
      </c>
      <c r="T124" s="10">
        <f>Stock!W28*AF!T93*ACT2FLO!U70*AF!T59</f>
        <v>1.2736513999999999E-5</v>
      </c>
      <c r="U124" s="10">
        <f>Stock!X28*AF!U93*ACT2FLO!V70*AF!U59</f>
        <v>2.3156725499999998E-5</v>
      </c>
      <c r="V124" s="10">
        <f>Stock!Y28*AF!V93*ACT2FLO!W70*AF!V59</f>
        <v>2.4261674999999997E-5</v>
      </c>
      <c r="W124" s="10">
        <f>Stock!Z28*AF!W93*ACT2FLO!X70*AF!W59</f>
        <v>3.8513551999999999E-5</v>
      </c>
      <c r="X124" s="10">
        <f>Stock!AA28*AF!X93*ACT2FLO!Y70*AF!X59</f>
        <v>1.762183E-6</v>
      </c>
      <c r="Y124" s="10">
        <f>Stock!AB28*AF!Y93*ACT2FLO!Z70*AF!Y59</f>
        <v>1.6610018499999996E-5</v>
      </c>
      <c r="Z124" s="10">
        <f>Stock!AC28*AF!Z93*ACT2FLO!AA70*AF!Z59</f>
        <v>1.2470730999999997E-5</v>
      </c>
      <c r="AA124" s="10">
        <f>Stock!AD28*AF!AA93*ACT2FLO!AB70*AF!AA59</f>
        <v>7.6587299999999988E-6</v>
      </c>
      <c r="AB124" s="10">
        <f>Stock!AE28*AF!AB93*ACT2FLO!AC70*AF!AB59</f>
        <v>6.3089600000000007E-6</v>
      </c>
      <c r="AC124" s="10">
        <f>Stock!AF28*AF!AC93*ACT2FLO!AD70*AF!AC59</f>
        <v>2.4140673E-5</v>
      </c>
      <c r="AD124" s="10">
        <f>Stock!AG28*AF!AD93*ACT2FLO!AE70*AF!AD59</f>
        <v>1.0767887999999998E-5</v>
      </c>
    </row>
    <row r="125" spans="2:30">
      <c r="B125" t="str">
        <f t="shared" ref="B125:B126" si="91">B26</f>
        <v>T-HGT-ICE_DST00</v>
      </c>
      <c r="C125" t="s">
        <v>782</v>
      </c>
      <c r="D125" s="10">
        <f>Stock!G31*AF!D96*ACT2FLO!E73*AF!D62</f>
        <v>10.105240679424002</v>
      </c>
      <c r="E125" s="10">
        <f>Stock!H31*AF!E96*ACT2FLO!F73*AF!E62</f>
        <v>0.17478035640000003</v>
      </c>
      <c r="F125" s="10">
        <f>Stock!I31*AF!F96*ACT2FLO!G73*AF!F62</f>
        <v>1.7660122571519998</v>
      </c>
      <c r="G125" s="10">
        <f>Stock!J31*AF!G96*ACT2FLO!H73*AF!G62</f>
        <v>0.55782974707200006</v>
      </c>
      <c r="H125" s="10">
        <f>Stock!K31*AF!H96*ACT2FLO!I73*AF!H62</f>
        <v>0.38957271604799998</v>
      </c>
      <c r="I125" s="10">
        <f>Stock!L31*AF!I96*ACT2FLO!J73*AF!I62</f>
        <v>0.21890465687999999</v>
      </c>
      <c r="J125" s="10">
        <f>Stock!M31*AF!J96*ACT2FLO!K73*AF!J62</f>
        <v>0.12980281766400001</v>
      </c>
      <c r="K125" s="10">
        <f>Stock!N31*AF!K96*ACT2FLO!L73*AF!K62</f>
        <v>0.29275740295199998</v>
      </c>
      <c r="L125" s="10">
        <f>Stock!O31*AF!L96*ACT2FLO!M73*AF!L62</f>
        <v>0.65733745881599992</v>
      </c>
      <c r="M125" s="10">
        <f>Stock!P31*AF!M96*ACT2FLO!N73*AF!M62</f>
        <v>0.145710475752</v>
      </c>
      <c r="N125" s="10">
        <f>Stock!Q31*AF!N96*ACT2FLO!O73*AF!N62</f>
        <v>0.14000757177599998</v>
      </c>
      <c r="O125" s="10">
        <f>Stock!R31*AF!O96*ACT2FLO!P73*AF!O62</f>
        <v>0.72348148919999999</v>
      </c>
      <c r="P125" s="10">
        <f>Stock!S31*AF!P96*ACT2FLO!Q73*AF!P62</f>
        <v>0.17663607878399998</v>
      </c>
      <c r="Q125" s="10">
        <f>Stock!T31*AF!Q96*ACT2FLO!R73*AF!Q62</f>
        <v>0.17715128371199998</v>
      </c>
      <c r="R125" s="10">
        <f>Stock!U31*AF!R96*ACT2FLO!S73*AF!R62</f>
        <v>1.2023005596480001</v>
      </c>
      <c r="S125" s="10">
        <f>Stock!V31*AF!S96*ACT2FLO!T73*AF!S62</f>
        <v>0.227006794368</v>
      </c>
      <c r="T125" s="10">
        <f>Stock!W31*AF!T96*ACT2FLO!U73*AF!T62</f>
        <v>0.46909359645599991</v>
      </c>
      <c r="U125" s="10">
        <f>Stock!X31*AF!U96*ACT2FLO!V73*AF!U62</f>
        <v>0.43790974919999998</v>
      </c>
      <c r="V125" s="10">
        <f>Stock!Y31*AF!V96*ACT2FLO!W73*AF!V62</f>
        <v>0.164397669744</v>
      </c>
      <c r="W125" s="10">
        <f>Stock!Z31*AF!W96*ACT2FLO!X73*AF!W62</f>
        <v>0.40004812785599997</v>
      </c>
      <c r="X125" s="10">
        <f>Stock!AA31*AF!X96*ACT2FLO!Y73*AF!X62</f>
        <v>6.500295360000001E-2</v>
      </c>
      <c r="Y125" s="10">
        <f>Stock!AB31*AF!Y96*ACT2FLO!Z73*AF!Y62</f>
        <v>0.19419185447999995</v>
      </c>
      <c r="Z125" s="10">
        <f>Stock!AC31*AF!Z96*ACT2FLO!AA73*AF!Z62</f>
        <v>0.14537068675200002</v>
      </c>
      <c r="AA125" s="10">
        <f>Stock!AD31*AF!AA96*ACT2FLO!AB73*AF!AA62</f>
        <v>9.9499937280000006E-2</v>
      </c>
      <c r="AB125" s="10">
        <f>Stock!AE31*AF!AB96*ACT2FLO!AC73*AF!AB62</f>
        <v>0.27589940831999998</v>
      </c>
      <c r="AC125" s="10">
        <f>Stock!AF31*AF!AC96*ACT2FLO!AD73*AF!AC62</f>
        <v>0.312390432</v>
      </c>
      <c r="AD125" s="10">
        <f>Stock!AG31*AF!AD96*ACT2FLO!AE73*AF!AD62</f>
        <v>0.54207259545599995</v>
      </c>
    </row>
    <row r="126" spans="2:30">
      <c r="B126" s="79" t="str">
        <f t="shared" si="91"/>
        <v>T-GTR-ICE_DST00</v>
      </c>
      <c r="C126" s="79" t="s">
        <v>782</v>
      </c>
      <c r="D126" s="274">
        <f>Stock!G32*AF!D97*ACT2FLO!E74*AF!D63</f>
        <v>9.0838999999999989E-2</v>
      </c>
      <c r="E126" s="274">
        <f>Stock!H32*AF!E97*ACT2FLO!F74*AF!E63</f>
        <v>0</v>
      </c>
      <c r="F126" s="274">
        <f>Stock!I32*AF!F97*ACT2FLO!G74*AF!F63</f>
        <v>9.0838999999999989E-2</v>
      </c>
      <c r="G126" s="274">
        <f>Stock!J32*AF!G97*ACT2FLO!H74*AF!G63</f>
        <v>0</v>
      </c>
      <c r="H126" s="274">
        <f>Stock!K32*AF!H97*ACT2FLO!I74*AF!H63</f>
        <v>0</v>
      </c>
      <c r="I126" s="274">
        <f>Stock!L32*AF!I97*ACT2FLO!J74*AF!I63</f>
        <v>0</v>
      </c>
      <c r="J126" s="274">
        <f>Stock!M32*AF!J97*ACT2FLO!K74*AF!J63</f>
        <v>0</v>
      </c>
      <c r="K126" s="274">
        <f>Stock!N32*AF!K97*ACT2FLO!L74*AF!K63</f>
        <v>0</v>
      </c>
      <c r="L126" s="274">
        <f>Stock!O32*AF!L97*ACT2FLO!M74*AF!L63</f>
        <v>9.0838999999999989E-2</v>
      </c>
      <c r="M126" s="274">
        <f>Stock!P32*AF!M97*ACT2FLO!N74*AF!M63</f>
        <v>0</v>
      </c>
      <c r="N126" s="274">
        <f>Stock!Q32*AF!N97*ACT2FLO!O74*AF!N63</f>
        <v>0</v>
      </c>
      <c r="O126" s="274">
        <f>Stock!R32*AF!O97*ACT2FLO!P74*AF!O63</f>
        <v>0</v>
      </c>
      <c r="P126" s="274">
        <f>Stock!S32*AF!P97*ACT2FLO!Q74*AF!P63</f>
        <v>0</v>
      </c>
      <c r="Q126" s="274">
        <f>Stock!T32*AF!Q97*ACT2FLO!R74*AF!Q63</f>
        <v>0</v>
      </c>
      <c r="R126" s="274">
        <f>Stock!U32*AF!R97*ACT2FLO!S74*AF!R63</f>
        <v>0</v>
      </c>
      <c r="S126" s="274">
        <f>Stock!V32*AF!S97*ACT2FLO!T74*AF!S63</f>
        <v>0</v>
      </c>
      <c r="T126" s="274">
        <f>Stock!W32*AF!T97*ACT2FLO!U74*AF!T63</f>
        <v>0</v>
      </c>
      <c r="U126" s="274">
        <f>Stock!X32*AF!U97*ACT2FLO!V74*AF!U63</f>
        <v>0</v>
      </c>
      <c r="V126" s="274">
        <f>Stock!Y32*AF!V97*ACT2FLO!W74*AF!V63</f>
        <v>9.0838999999999989E-2</v>
      </c>
      <c r="W126" s="274">
        <f>Stock!Z32*AF!W97*ACT2FLO!X74*AF!W63</f>
        <v>0</v>
      </c>
      <c r="X126" s="274">
        <f>Stock!AA32*AF!X97*ACT2FLO!Y74*AF!X63</f>
        <v>0</v>
      </c>
      <c r="Y126" s="274">
        <f>Stock!AB32*AF!Y97*ACT2FLO!Z74*AF!Y63</f>
        <v>9.0838999999999989E-2</v>
      </c>
      <c r="Z126" s="274">
        <f>Stock!AC32*AF!Z97*ACT2FLO!AA74*AF!Z63</f>
        <v>0</v>
      </c>
      <c r="AA126" s="274">
        <f>Stock!AD32*AF!AA97*ACT2FLO!AB74*AF!AA63</f>
        <v>0</v>
      </c>
      <c r="AB126" s="274">
        <f>Stock!AE32*AF!AB97*ACT2FLO!AC74*AF!AB63</f>
        <v>0</v>
      </c>
      <c r="AC126" s="274">
        <f>Stock!AF32*AF!AC97*ACT2FLO!AD74*AF!AC63</f>
        <v>0</v>
      </c>
      <c r="AD126" s="274">
        <f>Stock!AG32*AF!AD97*ACT2FLO!AE74*AF!AD63</f>
        <v>0</v>
      </c>
    </row>
    <row r="131" spans="2:30" ht="15.5">
      <c r="B131" s="101" t="s">
        <v>1032</v>
      </c>
    </row>
    <row r="132" spans="2:30" ht="17.5">
      <c r="B132" s="82" t="s">
        <v>1013</v>
      </c>
      <c r="C132" s="82" t="s">
        <v>642</v>
      </c>
      <c r="D132" s="82" t="str">
        <f>D106</f>
        <v>IE</v>
      </c>
      <c r="E132" s="82" t="str">
        <f t="shared" ref="E132:AD132" si="92">E106</f>
        <v>IE-CW</v>
      </c>
      <c r="F132" s="82" t="str">
        <f t="shared" si="92"/>
        <v>IE-D</v>
      </c>
      <c r="G132" s="82" t="str">
        <f t="shared" si="92"/>
        <v>IE-KE</v>
      </c>
      <c r="H132" s="82" t="str">
        <f t="shared" si="92"/>
        <v>IE-KK</v>
      </c>
      <c r="I132" s="82" t="str">
        <f t="shared" si="92"/>
        <v>IE-LS</v>
      </c>
      <c r="J132" s="82" t="str">
        <f t="shared" si="92"/>
        <v>IE-LD</v>
      </c>
      <c r="K132" s="82" t="str">
        <f t="shared" si="92"/>
        <v>IE-LH</v>
      </c>
      <c r="L132" s="82" t="str">
        <f t="shared" si="92"/>
        <v>IE-MH</v>
      </c>
      <c r="M132" s="82" t="str">
        <f t="shared" si="92"/>
        <v>IE-OY</v>
      </c>
      <c r="N132" s="82" t="str">
        <f t="shared" si="92"/>
        <v>IE-WH</v>
      </c>
      <c r="O132" s="82" t="str">
        <f t="shared" si="92"/>
        <v>IE-WX</v>
      </c>
      <c r="P132" s="82" t="str">
        <f t="shared" si="92"/>
        <v>IE-WW</v>
      </c>
      <c r="Q132" s="82" t="str">
        <f t="shared" si="92"/>
        <v>IE-CE</v>
      </c>
      <c r="R132" s="82" t="str">
        <f t="shared" si="92"/>
        <v>IE-CO</v>
      </c>
      <c r="S132" s="82" t="str">
        <f t="shared" si="92"/>
        <v>IE-KY</v>
      </c>
      <c r="T132" s="82" t="str">
        <f t="shared" si="92"/>
        <v>IE-LK</v>
      </c>
      <c r="U132" s="82" t="str">
        <f t="shared" si="92"/>
        <v>IE-TA</v>
      </c>
      <c r="V132" s="82" t="str">
        <f t="shared" si="92"/>
        <v>IE-WD</v>
      </c>
      <c r="W132" s="82" t="str">
        <f t="shared" si="92"/>
        <v>IE-G</v>
      </c>
      <c r="X132" s="82" t="str">
        <f t="shared" si="92"/>
        <v>IE-LM</v>
      </c>
      <c r="Y132" s="82" t="str">
        <f t="shared" si="92"/>
        <v>IE-MO</v>
      </c>
      <c r="Z132" s="82" t="str">
        <f t="shared" si="92"/>
        <v>IE-RN</v>
      </c>
      <c r="AA132" s="82" t="str">
        <f t="shared" si="92"/>
        <v>IE-SO</v>
      </c>
      <c r="AB132" s="82" t="str">
        <f t="shared" si="92"/>
        <v>IE-CN</v>
      </c>
      <c r="AC132" s="82" t="str">
        <f t="shared" si="92"/>
        <v>IE-DL</v>
      </c>
      <c r="AD132" s="82" t="str">
        <f t="shared" si="92"/>
        <v>IE-MN</v>
      </c>
    </row>
    <row r="133" spans="2:30">
      <c r="B133" s="766" t="s">
        <v>1010</v>
      </c>
      <c r="C133" t="s">
        <v>636</v>
      </c>
      <c r="D133" s="346">
        <v>18812</v>
      </c>
      <c r="E133" s="346">
        <v>18327</v>
      </c>
      <c r="F133" s="346">
        <v>20874</v>
      </c>
      <c r="G133" s="346">
        <v>19721</v>
      </c>
      <c r="H133" s="346">
        <v>17550</v>
      </c>
      <c r="I133" s="346">
        <v>18496</v>
      </c>
      <c r="J133" s="346">
        <v>18161</v>
      </c>
      <c r="K133" s="346">
        <v>19163</v>
      </c>
      <c r="L133" s="346">
        <v>19238</v>
      </c>
      <c r="M133" s="346">
        <v>18565</v>
      </c>
      <c r="N133" s="346">
        <v>19338</v>
      </c>
      <c r="O133" s="346">
        <v>18918</v>
      </c>
      <c r="P133" s="346">
        <v>17802</v>
      </c>
      <c r="Q133" s="346">
        <v>18458</v>
      </c>
      <c r="R133" s="346">
        <v>17796</v>
      </c>
      <c r="S133" s="346">
        <v>17679</v>
      </c>
      <c r="T133" s="346">
        <v>18705</v>
      </c>
      <c r="U133" s="346">
        <v>17793</v>
      </c>
      <c r="V133" s="346">
        <v>17605</v>
      </c>
      <c r="W133" s="346">
        <v>18640</v>
      </c>
      <c r="X133" s="346">
        <v>18071</v>
      </c>
      <c r="Y133" s="346">
        <v>17930</v>
      </c>
      <c r="Z133" s="346">
        <v>18533</v>
      </c>
      <c r="AA133" s="346">
        <v>17813</v>
      </c>
      <c r="AB133" s="346">
        <v>17732</v>
      </c>
      <c r="AC133" s="346">
        <v>17350</v>
      </c>
      <c r="AD133" s="346">
        <v>17979</v>
      </c>
    </row>
    <row r="134" spans="2:30">
      <c r="B134" s="766"/>
      <c r="C134" t="s">
        <v>637</v>
      </c>
      <c r="D134" s="346">
        <v>22777</v>
      </c>
      <c r="E134" s="346">
        <v>22972</v>
      </c>
      <c r="F134" s="346">
        <v>23876</v>
      </c>
      <c r="G134" s="346">
        <v>23187</v>
      </c>
      <c r="H134" s="346">
        <v>22452</v>
      </c>
      <c r="I134" s="346">
        <v>22787</v>
      </c>
      <c r="J134" s="346">
        <v>22549</v>
      </c>
      <c r="K134" s="346">
        <v>22783</v>
      </c>
      <c r="L134" s="346">
        <v>24675</v>
      </c>
      <c r="M134" s="346">
        <v>21712</v>
      </c>
      <c r="N134" s="346">
        <v>21983</v>
      </c>
      <c r="O134" s="346">
        <v>22263</v>
      </c>
      <c r="P134" s="346">
        <v>22000</v>
      </c>
      <c r="Q134" s="346">
        <v>22177</v>
      </c>
      <c r="R134" s="346">
        <v>21597</v>
      </c>
      <c r="S134" s="346">
        <v>22368</v>
      </c>
      <c r="T134" s="346">
        <v>23609</v>
      </c>
      <c r="U134" s="346">
        <v>22098</v>
      </c>
      <c r="V134" s="346">
        <v>20010</v>
      </c>
      <c r="W134" s="346">
        <v>22072</v>
      </c>
      <c r="X134" s="346">
        <v>22910</v>
      </c>
      <c r="Y134" s="346">
        <v>22731</v>
      </c>
      <c r="Z134" s="346">
        <v>22898</v>
      </c>
      <c r="AA134" s="346">
        <v>21767</v>
      </c>
      <c r="AB134" s="346">
        <v>24188</v>
      </c>
      <c r="AC134" s="346">
        <v>21368</v>
      </c>
      <c r="AD134" s="346">
        <v>23757</v>
      </c>
    </row>
    <row r="135" spans="2:30">
      <c r="B135" s="766" t="s">
        <v>1011</v>
      </c>
      <c r="C135" t="s">
        <v>638</v>
      </c>
      <c r="D135" s="346">
        <v>24886</v>
      </c>
      <c r="E135" s="346">
        <v>26210</v>
      </c>
      <c r="F135" s="346">
        <v>29256</v>
      </c>
      <c r="G135" s="346">
        <v>17558</v>
      </c>
      <c r="H135" s="346">
        <v>19522</v>
      </c>
      <c r="I135" s="346">
        <v>21770</v>
      </c>
      <c r="J135" s="346">
        <v>20540</v>
      </c>
      <c r="K135" s="346">
        <v>23423</v>
      </c>
      <c r="L135" s="346">
        <v>22646</v>
      </c>
      <c r="M135" s="346">
        <v>16971</v>
      </c>
      <c r="N135" s="346">
        <v>20521</v>
      </c>
      <c r="O135" s="346">
        <v>25577</v>
      </c>
      <c r="P135" s="346">
        <v>21935</v>
      </c>
      <c r="Q135" s="346">
        <v>21810</v>
      </c>
      <c r="R135" s="346">
        <v>27526</v>
      </c>
      <c r="S135" s="346">
        <v>20496</v>
      </c>
      <c r="T135" s="346">
        <v>25046</v>
      </c>
      <c r="U135" s="346">
        <v>24342</v>
      </c>
      <c r="V135" s="346">
        <v>23562</v>
      </c>
      <c r="W135" s="346">
        <v>25393</v>
      </c>
      <c r="X135" s="346">
        <v>27179</v>
      </c>
      <c r="Y135" s="346">
        <v>20837</v>
      </c>
      <c r="Z135" s="346">
        <v>29842</v>
      </c>
      <c r="AA135" s="346">
        <v>15596</v>
      </c>
      <c r="AB135" s="346">
        <v>25082</v>
      </c>
      <c r="AC135" s="346">
        <v>21056</v>
      </c>
      <c r="AD135" s="346">
        <v>31334</v>
      </c>
    </row>
    <row r="136" spans="2:30">
      <c r="B136" s="766"/>
      <c r="C136" t="s">
        <v>639</v>
      </c>
      <c r="D136" s="346">
        <v>33909</v>
      </c>
      <c r="E136" s="346">
        <v>36135</v>
      </c>
      <c r="F136" s="346">
        <v>37356</v>
      </c>
      <c r="G136" s="346">
        <v>32526</v>
      </c>
      <c r="H136" s="346">
        <v>30053</v>
      </c>
      <c r="I136" s="346">
        <v>30410</v>
      </c>
      <c r="J136" s="346">
        <v>28673</v>
      </c>
      <c r="K136" s="346">
        <v>35555</v>
      </c>
      <c r="L136" s="346">
        <v>33548</v>
      </c>
      <c r="M136" s="346">
        <v>32090</v>
      </c>
      <c r="N136" s="346">
        <v>33034</v>
      </c>
      <c r="O136" s="346">
        <v>39121</v>
      </c>
      <c r="P136" s="346">
        <v>30965</v>
      </c>
      <c r="Q136" s="346">
        <v>29562</v>
      </c>
      <c r="R136" s="346">
        <v>31318</v>
      </c>
      <c r="S136" s="346">
        <v>32713</v>
      </c>
      <c r="T136" s="346">
        <v>35585</v>
      </c>
      <c r="U136" s="346">
        <v>29017</v>
      </c>
      <c r="V136" s="346">
        <v>28410</v>
      </c>
      <c r="W136" s="346">
        <v>32278</v>
      </c>
      <c r="X136" s="346">
        <v>25860</v>
      </c>
      <c r="Y136" s="346">
        <v>33906</v>
      </c>
      <c r="Z136" s="346">
        <v>38159</v>
      </c>
      <c r="AA136" s="346">
        <v>29685</v>
      </c>
      <c r="AB136" s="346">
        <v>36598</v>
      </c>
      <c r="AC136" s="346">
        <v>25343</v>
      </c>
      <c r="AD136" s="346">
        <v>32265</v>
      </c>
    </row>
    <row r="137" spans="2:30">
      <c r="B137" s="766" t="s">
        <v>1012</v>
      </c>
      <c r="C137" t="s">
        <v>640</v>
      </c>
      <c r="D137" s="347">
        <v>43778</v>
      </c>
      <c r="E137" s="347">
        <v>33395</v>
      </c>
      <c r="F137" s="347">
        <v>43605</v>
      </c>
      <c r="G137" s="347">
        <v>50666</v>
      </c>
      <c r="H137" s="347">
        <v>53428</v>
      </c>
      <c r="I137" s="347">
        <v>41522</v>
      </c>
      <c r="J137" s="347">
        <v>38587</v>
      </c>
      <c r="K137" s="347">
        <v>45110</v>
      </c>
      <c r="L137" s="347">
        <v>50321</v>
      </c>
      <c r="M137" s="347">
        <v>37139</v>
      </c>
      <c r="N137" s="347">
        <v>39912</v>
      </c>
      <c r="O137" s="347">
        <v>47642</v>
      </c>
      <c r="P137" s="347">
        <v>36894</v>
      </c>
      <c r="Q137" s="347">
        <v>39750</v>
      </c>
      <c r="R137" s="347">
        <v>45961</v>
      </c>
      <c r="S137" s="347">
        <v>39555</v>
      </c>
      <c r="T137" s="347">
        <v>47304</v>
      </c>
      <c r="U137" s="347">
        <v>34552</v>
      </c>
      <c r="V137" s="347">
        <v>38682</v>
      </c>
      <c r="W137" s="347">
        <v>34222</v>
      </c>
      <c r="X137" s="347">
        <v>42807</v>
      </c>
      <c r="Y137" s="347">
        <v>29929</v>
      </c>
      <c r="Z137" s="347">
        <v>39795</v>
      </c>
      <c r="AA137" s="347">
        <v>37003</v>
      </c>
      <c r="AB137" s="347">
        <v>53670</v>
      </c>
      <c r="AC137" s="347">
        <v>35221</v>
      </c>
      <c r="AD137" s="347">
        <v>47146</v>
      </c>
    </row>
    <row r="138" spans="2:30">
      <c r="B138" s="780"/>
      <c r="C138" s="79" t="s">
        <v>641</v>
      </c>
      <c r="D138" s="348">
        <v>58054</v>
      </c>
      <c r="E138" s="348">
        <v>64370</v>
      </c>
      <c r="F138" s="348">
        <v>55611</v>
      </c>
      <c r="G138" s="348">
        <v>58768</v>
      </c>
      <c r="H138" s="348">
        <v>65766</v>
      </c>
      <c r="I138" s="348">
        <v>63432</v>
      </c>
      <c r="J138" s="348">
        <v>64009</v>
      </c>
      <c r="K138" s="348">
        <v>58399</v>
      </c>
      <c r="L138" s="348">
        <v>50380</v>
      </c>
      <c r="M138" s="348">
        <v>61272</v>
      </c>
      <c r="N138" s="348">
        <v>56742</v>
      </c>
      <c r="O138" s="348">
        <v>65903</v>
      </c>
      <c r="P138" s="348">
        <v>60412</v>
      </c>
      <c r="Q138" s="348">
        <v>57594</v>
      </c>
      <c r="R138" s="348">
        <v>56573</v>
      </c>
      <c r="S138" s="348">
        <v>56417</v>
      </c>
      <c r="T138" s="348">
        <v>61445</v>
      </c>
      <c r="U138" s="348">
        <v>56429</v>
      </c>
      <c r="V138" s="348">
        <v>61495</v>
      </c>
      <c r="W138" s="348">
        <v>50837</v>
      </c>
      <c r="X138" s="348">
        <v>62233</v>
      </c>
      <c r="Y138" s="348">
        <v>44392</v>
      </c>
      <c r="Z138" s="348">
        <v>57483</v>
      </c>
      <c r="AA138" s="348">
        <v>56557</v>
      </c>
      <c r="AB138" s="348">
        <v>69665</v>
      </c>
      <c r="AC138" s="348">
        <v>59429</v>
      </c>
      <c r="AD138" s="348">
        <v>66998</v>
      </c>
    </row>
    <row r="139" spans="2:30">
      <c r="B139" t="s">
        <v>643</v>
      </c>
      <c r="C139" s="340"/>
    </row>
  </sheetData>
  <mergeCells count="3">
    <mergeCell ref="B133:B134"/>
    <mergeCell ref="B135:B136"/>
    <mergeCell ref="B137:B138"/>
  </mergeCells>
  <phoneticPr fontId="36" type="noConversion"/>
  <pageMargins left="0.7" right="0.7" top="0.75" bottom="0.75" header="0.3" footer="0.3"/>
  <pageSetup orientation="portrait" r:id="rId1"/>
  <ignoredErrors>
    <ignoredError sqref="D93:AD93 D95:AD96" formulaRange="1"/>
    <ignoredError sqref="D94:AD94" formula="1"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67C5-DF59-4E80-B6DE-BC1A0E445454}">
  <sheetPr codeName="Sheet11"/>
  <dimension ref="A1:D80"/>
  <sheetViews>
    <sheetView workbookViewId="0">
      <selection activeCell="P18" sqref="P18"/>
    </sheetView>
  </sheetViews>
  <sheetFormatPr defaultRowHeight="14.5"/>
  <cols>
    <col min="1" max="1" width="28.7265625" customWidth="1"/>
    <col min="2" max="2" width="9.453125" customWidth="1"/>
  </cols>
  <sheetData>
    <row r="1" spans="1:4">
      <c r="A1" t="s">
        <v>273</v>
      </c>
    </row>
    <row r="2" spans="1:4">
      <c r="A2" s="90"/>
      <c r="B2" s="90" t="s">
        <v>19</v>
      </c>
      <c r="C2" s="90" t="s">
        <v>18</v>
      </c>
      <c r="D2" s="90" t="s">
        <v>742</v>
      </c>
    </row>
    <row r="3" spans="1:4">
      <c r="A3" s="90" t="s">
        <v>740</v>
      </c>
      <c r="B3" s="249">
        <v>0.36</v>
      </c>
      <c r="C3" s="249">
        <v>0.34</v>
      </c>
      <c r="D3" s="249">
        <v>0.35</v>
      </c>
    </row>
    <row r="4" spans="1:4">
      <c r="A4" s="90" t="s">
        <v>741</v>
      </c>
      <c r="B4" s="249">
        <v>0.41</v>
      </c>
      <c r="C4" s="249">
        <v>0.41</v>
      </c>
      <c r="D4" s="249">
        <v>0.41</v>
      </c>
    </row>
    <row r="5" spans="1:4">
      <c r="A5" s="90" t="s">
        <v>749</v>
      </c>
      <c r="B5" s="249">
        <v>0.45</v>
      </c>
      <c r="C5" s="249">
        <v>0.45</v>
      </c>
      <c r="D5" s="249">
        <v>0.45</v>
      </c>
    </row>
    <row r="6" spans="1:4">
      <c r="A6" s="90" t="s">
        <v>743</v>
      </c>
      <c r="B6" s="249">
        <v>0.4</v>
      </c>
      <c r="C6" s="249">
        <v>0.4</v>
      </c>
      <c r="D6" s="249">
        <v>0.4</v>
      </c>
    </row>
    <row r="30" spans="1:2">
      <c r="A30" s="52" t="s">
        <v>735</v>
      </c>
      <c r="B30" s="248" t="s">
        <v>734</v>
      </c>
    </row>
    <row r="31" spans="1:2">
      <c r="B31" s="248" t="s">
        <v>736</v>
      </c>
    </row>
    <row r="32" spans="1:2">
      <c r="B32" s="248"/>
    </row>
    <row r="33" spans="2:2">
      <c r="B33" s="248"/>
    </row>
    <row r="35" spans="2:2">
      <c r="B35" t="s">
        <v>738</v>
      </c>
    </row>
    <row r="57" spans="2:2">
      <c r="B57" s="94" t="s">
        <v>737</v>
      </c>
    </row>
    <row r="60" spans="2:2">
      <c r="B60" t="s">
        <v>739</v>
      </c>
    </row>
    <row r="80" spans="2:2">
      <c r="B80" s="94" t="s">
        <v>737</v>
      </c>
    </row>
  </sheetData>
  <hyperlinks>
    <hyperlink ref="B57" r:id="rId1" display="https://theicct.org/sites/default/files/publications/Lab-to-road-2017_ICCT-white paper_06112017_vF.pdf" xr:uid="{AA87CB3C-B94B-4AC7-88FA-9F1A4EC42336}"/>
    <hyperlink ref="B80" r:id="rId2" display="https://theicct.org/sites/default/files/publications/Lab-to-road-2017_ICCT-white paper_06112017_vF.pdf" xr:uid="{F52DF64B-D187-4305-8942-4C45C264964C}"/>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5F936-B499-4B37-99DD-6FFA104E9649}">
  <sheetPr codeName="Sheet6">
    <tabColor theme="0" tint="-0.499984740745262"/>
  </sheetPr>
  <dimension ref="A1:E11"/>
  <sheetViews>
    <sheetView workbookViewId="0">
      <selection activeCell="C14" sqref="C14"/>
    </sheetView>
  </sheetViews>
  <sheetFormatPr defaultColWidth="9.1796875" defaultRowHeight="14.5"/>
  <cols>
    <col min="1" max="16384" width="9.1796875" style="37"/>
  </cols>
  <sheetData>
    <row r="1" spans="1:5">
      <c r="A1" s="122" t="s">
        <v>1113</v>
      </c>
      <c r="B1" s="122"/>
    </row>
    <row r="2" spans="1:5">
      <c r="A2" s="37" t="s">
        <v>1112</v>
      </c>
      <c r="B2" s="3" t="s">
        <v>1102</v>
      </c>
      <c r="C2" s="37">
        <v>4.1868000000000002E-2</v>
      </c>
      <c r="D2" s="37" t="s">
        <v>86</v>
      </c>
    </row>
    <row r="3" spans="1:5">
      <c r="A3" s="37" t="s">
        <v>1111</v>
      </c>
      <c r="B3" s="3" t="s">
        <v>1102</v>
      </c>
      <c r="C3" s="37">
        <v>1.0550999999999999</v>
      </c>
      <c r="D3" s="37" t="s">
        <v>1107</v>
      </c>
    </row>
    <row r="4" spans="1:5">
      <c r="A4" s="37" t="s">
        <v>1110</v>
      </c>
      <c r="B4" s="3" t="s">
        <v>1102</v>
      </c>
      <c r="C4" s="37">
        <v>7.33</v>
      </c>
      <c r="D4" s="37" t="s">
        <v>1109</v>
      </c>
      <c r="E4" s="411"/>
    </row>
    <row r="5" spans="1:5">
      <c r="A5" s="37" t="s">
        <v>1108</v>
      </c>
      <c r="B5" s="3" t="s">
        <v>1102</v>
      </c>
      <c r="C5" s="37">
        <f>C2/C4*1000</f>
        <v>5.7118690313778995</v>
      </c>
      <c r="D5" s="37" t="s">
        <v>1107</v>
      </c>
    </row>
    <row r="9" spans="1:5">
      <c r="A9" s="122" t="s">
        <v>1106</v>
      </c>
    </row>
    <row r="10" spans="1:5">
      <c r="A10" s="37" t="s">
        <v>1105</v>
      </c>
      <c r="B10" s="3" t="s">
        <v>1102</v>
      </c>
      <c r="C10" s="37">
        <v>1.1194745098039223</v>
      </c>
      <c r="D10" s="37" t="s">
        <v>1104</v>
      </c>
    </row>
    <row r="11" spans="1:5">
      <c r="A11" s="37" t="s">
        <v>1103</v>
      </c>
      <c r="B11" s="3" t="s">
        <v>1102</v>
      </c>
      <c r="C11" s="37">
        <v>1.1809545098039216</v>
      </c>
      <c r="D11" s="37" t="s">
        <v>1101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935B8855D2CD4A84AB51A7B8A3B83B" ma:contentTypeVersion="10" ma:contentTypeDescription="Create a new document." ma:contentTypeScope="" ma:versionID="e421764a57937fcf26ae632194b5ffa5">
  <xsd:schema xmlns:xsd="http://www.w3.org/2001/XMLSchema" xmlns:xs="http://www.w3.org/2001/XMLSchema" xmlns:p="http://schemas.microsoft.com/office/2006/metadata/properties" xmlns:ns2="795b6ce3-4d29-4fa5-96ed-ea1b36830f13" xmlns:ns3="424ab569-3a9e-4e02-994b-fd1ed8ea43ac" targetNamespace="http://schemas.microsoft.com/office/2006/metadata/properties" ma:root="true" ma:fieldsID="55eea84eba4fad664f54c29f244f7a2e" ns2:_="" ns3:_="">
    <xsd:import namespace="795b6ce3-4d29-4fa5-96ed-ea1b36830f13"/>
    <xsd:import namespace="424ab569-3a9e-4e02-994b-fd1ed8ea43a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5b6ce3-4d29-4fa5-96ed-ea1b36830f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4ab569-3a9e-4e02-994b-fd1ed8ea43a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DF8FCC-D083-4446-8A05-C51C0905BA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5b6ce3-4d29-4fa5-96ed-ea1b36830f13"/>
    <ds:schemaRef ds:uri="424ab569-3a9e-4e02-994b-fd1ed8ea43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75005F-696C-4AD4-A525-BE5136AE57E5}">
  <ds:schemaRefs>
    <ds:schemaRef ds:uri="http://schemas.microsoft.com/sharepoint/v3/contenttype/forms"/>
  </ds:schemaRefs>
</ds:datastoreItem>
</file>

<file path=customXml/itemProps3.xml><?xml version="1.0" encoding="utf-8"?>
<ds:datastoreItem xmlns:ds="http://schemas.openxmlformats.org/officeDocument/2006/customXml" ds:itemID="{563F54FE-416D-4076-AAEF-99693903B123}">
  <ds:schemaRefs>
    <ds:schemaRef ds:uri="424ab569-3a9e-4e02-994b-fd1ed8ea43ac"/>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 ds:uri="795b6ce3-4d29-4fa5-96ed-ea1b36830f13"/>
    <ds:schemaRef ds:uri="http://purl.org/dc/dcmitype/"/>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Intro</vt:lpstr>
      <vt:lpstr>EB2018</vt:lpstr>
      <vt:lpstr>Regions</vt:lpstr>
      <vt:lpstr>Commodities</vt:lpstr>
      <vt:lpstr>Processes</vt:lpstr>
      <vt:lpstr>FT</vt:lpstr>
      <vt:lpstr>Stock</vt:lpstr>
      <vt:lpstr>ACT2FLO</vt:lpstr>
      <vt:lpstr>Demands</vt:lpstr>
      <vt:lpstr>Aviation</vt:lpstr>
      <vt:lpstr>Efficiency</vt:lpstr>
      <vt:lpstr>AF</vt:lpstr>
      <vt:lpstr>On-Road Fac.</vt:lpstr>
      <vt:lpstr>Conversions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Vahid Aryanpur</dc:creator>
  <cp:lastModifiedBy>Vahid Aryanpur</cp:lastModifiedBy>
  <dcterms:created xsi:type="dcterms:W3CDTF">2015-07-22T10:23:34Z</dcterms:created>
  <dcterms:modified xsi:type="dcterms:W3CDTF">2025-08-14T14:12:39Z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0x010100F4935B8855D2CD4A84AB51A7B8A3B83B</vt:lpwstr>
  </property>
  <property fmtid="{D5CDD505-2E9C-101B-9397-08002B2CF9AE}" pid="3" name="SaveCode">
    <vt:r8>162700831890106</vt:r8>
  </property>
</Properties>
</file>