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olenvdf\Desktop\Vesta\PD\VestaDV_SAWEC-WP5\isolatie\"/>
    </mc:Choice>
  </mc:AlternateContent>
  <xr:revisionPtr revIDLastSave="0" documentId="13_ncr:1_{E9A0A547-23BC-4E26-931D-49380715A6BC}" xr6:coauthVersionLast="47" xr6:coauthVersionMax="47" xr10:uidLastSave="{00000000-0000-0000-0000-000000000000}"/>
  <bookViews>
    <workbookView xWindow="-110" yWindow="-110" windowWidth="19420" windowHeight="10420" activeTab="1" xr2:uid="{943CE3BD-1ECF-4364-9907-DF0383AD0E42}"/>
  </bookViews>
  <sheets>
    <sheet name="Minimum versie" sheetId="8" r:id="rId1"/>
    <sheet name="Kentallen" sheetId="6" r:id="rId2"/>
    <sheet name="NTA 8800" sheetId="11" r:id="rId3"/>
    <sheet name="Correctie binnentemp" sheetId="9" r:id="rId4"/>
    <sheet name="Buitentemperatuur" sheetId="10" r:id="rId5"/>
    <sheet name="Rekensheet" sheetId="1" r:id="rId6"/>
    <sheet name="Model Frans" sheetId="2" r:id="rId7"/>
  </sheets>
  <definedNames>
    <definedName name="binnentempertuur">Rekensheet!$J$18</definedName>
    <definedName name="BinnenTempTheoretisch">Kentallen!$C$45</definedName>
    <definedName name="buitentemperatuur">Rekensheet!$J$17</definedName>
    <definedName name="BuitenTempTheoretisch">Kentallen!$C$44</definedName>
    <definedName name="SchalingTempVerschil">'Minimum versie'!$D$15</definedName>
    <definedName name="StookseizoenTheoretisch">Kentallen!$C$46</definedName>
    <definedName name="stookuren">Rekensheet!$J$16</definedName>
    <definedName name="StookurenTheoretisch">Rekensheet!$K$16</definedName>
    <definedName name="temperatuurverschil">Rekensheet!$J$19</definedName>
    <definedName name="TemperatuurVerschilCorrectieTheoretisch">Rekensheet!$K$20</definedName>
    <definedName name="TempVerschilCorrectie">Rekensheet!$J$20</definedName>
    <definedName name="UrenStookseizoen">Stookseizoen[uren]</definedName>
    <definedName name="Vloeroppervlakte">'Minimum versie'!$D$7</definedName>
    <definedName name="Weerstation">'Minimum versie'!$D$4</definedName>
    <definedName name="Zichtjaar">'Minimum versie'!$D$3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53" i="6" l="1"/>
  <c r="L54" i="6"/>
  <c r="L56" i="6"/>
  <c r="L58" i="6"/>
  <c r="L59" i="6"/>
  <c r="L60" i="6"/>
  <c r="L61" i="6"/>
  <c r="L52" i="6"/>
  <c r="K53" i="6"/>
  <c r="K54" i="6"/>
  <c r="K57" i="6"/>
  <c r="K58" i="6"/>
  <c r="K59" i="6"/>
  <c r="K60" i="6"/>
  <c r="K61" i="6"/>
  <c r="K52" i="6"/>
  <c r="J53" i="6"/>
  <c r="J54" i="6"/>
  <c r="J55" i="6"/>
  <c r="J57" i="6"/>
  <c r="J58" i="6"/>
  <c r="J59" i="6"/>
  <c r="J60" i="6"/>
  <c r="J61" i="6"/>
  <c r="J52" i="6"/>
  <c r="I53" i="6"/>
  <c r="I54" i="6"/>
  <c r="I55" i="6"/>
  <c r="I56" i="6"/>
  <c r="I57" i="6"/>
  <c r="I58" i="6"/>
  <c r="I59" i="6"/>
  <c r="I60" i="6"/>
  <c r="I61" i="6"/>
  <c r="I52" i="6"/>
  <c r="C61" i="6"/>
  <c r="D61" i="6"/>
  <c r="E61" i="6"/>
  <c r="F61" i="6"/>
  <c r="G61" i="6"/>
  <c r="E88" i="6"/>
  <c r="E86" i="6"/>
  <c r="M11" i="6" l="1"/>
  <c r="M10" i="6"/>
  <c r="K10" i="6"/>
  <c r="D10" i="6" s="1"/>
  <c r="F86" i="6" l="1" a="1"/>
  <c r="F86" i="6" s="1"/>
  <c r="G86" i="6" s="1" a="1"/>
  <c r="G86" i="6" s="1"/>
  <c r="F10" i="6"/>
  <c r="E10" i="6"/>
  <c r="F28" i="8"/>
  <c r="D11" i="8"/>
  <c r="C44" i="6"/>
  <c r="C46" i="6"/>
  <c r="D21" i="11"/>
  <c r="D20" i="11"/>
  <c r="D13" i="8"/>
  <c r="H86" i="6" l="1"/>
  <c r="C25" i="10"/>
  <c r="C26" i="10"/>
  <c r="C27" i="10"/>
  <c r="C28" i="10" s="1"/>
  <c r="C29" i="10" s="1"/>
  <c r="C30" i="10" s="1"/>
  <c r="C31" i="10" s="1"/>
  <c r="C32" i="10" s="1"/>
  <c r="C33" i="10" s="1"/>
  <c r="C34" i="10" s="1"/>
  <c r="C35" i="10" s="1"/>
  <c r="C36" i="10" s="1"/>
  <c r="C37" i="10" s="1"/>
  <c r="C38" i="10" s="1"/>
  <c r="C39" i="10" s="1"/>
  <c r="C40" i="10" s="1"/>
  <c r="C41" i="10" s="1"/>
  <c r="C42" i="10" s="1"/>
  <c r="C43" i="10" s="1"/>
  <c r="C44" i="10" s="1"/>
  <c r="C45" i="10" s="1"/>
  <c r="C46" i="10" s="1"/>
  <c r="C47" i="10" s="1"/>
  <c r="C48" i="10" s="1"/>
  <c r="C49" i="10" s="1"/>
  <c r="C50" i="10" s="1"/>
  <c r="C51" i="10" s="1"/>
  <c r="C52" i="10" s="1"/>
  <c r="C53" i="10" s="1"/>
  <c r="C54" i="10" s="1"/>
  <c r="C55" i="10" s="1"/>
  <c r="C24" i="10"/>
  <c r="C20" i="10"/>
  <c r="C19" i="10" s="1"/>
  <c r="C18" i="10" s="1"/>
  <c r="C17" i="10" s="1"/>
  <c r="C16" i="10" s="1"/>
  <c r="C15" i="10" s="1"/>
  <c r="C14" i="10" s="1"/>
  <c r="C13" i="10" s="1"/>
  <c r="C12" i="10" s="1"/>
  <c r="C11" i="10" s="1"/>
  <c r="C10" i="10" s="1"/>
  <c r="C9" i="10" s="1"/>
  <c r="C8" i="10" s="1"/>
  <c r="C7" i="10" s="1"/>
  <c r="C6" i="10" s="1"/>
  <c r="C5" i="10" s="1"/>
  <c r="C21" i="10"/>
  <c r="C22" i="10"/>
  <c r="H27" i="1"/>
  <c r="H28" i="1"/>
  <c r="H29" i="1"/>
  <c r="H30" i="1"/>
  <c r="H31" i="1"/>
  <c r="H32" i="1"/>
  <c r="H33" i="1"/>
  <c r="H34" i="1"/>
  <c r="H35" i="1"/>
  <c r="H36" i="1"/>
  <c r="C69" i="1"/>
  <c r="C70" i="1"/>
  <c r="C71" i="1"/>
  <c r="C72" i="1"/>
  <c r="F66" i="6"/>
  <c r="F67" i="6"/>
  <c r="F68" i="6"/>
  <c r="F69" i="6"/>
  <c r="F70" i="6"/>
  <c r="F71" i="6"/>
  <c r="E66" i="6"/>
  <c r="E67" i="6"/>
  <c r="E68" i="6"/>
  <c r="E69" i="6"/>
  <c r="E70" i="6"/>
  <c r="G70" i="6" s="1"/>
  <c r="E71" i="6"/>
  <c r="F116" i="6"/>
  <c r="F118" i="6" s="1"/>
  <c r="E116" i="6"/>
  <c r="E118" i="6" s="1"/>
  <c r="D116" i="6"/>
  <c r="D118" i="6" s="1"/>
  <c r="C116" i="6"/>
  <c r="C118" i="6" s="1"/>
  <c r="C109" i="6"/>
  <c r="G84" i="6" a="1"/>
  <c r="G84" i="6" s="1"/>
  <c r="H84" i="6" s="1"/>
  <c r="F85" i="6" a="1"/>
  <c r="F85" i="6" s="1"/>
  <c r="G85" i="6" s="1" a="1"/>
  <c r="G85" i="6" s="1"/>
  <c r="H85" i="6" s="1"/>
  <c r="F87" i="6" a="1"/>
  <c r="F87" i="6" s="1"/>
  <c r="G87" i="6" s="1" a="1"/>
  <c r="G87" i="6" s="1"/>
  <c r="H87" i="6" s="1"/>
  <c r="F88" i="6" a="1"/>
  <c r="F88" i="6" s="1"/>
  <c r="G88" i="6" s="1" a="1"/>
  <c r="G88" i="6" s="1"/>
  <c r="H88" i="6" s="1"/>
  <c r="G34" i="8" s="1"/>
  <c r="C95" i="6"/>
  <c r="C102" i="6" s="1"/>
  <c r="C103" i="6" s="1"/>
  <c r="G43" i="8" s="1"/>
  <c r="H14" i="9"/>
  <c r="H15" i="9" s="1"/>
  <c r="H16" i="9" s="1"/>
  <c r="I13" i="9"/>
  <c r="I14" i="9" s="1"/>
  <c r="I15" i="9" s="1"/>
  <c r="I16" i="9" s="1"/>
  <c r="H13" i="9"/>
  <c r="G13" i="9"/>
  <c r="G14" i="9" s="1"/>
  <c r="G15" i="9" s="1"/>
  <c r="G16" i="9" s="1"/>
  <c r="F13" i="9"/>
  <c r="F14" i="9" s="1"/>
  <c r="F15" i="9" s="1"/>
  <c r="F16" i="9" s="1"/>
  <c r="E13" i="9"/>
  <c r="E14" i="9" s="1"/>
  <c r="E15" i="9" s="1"/>
  <c r="E16" i="9" s="1"/>
  <c r="D13" i="9"/>
  <c r="D14" i="9" s="1"/>
  <c r="D15" i="9" s="1"/>
  <c r="D16" i="9" s="1"/>
  <c r="C13" i="9"/>
  <c r="C14" i="9" s="1"/>
  <c r="C15" i="9" s="1"/>
  <c r="C16" i="9" s="1"/>
  <c r="B13" i="9"/>
  <c r="B14" i="9" s="1"/>
  <c r="B15" i="9" s="1"/>
  <c r="B16" i="9" s="1"/>
  <c r="F9" i="9"/>
  <c r="F10" i="9" s="1"/>
  <c r="F11" i="9" s="1"/>
  <c r="I8" i="9"/>
  <c r="I9" i="9" s="1"/>
  <c r="I10" i="9" s="1"/>
  <c r="I11" i="9" s="1"/>
  <c r="H8" i="9"/>
  <c r="H9" i="9" s="1"/>
  <c r="H10" i="9" s="1"/>
  <c r="H11" i="9" s="1"/>
  <c r="G8" i="9"/>
  <c r="G9" i="9" s="1"/>
  <c r="G10" i="9" s="1"/>
  <c r="G11" i="9" s="1"/>
  <c r="F8" i="9"/>
  <c r="E8" i="9"/>
  <c r="E9" i="9" s="1"/>
  <c r="E10" i="9" s="1"/>
  <c r="E11" i="9" s="1"/>
  <c r="D8" i="9"/>
  <c r="D9" i="9" s="1"/>
  <c r="D10" i="9" s="1"/>
  <c r="D11" i="9" s="1"/>
  <c r="C8" i="9"/>
  <c r="C9" i="9" s="1"/>
  <c r="C10" i="9" s="1"/>
  <c r="C11" i="9" s="1"/>
  <c r="B8" i="9"/>
  <c r="B9" i="9" s="1"/>
  <c r="B10" i="9" s="1"/>
  <c r="B11" i="9" s="1"/>
  <c r="G24" i="9"/>
  <c r="G25" i="9" s="1"/>
  <c r="G26" i="9" s="1"/>
  <c r="D24" i="9"/>
  <c r="D25" i="9" s="1"/>
  <c r="D26" i="9" s="1"/>
  <c r="I23" i="9"/>
  <c r="I24" i="9" s="1"/>
  <c r="I25" i="9" s="1"/>
  <c r="I26" i="9" s="1"/>
  <c r="H23" i="9"/>
  <c r="H24" i="9" s="1"/>
  <c r="H25" i="9" s="1"/>
  <c r="H26" i="9" s="1"/>
  <c r="G23" i="9"/>
  <c r="F23" i="9"/>
  <c r="F24" i="9" s="1"/>
  <c r="F25" i="9" s="1"/>
  <c r="F26" i="9" s="1"/>
  <c r="E23" i="9"/>
  <c r="E24" i="9" s="1"/>
  <c r="E25" i="9" s="1"/>
  <c r="E26" i="9" s="1"/>
  <c r="D23" i="9"/>
  <c r="C23" i="9"/>
  <c r="C24" i="9" s="1"/>
  <c r="C25" i="9" s="1"/>
  <c r="C26" i="9" s="1"/>
  <c r="B23" i="9"/>
  <c r="B24" i="9" s="1"/>
  <c r="B25" i="9" s="1"/>
  <c r="B26" i="9" s="1"/>
  <c r="I73" i="9"/>
  <c r="I74" i="9" s="1"/>
  <c r="I75" i="9" s="1"/>
  <c r="I76" i="9" s="1"/>
  <c r="H73" i="9"/>
  <c r="H74" i="9" s="1"/>
  <c r="H75" i="9" s="1"/>
  <c r="H76" i="9" s="1"/>
  <c r="G73" i="9"/>
  <c r="G74" i="9" s="1"/>
  <c r="G75" i="9" s="1"/>
  <c r="G76" i="9" s="1"/>
  <c r="F73" i="9"/>
  <c r="F74" i="9" s="1"/>
  <c r="F75" i="9" s="1"/>
  <c r="F76" i="9" s="1"/>
  <c r="E73" i="9"/>
  <c r="E74" i="9" s="1"/>
  <c r="E75" i="9" s="1"/>
  <c r="E76" i="9" s="1"/>
  <c r="D73" i="9"/>
  <c r="D74" i="9" s="1"/>
  <c r="D75" i="9" s="1"/>
  <c r="D76" i="9" s="1"/>
  <c r="C73" i="9"/>
  <c r="C74" i="9" s="1"/>
  <c r="C75" i="9" s="1"/>
  <c r="C76" i="9" s="1"/>
  <c r="B73" i="9"/>
  <c r="B74" i="9" s="1"/>
  <c r="B75" i="9" s="1"/>
  <c r="B76" i="9" s="1"/>
  <c r="I68" i="9"/>
  <c r="I69" i="9" s="1"/>
  <c r="I70" i="9" s="1"/>
  <c r="I71" i="9" s="1"/>
  <c r="H68" i="9"/>
  <c r="H69" i="9" s="1"/>
  <c r="H70" i="9" s="1"/>
  <c r="H71" i="9" s="1"/>
  <c r="G68" i="9"/>
  <c r="G69" i="9" s="1"/>
  <c r="G70" i="9" s="1"/>
  <c r="G71" i="9" s="1"/>
  <c r="F68" i="9"/>
  <c r="F69" i="9" s="1"/>
  <c r="F70" i="9" s="1"/>
  <c r="F71" i="9" s="1"/>
  <c r="E68" i="9"/>
  <c r="E69" i="9" s="1"/>
  <c r="E70" i="9" s="1"/>
  <c r="E71" i="9" s="1"/>
  <c r="D68" i="9"/>
  <c r="D69" i="9" s="1"/>
  <c r="D70" i="9" s="1"/>
  <c r="D71" i="9" s="1"/>
  <c r="C68" i="9"/>
  <c r="C69" i="9" s="1"/>
  <c r="C70" i="9" s="1"/>
  <c r="C71" i="9" s="1"/>
  <c r="B68" i="9"/>
  <c r="B69" i="9" s="1"/>
  <c r="B70" i="9" s="1"/>
  <c r="B71" i="9" s="1"/>
  <c r="I63" i="9"/>
  <c r="I64" i="9" s="1"/>
  <c r="I65" i="9" s="1"/>
  <c r="I66" i="9" s="1"/>
  <c r="H63" i="9"/>
  <c r="H64" i="9" s="1"/>
  <c r="H65" i="9" s="1"/>
  <c r="H66" i="9" s="1"/>
  <c r="G63" i="9"/>
  <c r="G64" i="9" s="1"/>
  <c r="G65" i="9" s="1"/>
  <c r="G66" i="9" s="1"/>
  <c r="F63" i="9"/>
  <c r="F64" i="9" s="1"/>
  <c r="F65" i="9" s="1"/>
  <c r="F66" i="9" s="1"/>
  <c r="E63" i="9"/>
  <c r="E64" i="9" s="1"/>
  <c r="E65" i="9" s="1"/>
  <c r="E66" i="9" s="1"/>
  <c r="D63" i="9"/>
  <c r="D64" i="9" s="1"/>
  <c r="D65" i="9" s="1"/>
  <c r="D66" i="9" s="1"/>
  <c r="C63" i="9"/>
  <c r="C64" i="9" s="1"/>
  <c r="C65" i="9" s="1"/>
  <c r="C66" i="9" s="1"/>
  <c r="B63" i="9"/>
  <c r="B64" i="9" s="1"/>
  <c r="B65" i="9" s="1"/>
  <c r="B66" i="9" s="1"/>
  <c r="I58" i="9"/>
  <c r="I59" i="9" s="1"/>
  <c r="I60" i="9" s="1"/>
  <c r="I61" i="9" s="1"/>
  <c r="H58" i="9"/>
  <c r="H59" i="9" s="1"/>
  <c r="H60" i="9" s="1"/>
  <c r="H61" i="9" s="1"/>
  <c r="G58" i="9"/>
  <c r="G59" i="9" s="1"/>
  <c r="G60" i="9" s="1"/>
  <c r="G61" i="9" s="1"/>
  <c r="F58" i="9"/>
  <c r="F59" i="9" s="1"/>
  <c r="F60" i="9" s="1"/>
  <c r="F61" i="9" s="1"/>
  <c r="E58" i="9"/>
  <c r="E59" i="9" s="1"/>
  <c r="E60" i="9" s="1"/>
  <c r="E61" i="9" s="1"/>
  <c r="D58" i="9"/>
  <c r="D59" i="9" s="1"/>
  <c r="D60" i="9" s="1"/>
  <c r="D61" i="9" s="1"/>
  <c r="C58" i="9"/>
  <c r="C59" i="9" s="1"/>
  <c r="C60" i="9" s="1"/>
  <c r="C61" i="9" s="1"/>
  <c r="B58" i="9"/>
  <c r="B59" i="9" s="1"/>
  <c r="B60" i="9" s="1"/>
  <c r="B61" i="9" s="1"/>
  <c r="I53" i="9"/>
  <c r="I54" i="9" s="1"/>
  <c r="I55" i="9" s="1"/>
  <c r="I56" i="9" s="1"/>
  <c r="H53" i="9"/>
  <c r="H54" i="9" s="1"/>
  <c r="H55" i="9" s="1"/>
  <c r="H56" i="9" s="1"/>
  <c r="G53" i="9"/>
  <c r="G54" i="9" s="1"/>
  <c r="G55" i="9" s="1"/>
  <c r="G56" i="9" s="1"/>
  <c r="F53" i="9"/>
  <c r="F54" i="9" s="1"/>
  <c r="F55" i="9" s="1"/>
  <c r="F56" i="9" s="1"/>
  <c r="E53" i="9"/>
  <c r="E54" i="9" s="1"/>
  <c r="E55" i="9" s="1"/>
  <c r="E56" i="9" s="1"/>
  <c r="D53" i="9"/>
  <c r="D54" i="9" s="1"/>
  <c r="D55" i="9" s="1"/>
  <c r="D56" i="9" s="1"/>
  <c r="C53" i="9"/>
  <c r="C54" i="9" s="1"/>
  <c r="C55" i="9" s="1"/>
  <c r="C56" i="9" s="1"/>
  <c r="B53" i="9"/>
  <c r="B54" i="9" s="1"/>
  <c r="B55" i="9" s="1"/>
  <c r="B56" i="9" s="1"/>
  <c r="I48" i="9"/>
  <c r="I49" i="9" s="1"/>
  <c r="I50" i="9" s="1"/>
  <c r="I51" i="9" s="1"/>
  <c r="H48" i="9"/>
  <c r="H49" i="9" s="1"/>
  <c r="H50" i="9" s="1"/>
  <c r="H51" i="9" s="1"/>
  <c r="G48" i="9"/>
  <c r="G49" i="9" s="1"/>
  <c r="G50" i="9" s="1"/>
  <c r="G51" i="9" s="1"/>
  <c r="F48" i="9"/>
  <c r="F49" i="9" s="1"/>
  <c r="F50" i="9" s="1"/>
  <c r="F51" i="9" s="1"/>
  <c r="E48" i="9"/>
  <c r="E49" i="9" s="1"/>
  <c r="E50" i="9" s="1"/>
  <c r="E51" i="9" s="1"/>
  <c r="D48" i="9"/>
  <c r="D49" i="9" s="1"/>
  <c r="D50" i="9" s="1"/>
  <c r="D51" i="9" s="1"/>
  <c r="C48" i="9"/>
  <c r="C49" i="9" s="1"/>
  <c r="C50" i="9" s="1"/>
  <c r="C51" i="9" s="1"/>
  <c r="B48" i="9"/>
  <c r="B49" i="9" s="1"/>
  <c r="B50" i="9" s="1"/>
  <c r="B51" i="9" s="1"/>
  <c r="I43" i="9"/>
  <c r="I44" i="9" s="1"/>
  <c r="I45" i="9" s="1"/>
  <c r="I46" i="9" s="1"/>
  <c r="H43" i="9"/>
  <c r="H44" i="9" s="1"/>
  <c r="H45" i="9" s="1"/>
  <c r="H46" i="9" s="1"/>
  <c r="G43" i="9"/>
  <c r="G44" i="9" s="1"/>
  <c r="G45" i="9" s="1"/>
  <c r="G46" i="9" s="1"/>
  <c r="F43" i="9"/>
  <c r="F44" i="9" s="1"/>
  <c r="F45" i="9" s="1"/>
  <c r="F46" i="9" s="1"/>
  <c r="E43" i="9"/>
  <c r="E44" i="9" s="1"/>
  <c r="E45" i="9" s="1"/>
  <c r="E46" i="9" s="1"/>
  <c r="D43" i="9"/>
  <c r="D44" i="9" s="1"/>
  <c r="D45" i="9" s="1"/>
  <c r="D46" i="9" s="1"/>
  <c r="C43" i="9"/>
  <c r="C44" i="9" s="1"/>
  <c r="C45" i="9" s="1"/>
  <c r="C46" i="9" s="1"/>
  <c r="B43" i="9"/>
  <c r="B44" i="9" s="1"/>
  <c r="B45" i="9" s="1"/>
  <c r="B46" i="9" s="1"/>
  <c r="I38" i="9"/>
  <c r="I39" i="9" s="1"/>
  <c r="I40" i="9" s="1"/>
  <c r="I41" i="9" s="1"/>
  <c r="H38" i="9"/>
  <c r="H39" i="9" s="1"/>
  <c r="H40" i="9" s="1"/>
  <c r="H41" i="9" s="1"/>
  <c r="G38" i="9"/>
  <c r="G39" i="9" s="1"/>
  <c r="G40" i="9" s="1"/>
  <c r="G41" i="9" s="1"/>
  <c r="F38" i="9"/>
  <c r="F39" i="9" s="1"/>
  <c r="F40" i="9" s="1"/>
  <c r="F41" i="9" s="1"/>
  <c r="E38" i="9"/>
  <c r="E39" i="9" s="1"/>
  <c r="E40" i="9" s="1"/>
  <c r="E41" i="9" s="1"/>
  <c r="D38" i="9"/>
  <c r="D39" i="9" s="1"/>
  <c r="D40" i="9" s="1"/>
  <c r="D41" i="9" s="1"/>
  <c r="C38" i="9"/>
  <c r="C39" i="9" s="1"/>
  <c r="C40" i="9" s="1"/>
  <c r="C41" i="9" s="1"/>
  <c r="B38" i="9"/>
  <c r="B39" i="9" s="1"/>
  <c r="B40" i="9" s="1"/>
  <c r="B41" i="9" s="1"/>
  <c r="I33" i="9"/>
  <c r="I34" i="9" s="1"/>
  <c r="I35" i="9" s="1"/>
  <c r="I36" i="9" s="1"/>
  <c r="H33" i="9"/>
  <c r="H34" i="9" s="1"/>
  <c r="H35" i="9" s="1"/>
  <c r="H36" i="9" s="1"/>
  <c r="G33" i="9"/>
  <c r="G34" i="9" s="1"/>
  <c r="G35" i="9" s="1"/>
  <c r="G36" i="9" s="1"/>
  <c r="F33" i="9"/>
  <c r="F34" i="9" s="1"/>
  <c r="F35" i="9" s="1"/>
  <c r="F36" i="9" s="1"/>
  <c r="E33" i="9"/>
  <c r="E34" i="9" s="1"/>
  <c r="E35" i="9" s="1"/>
  <c r="E36" i="9" s="1"/>
  <c r="D33" i="9"/>
  <c r="D34" i="9" s="1"/>
  <c r="D35" i="9" s="1"/>
  <c r="D36" i="9" s="1"/>
  <c r="C33" i="9"/>
  <c r="C34" i="9" s="1"/>
  <c r="C35" i="9" s="1"/>
  <c r="C36" i="9" s="1"/>
  <c r="B33" i="9"/>
  <c r="B34" i="9" s="1"/>
  <c r="B35" i="9" s="1"/>
  <c r="B36" i="9" s="1"/>
  <c r="I28" i="9"/>
  <c r="I29" i="9" s="1"/>
  <c r="I30" i="9" s="1"/>
  <c r="I31" i="9" s="1"/>
  <c r="H28" i="9"/>
  <c r="H29" i="9" s="1"/>
  <c r="H30" i="9" s="1"/>
  <c r="H31" i="9" s="1"/>
  <c r="G28" i="9"/>
  <c r="G29" i="9" s="1"/>
  <c r="G30" i="9" s="1"/>
  <c r="G31" i="9" s="1"/>
  <c r="F28" i="9"/>
  <c r="F29" i="9" s="1"/>
  <c r="F30" i="9" s="1"/>
  <c r="F31" i="9" s="1"/>
  <c r="E28" i="9"/>
  <c r="E29" i="9" s="1"/>
  <c r="E30" i="9" s="1"/>
  <c r="E31" i="9" s="1"/>
  <c r="D28" i="9"/>
  <c r="D29" i="9" s="1"/>
  <c r="D30" i="9" s="1"/>
  <c r="D31" i="9" s="1"/>
  <c r="C28" i="9"/>
  <c r="C29" i="9" s="1"/>
  <c r="C30" i="9" s="1"/>
  <c r="C31" i="9" s="1"/>
  <c r="B28" i="9"/>
  <c r="B29" i="9" s="1"/>
  <c r="B30" i="9" s="1"/>
  <c r="B31" i="9" s="1"/>
  <c r="I18" i="9"/>
  <c r="I19" i="9" s="1"/>
  <c r="I20" i="9" s="1"/>
  <c r="I21" i="9" s="1"/>
  <c r="H18" i="9"/>
  <c r="H19" i="9" s="1"/>
  <c r="H20" i="9" s="1"/>
  <c r="H21" i="9" s="1"/>
  <c r="G18" i="9"/>
  <c r="G19" i="9" s="1"/>
  <c r="G20" i="9" s="1"/>
  <c r="G21" i="9" s="1"/>
  <c r="F18" i="9"/>
  <c r="F19" i="9" s="1"/>
  <c r="F20" i="9" s="1"/>
  <c r="F21" i="9" s="1"/>
  <c r="E18" i="9"/>
  <c r="E19" i="9" s="1"/>
  <c r="E20" i="9" s="1"/>
  <c r="E21" i="9" s="1"/>
  <c r="D18" i="9"/>
  <c r="D19" i="9" s="1"/>
  <c r="D20" i="9" s="1"/>
  <c r="D21" i="9" s="1"/>
  <c r="C18" i="9"/>
  <c r="C19" i="9" s="1"/>
  <c r="C20" i="9" s="1"/>
  <c r="C21" i="9" s="1"/>
  <c r="B18" i="9"/>
  <c r="B19" i="9" s="1"/>
  <c r="B20" i="9" s="1"/>
  <c r="B21" i="9" s="1"/>
  <c r="I3" i="9"/>
  <c r="I4" i="9" s="1"/>
  <c r="I5" i="9" s="1"/>
  <c r="I6" i="9" s="1"/>
  <c r="H3" i="9"/>
  <c r="H4" i="9" s="1"/>
  <c r="H5" i="9" s="1"/>
  <c r="H6" i="9" s="1"/>
  <c r="G3" i="9"/>
  <c r="G4" i="9" s="1"/>
  <c r="G5" i="9" s="1"/>
  <c r="G6" i="9" s="1"/>
  <c r="F3" i="9"/>
  <c r="F4" i="9" s="1"/>
  <c r="F5" i="9" s="1"/>
  <c r="F6" i="9" s="1"/>
  <c r="E3" i="9"/>
  <c r="E4" i="9" s="1"/>
  <c r="E5" i="9" s="1"/>
  <c r="E6" i="9" s="1"/>
  <c r="D3" i="9"/>
  <c r="D4" i="9" s="1"/>
  <c r="D5" i="9" s="1"/>
  <c r="D6" i="9" s="1"/>
  <c r="C3" i="9"/>
  <c r="C4" i="9" s="1"/>
  <c r="C5" i="9" s="1"/>
  <c r="C6" i="9" s="1"/>
  <c r="B3" i="9"/>
  <c r="B4" i="9" s="1"/>
  <c r="B5" i="9" s="1"/>
  <c r="B6" i="9" s="1"/>
  <c r="G68" i="6" l="1"/>
  <c r="G67" i="6"/>
  <c r="G66" i="6"/>
  <c r="G71" i="6"/>
  <c r="E119" i="6" a="1"/>
  <c r="E119" i="6" s="1"/>
  <c r="D119" i="6" a="1"/>
  <c r="D119" i="6" s="1"/>
  <c r="C119" i="6" a="1"/>
  <c r="C119" i="6" s="1"/>
  <c r="F119" i="6" a="1"/>
  <c r="F119" i="6" s="1"/>
  <c r="C110" i="6" a="1"/>
  <c r="C110" i="6" s="1"/>
  <c r="G35" i="8" s="1"/>
  <c r="G44" i="8" a="1"/>
  <c r="G44" i="8" s="1"/>
  <c r="H44" i="8" s="1"/>
  <c r="H43" i="8"/>
  <c r="C36" i="1"/>
  <c r="D40" i="8"/>
  <c r="G40" i="8" s="1"/>
  <c r="H40" i="8" s="1"/>
  <c r="J9" i="1"/>
  <c r="D39" i="8" l="1"/>
  <c r="G39" i="8" s="1"/>
  <c r="G28" i="8"/>
  <c r="G45" i="1"/>
  <c r="I45" i="1" s="1"/>
  <c r="K45" i="1" s="1"/>
  <c r="C73" i="1"/>
  <c r="C66" i="6"/>
  <c r="D69" i="6"/>
  <c r="G69" i="6" s="1"/>
  <c r="D57" i="6"/>
  <c r="E57" i="6"/>
  <c r="F57" i="6"/>
  <c r="G57" i="6"/>
  <c r="L57" i="6" s="1"/>
  <c r="D24" i="6"/>
  <c r="D58" i="6" s="1"/>
  <c r="E24" i="6"/>
  <c r="E58" i="6" s="1"/>
  <c r="F24" i="6"/>
  <c r="F58" i="6" s="1"/>
  <c r="G24" i="6"/>
  <c r="G58" i="6" s="1"/>
  <c r="C57" i="6"/>
  <c r="C24" i="6"/>
  <c r="C58" i="6" s="1"/>
  <c r="D105" i="1"/>
  <c r="E106" i="1"/>
  <c r="D106" i="1" s="1"/>
  <c r="K20" i="1"/>
  <c r="K16" i="1"/>
  <c r="L102" i="1"/>
  <c r="J104" i="1"/>
  <c r="L104" i="1" s="1"/>
  <c r="J103" i="1"/>
  <c r="L103" i="1" s="1"/>
  <c r="J102" i="1"/>
  <c r="J100" i="1"/>
  <c r="L100" i="1" s="1"/>
  <c r="J99" i="1"/>
  <c r="L99" i="1" s="1"/>
  <c r="J98" i="1"/>
  <c r="L98" i="1" s="1"/>
  <c r="E92" i="1" a="1"/>
  <c r="E92" i="1" s="1"/>
  <c r="J78" i="1"/>
  <c r="H82" i="1"/>
  <c r="F78" i="1"/>
  <c r="E82" i="1"/>
  <c r="G82" i="1" s="1"/>
  <c r="J82" i="1" s="1"/>
  <c r="J55" i="1"/>
  <c r="J86" i="1" s="1"/>
  <c r="J101" i="1" s="1"/>
  <c r="L101" i="1" s="1"/>
  <c r="J59" i="1"/>
  <c r="J87" i="1" s="1"/>
  <c r="J105" i="1" s="1"/>
  <c r="L105" i="1" s="1"/>
  <c r="G41" i="1"/>
  <c r="I41" i="1" s="1"/>
  <c r="K41" i="1" s="1"/>
  <c r="G51" i="1"/>
  <c r="I51" i="1" s="1"/>
  <c r="K51" i="1" s="1"/>
  <c r="E24" i="8" l="1"/>
  <c r="G24" i="8"/>
  <c r="E25" i="8"/>
  <c r="G41" i="8"/>
  <c r="H41" i="8" s="1"/>
  <c r="H39" i="8"/>
  <c r="L111" i="1"/>
  <c r="I33" i="1"/>
  <c r="I32" i="1"/>
  <c r="L112" i="1"/>
  <c r="E107" i="1"/>
  <c r="J106" i="1"/>
  <c r="L106" i="1" s="1"/>
  <c r="L110" i="1"/>
  <c r="J112" i="1"/>
  <c r="J111" i="1"/>
  <c r="J110" i="1"/>
  <c r="G26" i="6"/>
  <c r="G60" i="6" s="1"/>
  <c r="F26" i="6"/>
  <c r="F60" i="6" s="1"/>
  <c r="E60" i="6"/>
  <c r="D60" i="6"/>
  <c r="C60" i="6"/>
  <c r="G25" i="6"/>
  <c r="G59" i="6" s="1"/>
  <c r="F25" i="6"/>
  <c r="F59" i="6" s="1"/>
  <c r="E59" i="6"/>
  <c r="D59" i="6"/>
  <c r="C59" i="6"/>
  <c r="G22" i="6"/>
  <c r="G56" i="6" s="1"/>
  <c r="F22" i="6"/>
  <c r="F56" i="6" s="1"/>
  <c r="K56" i="6" s="1"/>
  <c r="E22" i="6"/>
  <c r="E56" i="6" s="1"/>
  <c r="J56" i="6" s="1"/>
  <c r="D22" i="6"/>
  <c r="D56" i="6" s="1"/>
  <c r="C22" i="6"/>
  <c r="C56" i="6" s="1"/>
  <c r="G21" i="6"/>
  <c r="G55" i="6" s="1"/>
  <c r="L55" i="6" s="1"/>
  <c r="F21" i="6"/>
  <c r="F55" i="6" s="1"/>
  <c r="K55" i="6" s="1"/>
  <c r="E21" i="6"/>
  <c r="E55" i="6" s="1"/>
  <c r="D21" i="6"/>
  <c r="D55" i="6" s="1"/>
  <c r="C21" i="6"/>
  <c r="C55" i="6" s="1"/>
  <c r="G20" i="6"/>
  <c r="G54" i="6" s="1"/>
  <c r="F20" i="6"/>
  <c r="F54" i="6" s="1"/>
  <c r="E20" i="6"/>
  <c r="E54" i="6" s="1"/>
  <c r="D20" i="6"/>
  <c r="D54" i="6" s="1"/>
  <c r="C20" i="6"/>
  <c r="C54" i="6" s="1"/>
  <c r="G19" i="6"/>
  <c r="G53" i="6" s="1"/>
  <c r="F19" i="6"/>
  <c r="F53" i="6" s="1"/>
  <c r="E19" i="6"/>
  <c r="E53" i="6" s="1"/>
  <c r="D19" i="6"/>
  <c r="D53" i="6" s="1"/>
  <c r="C19" i="6"/>
  <c r="C53" i="6" s="1"/>
  <c r="G18" i="6"/>
  <c r="G52" i="6" s="1"/>
  <c r="F18" i="6"/>
  <c r="F52" i="6" s="1"/>
  <c r="E18" i="6"/>
  <c r="E52" i="6" s="1"/>
  <c r="D18" i="6"/>
  <c r="D52" i="6" s="1"/>
  <c r="C18" i="6"/>
  <c r="C52" i="6" s="1"/>
  <c r="E19" i="8" l="1"/>
  <c r="I30" i="1"/>
  <c r="E23" i="8"/>
  <c r="E20" i="8"/>
  <c r="E21" i="8"/>
  <c r="G25" i="8"/>
  <c r="G27" i="8"/>
  <c r="E27" i="8"/>
  <c r="G22" i="8"/>
  <c r="E22" i="8"/>
  <c r="G23" i="8"/>
  <c r="G26" i="8"/>
  <c r="E26" i="8"/>
  <c r="G21" i="8"/>
  <c r="G20" i="8"/>
  <c r="E108" i="1"/>
  <c r="D107" i="1"/>
  <c r="N18" i="2"/>
  <c r="N19" i="2"/>
  <c r="N20" i="2"/>
  <c r="N21" i="2"/>
  <c r="N22" i="2"/>
  <c r="N23" i="2"/>
  <c r="N17" i="2"/>
  <c r="P18" i="2"/>
  <c r="P19" i="2"/>
  <c r="P20" i="2"/>
  <c r="P21" i="2"/>
  <c r="P22" i="2"/>
  <c r="P23" i="2"/>
  <c r="P24" i="2"/>
  <c r="P17" i="2"/>
  <c r="L20" i="2"/>
  <c r="L21" i="2"/>
  <c r="L22" i="2"/>
  <c r="L23" i="2"/>
  <c r="L24" i="2"/>
  <c r="K21" i="2"/>
  <c r="K20" i="2"/>
  <c r="K19" i="2"/>
  <c r="K18" i="2"/>
  <c r="L18" i="2" s="1"/>
  <c r="K17" i="2"/>
  <c r="L17" i="2" s="1"/>
  <c r="H22" i="2"/>
  <c r="H23" i="2"/>
  <c r="H24" i="2"/>
  <c r="D8" i="2"/>
  <c r="I24" i="2" s="1"/>
  <c r="E109" i="1" l="1"/>
  <c r="D108" i="1"/>
  <c r="I22" i="2"/>
  <c r="M21" i="2"/>
  <c r="M22" i="2"/>
  <c r="M20" i="2"/>
  <c r="M23" i="2"/>
  <c r="I23" i="2"/>
  <c r="L19" i="2"/>
  <c r="M19" i="2" s="1"/>
  <c r="M24" i="2"/>
  <c r="N24" i="2" s="1"/>
  <c r="M18" i="2"/>
  <c r="M17" i="2"/>
  <c r="E110" i="1" l="1"/>
  <c r="D109" i="1"/>
  <c r="M25" i="2"/>
  <c r="E111" i="1" l="1"/>
  <c r="D110" i="1"/>
  <c r="E112" i="1" l="1"/>
  <c r="D111" i="1"/>
  <c r="E113" i="1" l="1"/>
  <c r="D112" i="1"/>
  <c r="E114" i="1" l="1"/>
  <c r="D113" i="1"/>
  <c r="E115" i="1" l="1"/>
  <c r="D114" i="1"/>
  <c r="E116" i="1" l="1"/>
  <c r="D116" i="1" s="1"/>
  <c r="D115" i="1"/>
  <c r="E33" i="2" l="1"/>
  <c r="E36" i="2" s="1"/>
  <c r="H38" i="2" s="1"/>
  <c r="K38" i="2" s="1"/>
  <c r="G21" i="2"/>
  <c r="G20" i="2"/>
  <c r="G17" i="2"/>
  <c r="G19" i="2"/>
  <c r="G18" i="2"/>
  <c r="H21" i="2" l="1"/>
  <c r="I21" i="2" s="1"/>
  <c r="H20" i="2"/>
  <c r="I20" i="2" s="1"/>
  <c r="H19" i="2"/>
  <c r="I19" i="2" s="1"/>
  <c r="H18" i="2"/>
  <c r="I18" i="2" s="1"/>
  <c r="H17" i="2"/>
  <c r="I17" i="2" s="1"/>
  <c r="J16" i="1"/>
  <c r="B103" i="1"/>
  <c r="I34" i="1"/>
  <c r="K34" i="1" s="1"/>
  <c r="I35" i="1"/>
  <c r="K35" i="1" s="1"/>
  <c r="I27" i="1"/>
  <c r="K30" i="1" l="1"/>
  <c r="K32" i="1"/>
  <c r="K33" i="1"/>
  <c r="D71" i="1"/>
  <c r="E71" i="1" s="1"/>
  <c r="D72" i="1"/>
  <c r="D70" i="1"/>
  <c r="D69" i="1"/>
  <c r="I28" i="1"/>
  <c r="K28" i="1" s="1"/>
  <c r="C103" i="1"/>
  <c r="I29" i="1"/>
  <c r="K29" i="1" s="1"/>
  <c r="I31" i="1"/>
  <c r="K31" i="1" s="1"/>
  <c r="I25" i="2"/>
  <c r="E72" i="1" l="1"/>
  <c r="I72" i="1" s="1"/>
  <c r="J72" i="1" s="1"/>
  <c r="E69" i="1"/>
  <c r="I69" i="1" s="1"/>
  <c r="J69" i="1" s="1"/>
  <c r="E70" i="1"/>
  <c r="I70" i="1" s="1"/>
  <c r="J70" i="1" s="1"/>
  <c r="I71" i="1"/>
  <c r="J71" i="1" l="1"/>
  <c r="I73" i="1"/>
  <c r="J73" i="1" s="1"/>
  <c r="J10" i="1" s="1"/>
  <c r="J19" i="1" l="1"/>
  <c r="G19" i="8"/>
  <c r="G29" i="8" s="1"/>
  <c r="G51" i="8" s="1"/>
  <c r="H9" i="8" s="1" a="1"/>
  <c r="H9" i="8" s="1"/>
  <c r="E29" i="8"/>
  <c r="D14" i="8" s="1"/>
  <c r="D15" i="8" s="1"/>
  <c r="C27" i="1"/>
  <c r="K27" i="1" s="1"/>
  <c r="K37" i="1" s="1"/>
  <c r="K7" i="1" s="1"/>
  <c r="M5" i="1" s="1"/>
  <c r="C37" i="1" l="1"/>
  <c r="H8" i="8"/>
  <c r="J20" i="1"/>
  <c r="J27" i="1" s="1"/>
  <c r="M19" i="1"/>
  <c r="M18" i="1" s="1"/>
  <c r="H35" i="8"/>
  <c r="H26" i="8"/>
  <c r="H19" i="8"/>
  <c r="H25" i="8"/>
  <c r="H21" i="8"/>
  <c r="H20" i="8"/>
  <c r="H34" i="8"/>
  <c r="H27" i="8"/>
  <c r="H23" i="8"/>
  <c r="H22" i="8"/>
  <c r="H24" i="8"/>
  <c r="H28" i="8"/>
  <c r="I37" i="1"/>
  <c r="G17" i="1"/>
  <c r="D37" i="1"/>
  <c r="J11" i="1" l="1"/>
  <c r="J12" i="1" s="1"/>
  <c r="J32" i="1"/>
  <c r="J31" i="1"/>
  <c r="J28" i="1"/>
  <c r="J29" i="1"/>
  <c r="J51" i="1"/>
  <c r="J35" i="1"/>
  <c r="J30" i="1"/>
  <c r="J33" i="1"/>
  <c r="J41" i="1"/>
  <c r="J34" i="1"/>
  <c r="J45" i="1"/>
  <c r="H29" i="8"/>
  <c r="H51" i="8" s="1"/>
  <c r="J37" i="1" l="1"/>
  <c r="J88" i="1" s="1"/>
  <c r="J97" i="1" s="1"/>
  <c r="J7" i="1" l="1"/>
  <c r="J63" i="1"/>
  <c r="J109" i="1"/>
  <c r="L97" i="1"/>
  <c r="L109" i="1" s="1"/>
  <c r="J5" i="1" s="1"/>
  <c r="J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Linda van Oeffelen</author>
    <author>KOENE</author>
  </authors>
  <commentList>
    <comment ref="D68" authorId="0" shapeId="0" xr:uid="{A0A4216C-141E-4C52-A7C7-76B0F5CEA46D}">
      <text>
        <r>
          <rPr>
            <sz val="9"/>
            <color indexed="81"/>
            <rFont val="Tahoma"/>
            <family val="2"/>
          </rPr>
          <t>Ontleend aan NEN 7120:2011 tabel 8.4 (waarden zijn gemiddelden van glas en kozijn):
Enkel glas: 5.1 W/m2K
Dubbel glas: 3,1 W/m2K
HR++ glas: 1,6 W/m2K
Triple glas: 1,4 W/m2K
NTA8800
3-voudig 1.1
HR++ 1.65
HR 2
dubbel glas 2.7
enkel glas 5.8
Vera: in S&amp;S:
HR U=1,6
HR++ U=1,2
Triple U=0,8</t>
        </r>
      </text>
    </comment>
    <comment ref="D76" authorId="1" shapeId="0" xr:uid="{0D5E2012-23CB-429C-9EC0-6508FB20EC65}">
      <text>
        <r>
          <rPr>
            <b/>
            <sz val="8"/>
            <color indexed="81"/>
            <rFont val="Tahoma"/>
            <family val="2"/>
          </rPr>
          <t>KOENE:</t>
        </r>
        <r>
          <rPr>
            <sz val="8"/>
            <color indexed="81"/>
            <rFont val="Tahoma"/>
            <family val="2"/>
          </rPr>
          <t xml:space="preserve">
enkel binnenzonwering</t>
        </r>
      </text>
    </comment>
    <comment ref="D78" authorId="1" shapeId="0" xr:uid="{080C323E-A836-44D8-B148-7C57544D71B4}">
      <text>
        <r>
          <rPr>
            <b/>
            <sz val="8"/>
            <color indexed="81"/>
            <rFont val="Tahoma"/>
            <family val="2"/>
          </rPr>
          <t>KOENE:</t>
        </r>
        <r>
          <rPr>
            <sz val="8"/>
            <color indexed="81"/>
            <rFont val="Tahoma"/>
            <family val="2"/>
          </rPr>
          <t xml:space="preserve">
in heating season, also when fully shaded: </t>
        </r>
        <r>
          <rPr>
            <b/>
            <sz val="8"/>
            <color indexed="81"/>
            <rFont val="Tahoma"/>
            <family val="2"/>
          </rPr>
          <t xml:space="preserve">100% </t>
        </r>
        <r>
          <rPr>
            <sz val="8"/>
            <color indexed="81"/>
            <rFont val="Tahoma"/>
            <family val="2"/>
          </rPr>
          <t>source: NEN 5128]</t>
        </r>
      </text>
    </comment>
    <comment ref="I80" authorId="1" shapeId="0" xr:uid="{7EE3473F-7E03-4514-A192-A534AC056409}">
      <text>
        <r>
          <rPr>
            <b/>
            <sz val="8"/>
            <color indexed="81"/>
            <rFont val="Tahoma"/>
            <family val="2"/>
          </rPr>
          <t>KOENE:</t>
        </r>
        <r>
          <rPr>
            <sz val="8"/>
            <color indexed="81"/>
            <rFont val="Tahoma"/>
            <family val="2"/>
          </rPr>
          <t xml:space="preserve">
soalr irradiation in kWh/a x g-value glazing
assumption: no sun shading in heating season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koene</author>
    <author>KOENE</author>
    <author>Ir. F.G.H. Koene</author>
  </authors>
  <commentList>
    <comment ref="C41" authorId="0" shapeId="0" xr:uid="{A1AA378C-1D4A-4D8D-8963-AD695502912B}">
      <text>
        <r>
          <rPr>
            <b/>
            <sz val="8"/>
            <color indexed="81"/>
            <rFont val="Tahoma"/>
            <family val="2"/>
          </rPr>
          <t>koene:</t>
        </r>
        <r>
          <rPr>
            <sz val="8"/>
            <color indexed="81"/>
            <rFont val="Tahoma"/>
            <family val="2"/>
          </rPr>
          <t xml:space="preserve">
bouwbesluit: 150 m3/hr (75 keuken, 50 badk, 25 toilet)
 </t>
        </r>
      </text>
    </comment>
    <comment ref="E41" authorId="1" shapeId="0" xr:uid="{44FD0701-0554-4A0B-9A6B-4014196263B9}">
      <text>
        <r>
          <rPr>
            <b/>
            <sz val="8"/>
            <color indexed="81"/>
            <rFont val="Tahoma"/>
            <family val="2"/>
          </rPr>
          <t>KOENE:</t>
        </r>
        <r>
          <rPr>
            <sz val="8"/>
            <color indexed="81"/>
            <rFont val="Tahoma"/>
            <family val="2"/>
          </rPr>
          <t xml:space="preserve">
geen warmteterugwinning: 0%
balansventilatie met warmte-terugwinning: 60-80%</t>
        </r>
      </text>
    </comment>
    <comment ref="D67" authorId="1" shapeId="0" xr:uid="{C3CD2A62-E99A-4A36-8569-6771D85FF2ED}">
      <text>
        <r>
          <rPr>
            <b/>
            <sz val="8"/>
            <color indexed="81"/>
            <rFont val="Tahoma"/>
            <family val="2"/>
          </rPr>
          <t>KOENE:</t>
        </r>
        <r>
          <rPr>
            <sz val="8"/>
            <color indexed="81"/>
            <rFont val="Tahoma"/>
            <family val="2"/>
          </rPr>
          <t xml:space="preserve">
enkel glas~ 0.9
dubbel glas~ 0.7
</t>
        </r>
      </text>
    </comment>
    <comment ref="H69" authorId="1" shapeId="0" xr:uid="{641B3DEC-FE63-47C2-9E71-6D3BB08820F9}">
      <text>
        <r>
          <rPr>
            <b/>
            <sz val="8"/>
            <color indexed="81"/>
            <rFont val="Tahoma"/>
            <family val="2"/>
          </rPr>
          <t>KOENE:</t>
        </r>
        <r>
          <rPr>
            <sz val="8"/>
            <color indexed="81"/>
            <rFont val="Tahoma"/>
            <family val="2"/>
          </rPr>
          <t xml:space="preserve">
enkel binnenzonwering</t>
        </r>
      </text>
    </comment>
    <comment ref="H71" authorId="1" shapeId="0" xr:uid="{427B1CE5-1145-4BD9-8A22-5F76A8B20A93}">
      <text>
        <r>
          <rPr>
            <b/>
            <sz val="8"/>
            <color indexed="81"/>
            <rFont val="Tahoma"/>
            <family val="2"/>
          </rPr>
          <t>KOENE:</t>
        </r>
        <r>
          <rPr>
            <sz val="8"/>
            <color indexed="81"/>
            <rFont val="Tahoma"/>
            <family val="2"/>
          </rPr>
          <t xml:space="preserve">
in heating season, also when fully shaded: </t>
        </r>
        <r>
          <rPr>
            <b/>
            <sz val="8"/>
            <color indexed="81"/>
            <rFont val="Tahoma"/>
            <family val="2"/>
          </rPr>
          <t xml:space="preserve">100% </t>
        </r>
        <r>
          <rPr>
            <sz val="8"/>
            <color indexed="81"/>
            <rFont val="Tahoma"/>
            <family val="2"/>
          </rPr>
          <t>source: NEN 5128]</t>
        </r>
      </text>
    </comment>
    <comment ref="I73" authorId="1" shapeId="0" xr:uid="{0496043B-9F18-4BD8-BE80-3C723D5D6C32}">
      <text>
        <r>
          <rPr>
            <b/>
            <sz val="8"/>
            <color indexed="81"/>
            <rFont val="Tahoma"/>
            <family val="2"/>
          </rPr>
          <t>KOENE:</t>
        </r>
        <r>
          <rPr>
            <sz val="8"/>
            <color indexed="81"/>
            <rFont val="Tahoma"/>
            <family val="2"/>
          </rPr>
          <t xml:space="preserve">
soalr irradiation in kWh/a x g-value glazing
assumption: no sun shading in heating season</t>
        </r>
      </text>
    </comment>
    <comment ref="F78" authorId="1" shapeId="0" xr:uid="{E25CCDE4-474E-40FE-9EB2-C4AD6D9CDC5C}">
      <text>
        <r>
          <rPr>
            <b/>
            <sz val="8"/>
            <color indexed="81"/>
            <rFont val="Tahoma"/>
            <family val="2"/>
          </rPr>
          <t>KOENE:</t>
        </r>
        <r>
          <rPr>
            <sz val="8"/>
            <color indexed="81"/>
            <rFont val="Tahoma"/>
            <family val="2"/>
          </rPr>
          <t xml:space="preserve">
meeste electriciteit wordt in huis in warmte omgezet: licht, PC, tv, koelkast etc.
uitzondering: vaatwasser, wasmachine en droger (elk ca. 300 kWh/jr)</t>
        </r>
      </text>
    </comment>
    <comment ref="E82" authorId="2" shapeId="0" xr:uid="{25FAF6B8-7D72-4B63-9CB8-1C4F79E2CDC8}">
      <text>
        <r>
          <rPr>
            <b/>
            <sz val="9"/>
            <color indexed="81"/>
            <rFont val="Tahoma"/>
            <family val="2"/>
          </rPr>
          <t>Ir. F.G.H. Koene:</t>
        </r>
        <r>
          <rPr>
            <sz val="9"/>
            <color indexed="81"/>
            <rFont val="Tahoma"/>
            <family val="2"/>
          </rPr>
          <t xml:space="preserve">
25% tussen 8 en 18 uur, 100% tussen 18 en 8 uur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KOENE</author>
    <author>Frans Koene</author>
    <author>Linda van Oeffelen</author>
    <author>koene</author>
  </authors>
  <commentList>
    <comment ref="G14" authorId="0" shapeId="0" xr:uid="{9CFBD506-32BA-4667-A350-4295A0315984}">
      <text>
        <r>
          <rPr>
            <b/>
            <sz val="8"/>
            <color indexed="81"/>
            <rFont val="Tahoma"/>
            <family val="2"/>
          </rPr>
          <t>KOENE:</t>
        </r>
        <r>
          <rPr>
            <sz val="8"/>
            <color indexed="81"/>
            <rFont val="Tahoma"/>
            <family val="2"/>
          </rPr>
          <t xml:space="preserve">
U = 1/(Rc + Rsi + Rse), vanwege isolerende grenslagen binnen en buiten
De waarden voor Rsi en Rse zijn afhankelijk van het type element (vloer, dak, gevel etc),
zie  NEN 1068:2012+C1:2014:</t>
        </r>
      </text>
    </comment>
    <comment ref="K14" authorId="0" shapeId="0" xr:uid="{5B3853E6-9729-4105-A5EE-D3FD573AFABB}">
      <text>
        <r>
          <rPr>
            <b/>
            <sz val="8"/>
            <color indexed="81"/>
            <rFont val="Tahoma"/>
            <family val="2"/>
          </rPr>
          <t>KOENE:</t>
        </r>
        <r>
          <rPr>
            <sz val="8"/>
            <color indexed="81"/>
            <rFont val="Tahoma"/>
            <family val="2"/>
          </rPr>
          <t xml:space="preserve">
U = 1/(Rc + Rsi + Rse), vanwege isolerende grenslagen binnen en buiten
De waarden voor Rsi en Rse zijn afhankelijk van het type element (vloer, dak, gevel etc),
zie  NEN 1068:2012+C1:2014:</t>
        </r>
      </text>
    </comment>
    <comment ref="G17" authorId="1" shapeId="0" xr:uid="{BFE2DCA5-35F6-4E75-BBE4-04697B3132F6}">
      <text>
        <r>
          <rPr>
            <b/>
            <sz val="9"/>
            <color indexed="81"/>
            <rFont val="Tahoma"/>
            <family val="2"/>
          </rPr>
          <t>Frans Koene:</t>
        </r>
        <r>
          <rPr>
            <sz val="9"/>
            <color indexed="81"/>
            <rFont val="Tahoma"/>
            <family val="2"/>
          </rPr>
          <t xml:space="preserve">
Voor vloeren boven kruipruimte geldt:
Rse=0.17
Rsi=0.17</t>
        </r>
      </text>
    </comment>
    <comment ref="K17" authorId="1" shapeId="0" xr:uid="{5AD8FD60-9232-499B-94FF-E62A2C74E16E}">
      <text>
        <r>
          <rPr>
            <b/>
            <sz val="9"/>
            <color indexed="81"/>
            <rFont val="Tahoma"/>
            <family val="2"/>
          </rPr>
          <t>Frans Koene:</t>
        </r>
        <r>
          <rPr>
            <sz val="9"/>
            <color indexed="81"/>
            <rFont val="Tahoma"/>
            <family val="2"/>
          </rPr>
          <t xml:space="preserve">
Voor vloeren boven kruipruimte geldt:
Rse=0.17
Rsi=0.17</t>
        </r>
      </text>
    </comment>
    <comment ref="G18" authorId="2" shapeId="0" xr:uid="{B25FE1DC-6FB1-4E71-92D5-2103E55B95FD}">
      <text>
        <r>
          <rPr>
            <sz val="9"/>
            <color indexed="81"/>
            <rFont val="Tahoma"/>
            <family val="2"/>
          </rPr>
          <t>Voor daken geldt:
Rse=0.04
Rsi=0.10</t>
        </r>
      </text>
    </comment>
    <comment ref="K18" authorId="2" shapeId="0" xr:uid="{0777A451-52A8-4FAC-B101-AC89F2E013DB}">
      <text>
        <r>
          <rPr>
            <sz val="9"/>
            <color indexed="81"/>
            <rFont val="Tahoma"/>
            <family val="2"/>
          </rPr>
          <t>Voor daken geldt:
Rse=0.04
Rsi=0.10</t>
        </r>
      </text>
    </comment>
    <comment ref="G20" authorId="2" shapeId="0" xr:uid="{18BE2503-FF5A-4936-B100-0110C3444DAB}">
      <text>
        <r>
          <rPr>
            <sz val="9"/>
            <color indexed="81"/>
            <rFont val="Tahoma"/>
            <family val="2"/>
          </rPr>
          <t>Voor daken geldt:
Rse=0.04
Rsi=0.13</t>
        </r>
      </text>
    </comment>
    <comment ref="K20" authorId="2" shapeId="0" xr:uid="{DDB05F9A-2324-424C-A036-9E445B677615}">
      <text>
        <r>
          <rPr>
            <sz val="9"/>
            <color indexed="81"/>
            <rFont val="Tahoma"/>
            <family val="2"/>
          </rPr>
          <t>Voor daken geldt:
Rse=0.04
Rsi=0.13</t>
        </r>
      </text>
    </comment>
    <comment ref="G21" authorId="2" shapeId="0" xr:uid="{7F51C6A1-636A-452F-921F-38179AFF2E60}">
      <text>
        <r>
          <rPr>
            <sz val="9"/>
            <color indexed="81"/>
            <rFont val="Tahoma"/>
            <family val="2"/>
          </rPr>
          <t>Voor daken geldt:
Rse=0.04
Rsi=0.13</t>
        </r>
      </text>
    </comment>
    <comment ref="K21" authorId="2" shapeId="0" xr:uid="{BB297544-6FC0-46FA-A248-B5BDCABC52B0}">
      <text>
        <r>
          <rPr>
            <sz val="9"/>
            <color indexed="81"/>
            <rFont val="Tahoma"/>
            <family val="2"/>
          </rPr>
          <t>Voor daken geldt:
Rse=0.04
Rsi=0.13</t>
        </r>
      </text>
    </comment>
    <comment ref="G24" authorId="0" shapeId="0" xr:uid="{14F23F6F-E015-49AB-9566-26BABDD5F620}">
      <text>
        <r>
          <rPr>
            <sz val="8"/>
            <color indexed="81"/>
            <rFont val="Tahoma"/>
            <family val="2"/>
          </rPr>
          <t>min eis Bouwbesluit</t>
        </r>
      </text>
    </comment>
    <comment ref="K24" authorId="0" shapeId="0" xr:uid="{C0B78FA7-2F88-4BC7-B34D-A2D290AE2D92}">
      <text>
        <r>
          <rPr>
            <sz val="8"/>
            <color indexed="81"/>
            <rFont val="Tahoma"/>
            <family val="2"/>
          </rPr>
          <t>min eis Bouwbesluit</t>
        </r>
      </text>
    </comment>
    <comment ref="E29" authorId="3" shapeId="0" xr:uid="{F941F62A-C2EA-43A7-91A3-C3F4CE3016A4}">
      <text>
        <r>
          <rPr>
            <b/>
            <sz val="8"/>
            <color indexed="81"/>
            <rFont val="Tahoma"/>
            <family val="2"/>
          </rPr>
          <t>koene:</t>
        </r>
        <r>
          <rPr>
            <sz val="8"/>
            <color indexed="81"/>
            <rFont val="Tahoma"/>
            <family val="2"/>
          </rPr>
          <t xml:space="preserve">
bouwbesluit: 150 m3/hr (75 keuken, 50 badk, 25 toilet)
 </t>
        </r>
      </text>
    </comment>
    <comment ref="D30" authorId="0" shapeId="0" xr:uid="{94E38B03-B508-47B7-B63F-FB04D7AD1F94}">
      <text>
        <r>
          <rPr>
            <b/>
            <sz val="8"/>
            <color indexed="81"/>
            <rFont val="Tahoma"/>
            <family val="2"/>
          </rPr>
          <t>KOENE:</t>
        </r>
        <r>
          <rPr>
            <sz val="8"/>
            <color indexed="81"/>
            <rFont val="Tahoma"/>
            <family val="2"/>
          </rPr>
          <t xml:space="preserve">
geen warmteterugwinning: 0%
balansventilatie met warmte-terugwinning: 60-80%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<sst xmlns="http://schemas.openxmlformats.org/spreadsheetml/2006/main" count="596" uniqueCount="318">
  <si>
    <t>Gebruiksoppervlakte woning (GO)</t>
  </si>
  <si>
    <t>m2</t>
  </si>
  <si>
    <t>Stookpatroon</t>
  </si>
  <si>
    <t>Oppervlakte bouwdeel</t>
  </si>
  <si>
    <t>Besparingsniveau</t>
  </si>
  <si>
    <r>
      <t>m</t>
    </r>
    <r>
      <rPr>
        <i/>
        <vertAlign val="superscript"/>
        <sz val="11"/>
        <color theme="1"/>
        <rFont val="Calibri"/>
        <family val="2"/>
        <scheme val="minor"/>
      </rPr>
      <t>2</t>
    </r>
  </si>
  <si>
    <t>%</t>
  </si>
  <si>
    <r>
      <t>kWh/m</t>
    </r>
    <r>
      <rPr>
        <i/>
        <vertAlign val="superscript"/>
        <sz val="11"/>
        <color theme="1"/>
        <rFont val="Calibri"/>
        <family val="2"/>
        <scheme val="minor"/>
      </rPr>
      <t>2</t>
    </r>
  </si>
  <si>
    <t>Vloerisolatie</t>
  </si>
  <si>
    <t>Hellend dakisolatie</t>
  </si>
  <si>
    <t>Niveau 1</t>
  </si>
  <si>
    <t>Plat dak isolatie</t>
  </si>
  <si>
    <t>Spouwmuurisolatie</t>
  </si>
  <si>
    <t>Niveau 3</t>
  </si>
  <si>
    <t>Buitengevelisolatie</t>
  </si>
  <si>
    <t>Niveau 2</t>
  </si>
  <si>
    <t>Raam beneden</t>
  </si>
  <si>
    <t>Raam boven</t>
  </si>
  <si>
    <t>verbruik RV gas</t>
  </si>
  <si>
    <t>verbruik RV elektriciteit</t>
  </si>
  <si>
    <t>verbruik RV warmte</t>
  </si>
  <si>
    <t>verbruik RV olie</t>
  </si>
  <si>
    <t>Gebouwdeel</t>
  </si>
  <si>
    <t>Rc-waarde</t>
  </si>
  <si>
    <t>U waarde</t>
  </si>
  <si>
    <r>
      <t>[W/m</t>
    </r>
    <r>
      <rPr>
        <vertAlign val="superscript"/>
        <sz val="11"/>
        <rFont val="Calibri"/>
        <family val="2"/>
        <scheme val="minor"/>
      </rPr>
      <t>2</t>
    </r>
    <r>
      <rPr>
        <sz val="11"/>
        <rFont val="Calibri"/>
        <family val="2"/>
        <scheme val="minor"/>
      </rPr>
      <t>K]</t>
    </r>
  </si>
  <si>
    <r>
      <t>[m</t>
    </r>
    <r>
      <rPr>
        <vertAlign val="superscript"/>
        <sz val="11"/>
        <rFont val="Calibri"/>
        <family val="2"/>
        <scheme val="minor"/>
      </rPr>
      <t>2</t>
    </r>
    <r>
      <rPr>
        <sz val="11"/>
        <rFont val="Calibri"/>
        <family val="2"/>
        <scheme val="minor"/>
      </rPr>
      <t>K/W]</t>
    </r>
  </si>
  <si>
    <t>RC=0</t>
  </si>
  <si>
    <t>Stookseizoen</t>
  </si>
  <si>
    <t>maanden</t>
  </si>
  <si>
    <t>Buitentemperatuur</t>
  </si>
  <si>
    <t>°C</t>
  </si>
  <si>
    <t>W/k</t>
  </si>
  <si>
    <t>Warmteverlies per jaar</t>
  </si>
  <si>
    <t>Enkel</t>
  </si>
  <si>
    <t>Dubbel</t>
  </si>
  <si>
    <t>HR</t>
  </si>
  <si>
    <t>Triple</t>
  </si>
  <si>
    <t>HR++</t>
  </si>
  <si>
    <t>Glas</t>
  </si>
  <si>
    <t>U-waarde [W/m2K]</t>
  </si>
  <si>
    <t>dubbel</t>
  </si>
  <si>
    <t>Weegfactor</t>
  </si>
  <si>
    <t>Uwaarden</t>
  </si>
  <si>
    <t>Tbin*100</t>
  </si>
  <si>
    <t>Utot</t>
  </si>
  <si>
    <r>
      <rPr>
        <sz val="11"/>
        <color theme="1"/>
        <rFont val="Calibri"/>
        <family val="2"/>
        <scheme val="minor"/>
      </rPr>
      <t>⁰C</t>
    </r>
  </si>
  <si>
    <t>W/K</t>
  </si>
  <si>
    <t>Stookuren</t>
  </si>
  <si>
    <t>uur</t>
  </si>
  <si>
    <t>Temperatuurverschil</t>
  </si>
  <si>
    <t>Referentie</t>
  </si>
  <si>
    <t>Geisoleerd</t>
  </si>
  <si>
    <t>A</t>
  </si>
  <si>
    <r>
      <t>R</t>
    </r>
    <r>
      <rPr>
        <vertAlign val="subscript"/>
        <sz val="11"/>
        <rFont val="Calibri"/>
        <family val="2"/>
        <scheme val="minor"/>
      </rPr>
      <t>c</t>
    </r>
  </si>
  <si>
    <t>U</t>
  </si>
  <si>
    <r>
      <t>m</t>
    </r>
    <r>
      <rPr>
        <vertAlign val="superscript"/>
        <sz val="11"/>
        <rFont val="Calibri"/>
        <family val="2"/>
        <scheme val="minor"/>
      </rPr>
      <t>2</t>
    </r>
  </si>
  <si>
    <t>Warmteverlies Schil:</t>
  </si>
  <si>
    <t>Deuren</t>
  </si>
  <si>
    <t>A*U*gew.fact.</t>
  </si>
  <si>
    <t>[GJth]</t>
  </si>
  <si>
    <t>user floor area</t>
  </si>
  <si>
    <t>ventilatiedebiet per woning</t>
  </si>
  <si>
    <r>
      <t>m</t>
    </r>
    <r>
      <rPr>
        <vertAlign val="superscript"/>
        <sz val="11"/>
        <rFont val="Calibri"/>
        <family val="2"/>
        <scheme val="minor"/>
      </rPr>
      <t>3</t>
    </r>
    <r>
      <rPr>
        <sz val="11"/>
        <color theme="1"/>
        <rFont val="Calibri"/>
        <family val="2"/>
        <scheme val="minor"/>
      </rPr>
      <t>/hr</t>
    </r>
  </si>
  <si>
    <t>rendement warmteterugwinning</t>
  </si>
  <si>
    <t>CO2 sturing: reductie ventilatie</t>
  </si>
  <si>
    <t>qv10</t>
  </si>
  <si>
    <r>
      <t>dm</t>
    </r>
    <r>
      <rPr>
        <vertAlign val="superscript"/>
        <sz val="11"/>
        <rFont val="Calibri"/>
        <family val="2"/>
        <scheme val="minor"/>
      </rPr>
      <t>3</t>
    </r>
    <r>
      <rPr>
        <sz val="11"/>
        <rFont val="Calibri"/>
        <family val="2"/>
        <scheme val="minor"/>
      </rPr>
      <t>/s/m2</t>
    </r>
  </si>
  <si>
    <t>qv1</t>
  </si>
  <si>
    <t>m3/hr</t>
  </si>
  <si>
    <t>window use profile</t>
  </si>
  <si>
    <t>extra ventilatie door open ramen</t>
  </si>
  <si>
    <t>vent+infiltr woning</t>
  </si>
  <si>
    <t>Cp lucht</t>
  </si>
  <si>
    <r>
      <t>[J/m</t>
    </r>
    <r>
      <rPr>
        <vertAlign val="superscript"/>
        <sz val="11"/>
        <rFont val="Calibri"/>
        <family val="2"/>
        <scheme val="minor"/>
      </rPr>
      <t>3</t>
    </r>
    <r>
      <rPr>
        <sz val="11"/>
        <color theme="1"/>
        <rFont val="Calibri"/>
        <family val="2"/>
        <scheme val="minor"/>
      </rPr>
      <t>K]</t>
    </r>
  </si>
  <si>
    <t>vent+infiltr verliezen</t>
  </si>
  <si>
    <t>U = debiet*Cp</t>
  </si>
  <si>
    <t>Woninggegevens</t>
  </si>
  <si>
    <t>Vloeroppervlakte</t>
  </si>
  <si>
    <t>Stookgedrag</t>
  </si>
  <si>
    <t>eerste maand stookseizoen</t>
  </si>
  <si>
    <t>laatste maand stoookseizoen</t>
  </si>
  <si>
    <t>oktober</t>
  </si>
  <si>
    <t>maart</t>
  </si>
  <si>
    <r>
      <t>m</t>
    </r>
    <r>
      <rPr>
        <b/>
        <vertAlign val="superscript"/>
        <sz val="11"/>
        <rFont val="Calibri"/>
        <family val="2"/>
        <scheme val="minor"/>
      </rPr>
      <t>2</t>
    </r>
  </si>
  <si>
    <r>
      <t>[m</t>
    </r>
    <r>
      <rPr>
        <b/>
        <vertAlign val="superscript"/>
        <sz val="11"/>
        <rFont val="Calibri"/>
        <family val="2"/>
        <scheme val="minor"/>
      </rPr>
      <t>2</t>
    </r>
    <r>
      <rPr>
        <b/>
        <sz val="11"/>
        <rFont val="Calibri"/>
        <family val="2"/>
        <scheme val="minor"/>
      </rPr>
      <t>K/W]</t>
    </r>
  </si>
  <si>
    <r>
      <t>[W/m</t>
    </r>
    <r>
      <rPr>
        <b/>
        <vertAlign val="superscript"/>
        <sz val="11"/>
        <rFont val="Calibri"/>
        <family val="2"/>
        <scheme val="minor"/>
      </rPr>
      <t>2</t>
    </r>
    <r>
      <rPr>
        <b/>
        <sz val="11"/>
        <rFont val="Calibri"/>
        <family val="2"/>
        <scheme val="minor"/>
      </rPr>
      <t>K]</t>
    </r>
  </si>
  <si>
    <t>Aantal stookuren</t>
  </si>
  <si>
    <t>Warmteverlies ventilatie:</t>
  </si>
  <si>
    <t>Besparing door isolatie per bouweel</t>
  </si>
  <si>
    <t>% van warmteverlies</t>
  </si>
  <si>
    <t>Binnentemperatuur</t>
  </si>
  <si>
    <t>Warmteverlies door ventilatie</t>
  </si>
  <si>
    <r>
      <t>m</t>
    </r>
    <r>
      <rPr>
        <i/>
        <vertAlign val="superscript"/>
        <sz val="11"/>
        <rFont val="Calibri"/>
        <family val="2"/>
        <scheme val="minor"/>
      </rPr>
      <t>3</t>
    </r>
    <r>
      <rPr>
        <i/>
        <sz val="11"/>
        <color theme="1"/>
        <rFont val="Calibri"/>
        <family val="2"/>
        <scheme val="minor"/>
      </rPr>
      <t>/hr</t>
    </r>
  </si>
  <si>
    <t>Ventilatiesysteem</t>
  </si>
  <si>
    <t>Kierdichting?</t>
  </si>
  <si>
    <t>nee</t>
  </si>
  <si>
    <t>WTW</t>
  </si>
  <si>
    <t>Warmtevraag voor tapwater</t>
  </si>
  <si>
    <t>Warmtevraag voor koken</t>
  </si>
  <si>
    <t>Warmtewinst door zoninstraling</t>
  </si>
  <si>
    <t>g value glass</t>
  </si>
  <si>
    <t>solar irradiation
heating season</t>
  </si>
  <si>
    <t>solar access</t>
  </si>
  <si>
    <t>glass area South</t>
  </si>
  <si>
    <r>
      <t>kWh/m</t>
    </r>
    <r>
      <rPr>
        <vertAlign val="superscript"/>
        <sz val="11"/>
        <rFont val="Calibri"/>
        <family val="2"/>
        <scheme val="minor"/>
      </rPr>
      <t>2</t>
    </r>
    <r>
      <rPr>
        <sz val="11"/>
        <rFont val="Calibri"/>
        <family val="2"/>
        <scheme val="minor"/>
      </rPr>
      <t xml:space="preserve">      x</t>
    </r>
  </si>
  <si>
    <t>kWh/st</t>
  </si>
  <si>
    <t>glass area West (bxh)</t>
  </si>
  <si>
    <t>glass area North</t>
  </si>
  <si>
    <t>glass area East (bxh)</t>
  </si>
  <si>
    <t>solar gains</t>
  </si>
  <si>
    <t>GJth</t>
  </si>
  <si>
    <t>Warmteverlies door kieren</t>
  </si>
  <si>
    <t>Warmteverlies door open ramen</t>
  </si>
  <si>
    <t>ja/nee</t>
  </si>
  <si>
    <r>
      <t>GJ</t>
    </r>
    <r>
      <rPr>
        <b/>
        <i/>
        <vertAlign val="subscript"/>
        <sz val="11"/>
        <color theme="1"/>
        <rFont val="Calibri"/>
        <family val="2"/>
        <scheme val="minor"/>
      </rPr>
      <t>th</t>
    </r>
    <r>
      <rPr>
        <b/>
        <i/>
        <sz val="11"/>
        <color theme="1"/>
        <rFont val="Calibri"/>
        <family val="2"/>
        <scheme val="minor"/>
      </rPr>
      <t>/bouwdeel</t>
    </r>
  </si>
  <si>
    <t>Theoretisch verbruik</t>
  </si>
  <si>
    <t>Gefit verbruik</t>
  </si>
  <si>
    <t>Warmteverlies</t>
  </si>
  <si>
    <t>TOTALE WARMTEVRAAG PER JAAR</t>
  </si>
  <si>
    <t>Warmtevraag per jaar</t>
  </si>
  <si>
    <t>Gemeten gasverbruik</t>
  </si>
  <si>
    <t>m3/jaar</t>
  </si>
  <si>
    <t>elektriciteitsverbruik per jaar</t>
  </si>
  <si>
    <t>kWh/a</t>
  </si>
  <si>
    <t>interne warmte apparatuur in stookseizoen:</t>
  </si>
  <si>
    <t>aantal personen in huis</t>
  </si>
  <si>
    <t>percentage personen aanwezig</t>
  </si>
  <si>
    <t>heat production 1 person</t>
  </si>
  <si>
    <t>kW</t>
  </si>
  <si>
    <t>interne warmte personen in stookseizoen</t>
  </si>
  <si>
    <t>gemidd interne warmteprod pers+app</t>
  </si>
  <si>
    <r>
      <t>W/m</t>
    </r>
    <r>
      <rPr>
        <vertAlign val="superscript"/>
        <sz val="11"/>
        <color indexed="23"/>
        <rFont val="Calibri"/>
        <family val="2"/>
        <scheme val="minor"/>
      </rPr>
      <t>2</t>
    </r>
  </si>
  <si>
    <t>Interne warmtewinst elek. Apparaten</t>
  </si>
  <si>
    <t>Interne warmtewinst personen</t>
  </si>
  <si>
    <t>Warmtewinst</t>
  </si>
  <si>
    <t>Installaties</t>
  </si>
  <si>
    <t>Warmwatersysteem</t>
  </si>
  <si>
    <t>Kooktoestel</t>
  </si>
  <si>
    <t>Ruimteverwarmingssysteem</t>
  </si>
  <si>
    <t>"Werkelijk verbruik"</t>
  </si>
  <si>
    <t>"Theoretisch verbruik"</t>
  </si>
  <si>
    <t>NTA 8800</t>
  </si>
  <si>
    <t>Warmtewinst zoninstraling</t>
  </si>
  <si>
    <t>Gezinsgrootte</t>
  </si>
  <si>
    <t>aantal pp</t>
  </si>
  <si>
    <t>Aantal maaltijden per week</t>
  </si>
  <si>
    <t>Gasovengebruik per week</t>
  </si>
  <si>
    <t>Aantal douchebeurten</t>
  </si>
  <si>
    <t>Aantal baden</t>
  </si>
  <si>
    <t>Vaatwasmachine</t>
  </si>
  <si>
    <t>Raamoppervlakte</t>
  </si>
  <si>
    <t>Zontoetredingsfactor</t>
  </si>
  <si>
    <t>Zontoetredingsfactor (ZTA)</t>
  </si>
  <si>
    <t>U-waarde glas</t>
  </si>
  <si>
    <t>GJ</t>
  </si>
  <si>
    <t>verbruik TW gas</t>
  </si>
  <si>
    <t>verbruik TW elektriciteit</t>
  </si>
  <si>
    <t>verbruik TW warmte</t>
  </si>
  <si>
    <t>verbruik TW olie</t>
  </si>
  <si>
    <t>verbruik Kook gas</t>
  </si>
  <si>
    <t>verbruik Kook elektriciteit</t>
  </si>
  <si>
    <t>m3 aardgas</t>
  </si>
  <si>
    <t>kWh elektriciteit</t>
  </si>
  <si>
    <t>GJ warmtelevering</t>
  </si>
  <si>
    <t>Totaal verbruiken:</t>
  </si>
  <si>
    <t>Aardgas</t>
  </si>
  <si>
    <t>Elektriciteit</t>
  </si>
  <si>
    <t>Olie</t>
  </si>
  <si>
    <t>Warmtelevering</t>
  </si>
  <si>
    <t>GJ olie</t>
  </si>
  <si>
    <t>RC-waarde</t>
  </si>
  <si>
    <t>U-waarde</t>
  </si>
  <si>
    <t>Temperatuurverschil na correctie</t>
  </si>
  <si>
    <t>Berekend gasverbruik</t>
  </si>
  <si>
    <t>Fitten</t>
  </si>
  <si>
    <t>Niveau 4</t>
  </si>
  <si>
    <t>Deur</t>
  </si>
  <si>
    <t>Paneel</t>
  </si>
  <si>
    <t>* hoe nemen we kierdichting op?</t>
  </si>
  <si>
    <t>ach = het aantal keren dat het volume van de woning in 1 uur wordt ververst</t>
  </si>
  <si>
    <t>ventilatiedebiet woning</t>
  </si>
  <si>
    <t>qv1 (infiltratriedebiet)</t>
  </si>
  <si>
    <t>Factor 0,75: beschrijft zo goed mogelijk de totale luchtwisselingen in een woning, afhankelijk van ventilatie, infiltratie en openen van ramen, zie kader hieronder</t>
  </si>
  <si>
    <t>Niveau 0</t>
  </si>
  <si>
    <t>enkel</t>
  </si>
  <si>
    <t>Temperatuur woonkamer</t>
  </si>
  <si>
    <t>functionele warmtevraag [GJth]</t>
  </si>
  <si>
    <t>Berekende ruimteverwarmingsvraag</t>
  </si>
  <si>
    <t>Gemeten ruimteverwarmingsvraag</t>
  </si>
  <si>
    <t>Warmteverlies per jaar (theoretisch)</t>
  </si>
  <si>
    <t>Warmteverlies per jaar (gefit)</t>
  </si>
  <si>
    <t>Correctiefactor</t>
  </si>
  <si>
    <t>U-waarde per m2 vloeroppervlak</t>
  </si>
  <si>
    <t>Bouwdelen:</t>
  </si>
  <si>
    <t>Totaal</t>
  </si>
  <si>
    <t>natuurlijk</t>
  </si>
  <si>
    <t>mechanisch</t>
  </si>
  <si>
    <t>Vraagsturing</t>
  </si>
  <si>
    <t>ja</t>
  </si>
  <si>
    <t>oppervlak bouwdeel</t>
  </si>
  <si>
    <t>Isolatieniveau</t>
  </si>
  <si>
    <t>Thermostaatinstelling</t>
  </si>
  <si>
    <t>Warmteverlies open raam</t>
  </si>
  <si>
    <t>Kieren</t>
  </si>
  <si>
    <t>Kieren*</t>
  </si>
  <si>
    <t>* De oppervlakte van kieren is weergegeven als m2 vloeroppervlak</t>
  </si>
  <si>
    <t>Warmteverlies schil</t>
  </si>
  <si>
    <t>Warmteverlies ventilatie</t>
  </si>
  <si>
    <t>Warmtevraag koken</t>
  </si>
  <si>
    <t>Woningtype</t>
  </si>
  <si>
    <t>Aantal personen</t>
  </si>
  <si>
    <t>Gegevens woning/ hh</t>
  </si>
  <si>
    <t>vloeroppervlakte</t>
  </si>
  <si>
    <t>x1</t>
  </si>
  <si>
    <r>
      <t>GJ</t>
    </r>
    <r>
      <rPr>
        <vertAlign val="subscript"/>
        <sz val="11"/>
        <color theme="1"/>
        <rFont val="Calibri"/>
        <family val="2"/>
        <scheme val="minor"/>
      </rPr>
      <t>th</t>
    </r>
  </si>
  <si>
    <t>Theoretisch</t>
  </si>
  <si>
    <t>Gefit</t>
  </si>
  <si>
    <t>Warmtewinst personen</t>
  </si>
  <si>
    <t>Wamtewinst apparaten</t>
  </si>
  <si>
    <t>Schaling binnentemperatuur</t>
  </si>
  <si>
    <t>U-waarde per m2 vloer</t>
  </si>
  <si>
    <t>K/W</t>
  </si>
  <si>
    <t>Ventilatiedebiet per woning</t>
  </si>
  <si>
    <t>Rendement warmteterugwinning</t>
  </si>
  <si>
    <t>reductie draaiuren</t>
  </si>
  <si>
    <t>Thermostaatinstelling om op gemeten verbruik te komen</t>
  </si>
  <si>
    <t>Warmtevraag ruimteverwarming</t>
  </si>
  <si>
    <t>Warmtevraag warmwater</t>
  </si>
  <si>
    <t>Functionele warmtevragen</t>
  </si>
  <si>
    <t>Warmteproductie per persoon</t>
  </si>
  <si>
    <t>eenheid</t>
  </si>
  <si>
    <t>kental</t>
  </si>
  <si>
    <t>uren</t>
  </si>
  <si>
    <t>uren in stookseizoen</t>
  </si>
  <si>
    <t>GJ/st</t>
  </si>
  <si>
    <t>Elektriciteitsverbruik</t>
  </si>
  <si>
    <t>kWh/jr</t>
  </si>
  <si>
    <t>Fitten alleen voor jaar met gemeten verbuiken</t>
  </si>
  <si>
    <t>Gemeten functionele warmtevraag RV 2020</t>
  </si>
  <si>
    <t>Benodigde binnentemperatuur</t>
  </si>
  <si>
    <t>Benodigde thermostaatinsteling</t>
  </si>
  <si>
    <t>Ventilatiedebiet woning</t>
  </si>
  <si>
    <t>Cp lucht [J/m3K]</t>
  </si>
  <si>
    <t>Warmteverlies per jaar GJth</t>
  </si>
  <si>
    <t>Eenheid</t>
  </si>
  <si>
    <t>Waarde</t>
  </si>
  <si>
    <t>m3/hr/m2</t>
  </si>
  <si>
    <t>W/K/m2</t>
  </si>
  <si>
    <t>GJth/m2</t>
  </si>
  <si>
    <t>Solar access</t>
  </si>
  <si>
    <t>Warmtewinst [GJth]</t>
  </si>
  <si>
    <t>solar irradiation [kWh/m2]
heating season</t>
  </si>
  <si>
    <t>Raamoppervlakte verdeling [%]</t>
  </si>
  <si>
    <t>solar access [%]</t>
  </si>
  <si>
    <t>solar irradiation heating season [lWh/m2]</t>
  </si>
  <si>
    <t>Glasoriëntatie</t>
  </si>
  <si>
    <t>Type glas</t>
  </si>
  <si>
    <t xml:space="preserve">Energieverbuik </t>
  </si>
  <si>
    <t>Functie</t>
  </si>
  <si>
    <t>Ruimteverwarming</t>
  </si>
  <si>
    <t>Ins</t>
  </si>
  <si>
    <t>Installatie</t>
  </si>
  <si>
    <t>rendement</t>
  </si>
  <si>
    <t>De Bilt</t>
  </si>
  <si>
    <t>Eelde</t>
  </si>
  <si>
    <t>Vlissingen</t>
  </si>
  <si>
    <t>..</t>
  </si>
  <si>
    <t>Zichtjaar</t>
  </si>
  <si>
    <t>Gemiddelde temperatuur stookseizoen</t>
  </si>
  <si>
    <t>..2</t>
  </si>
  <si>
    <t>Weerstation</t>
  </si>
  <si>
    <t>Correctiefactor warmteverlies bouwdelen</t>
  </si>
  <si>
    <t xml:space="preserve">Standaardwaarden Theoretisch verbruik NTA8800 </t>
  </si>
  <si>
    <r>
      <rPr>
        <sz val="11"/>
        <color theme="1"/>
        <rFont val="Webdings"/>
        <family val="1"/>
        <charset val="2"/>
      </rPr>
      <t>Õ</t>
    </r>
    <r>
      <rPr>
        <sz val="9.35"/>
        <color theme="1"/>
        <rFont val="Calibri"/>
        <family val="2"/>
      </rPr>
      <t>C</t>
    </r>
  </si>
  <si>
    <t>Kental</t>
  </si>
  <si>
    <t>Theoretisch Warmteverlies per m2 schilloppervlak</t>
  </si>
  <si>
    <t>Glasorientatie</t>
  </si>
  <si>
    <t>Warmteverlies ventilatiesysteem</t>
  </si>
  <si>
    <t>Januari</t>
  </si>
  <si>
    <t>Februari</t>
  </si>
  <si>
    <t>Maart</t>
  </si>
  <si>
    <t>April</t>
  </si>
  <si>
    <t>Mei</t>
  </si>
  <si>
    <t>Juni</t>
  </si>
  <si>
    <t>Juli</t>
  </si>
  <si>
    <t>Augustus</t>
  </si>
  <si>
    <t>September</t>
  </si>
  <si>
    <t>Oktober</t>
  </si>
  <si>
    <t>November</t>
  </si>
  <si>
    <t>December</t>
  </si>
  <si>
    <t>Maandgemiddelde buitentemperatuur</t>
  </si>
  <si>
    <t>Lengte van de maand (stookuren)</t>
  </si>
  <si>
    <t>Maand</t>
  </si>
  <si>
    <t>startmaand</t>
  </si>
  <si>
    <t>Eindmaand</t>
  </si>
  <si>
    <t>waarde</t>
  </si>
  <si>
    <t>Gemiddelde buitentemperatuur stookseizoen</t>
  </si>
  <si>
    <t>Gemiddelde binnentemperatuur</t>
  </si>
  <si>
    <t>Frans over warmteovergangsweerstand vloer: "De Rse is lager dan de Rsi omdat er vanwege wind een dunnere luchtlaag is (en dus een lagere warmteweerstand). Omdat er geen wind in de kruipruimte is, neem ik 2x de Rsi, dus 0,17+0,17."</t>
  </si>
  <si>
    <t>Balans met WTW</t>
  </si>
  <si>
    <t>Label G WoON18</t>
  </si>
  <si>
    <t>DGMR (t/m 1964)</t>
  </si>
  <si>
    <t>NTA8800</t>
  </si>
  <si>
    <t>* 50 m3 is een aanname uit de losse pols. Later verbeteren</t>
  </si>
  <si>
    <t>*qv10 niveau 1 is het resultaat van het doortrekken van waardes bij 4-3-2. Dit moet nog gecontroleerd worden</t>
  </si>
  <si>
    <t>* qv10 bij niveaus 2-3-4 zijn afgeleid van de waardes in S&amp;S (voor EGW)</t>
  </si>
  <si>
    <t>Tabel C.2 uit NTA8800:</t>
  </si>
  <si>
    <t>Tabel 1 uit DGMR:</t>
  </si>
  <si>
    <t>Tabel I.10</t>
  </si>
  <si>
    <t>DGMR: waarde voor paneel met spouw (zonder spouw is Rc0,04). NTA8800 Tabel I.11: in kozijn opgenomen paneel, zonder spouw gemiddeld (met spouw komt op Rc0,34 gemiddeld)</t>
  </si>
  <si>
    <t>* obv aannames over gebruik van ventilatie is het gemiddelde debiet over 51 m3/uur voor een niet-vraaggestuurd systeem. Voor een vraaggestuurd systeem is dat 28 m3/uur.</t>
  </si>
  <si>
    <t>Besparingspercentages t.o.v. N0</t>
  </si>
  <si>
    <t>N1</t>
  </si>
  <si>
    <t>N2</t>
  </si>
  <si>
    <t>N3</t>
  </si>
  <si>
    <t>N4</t>
  </si>
  <si>
    <t>OUTPUT RICHTING HESTIA KENTALLEN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</si>
</sst>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 #,##0.00_ ;_ * \-#,##0.00_ ;_ * &quot;-&quot;??_ ;_ @_ "/>
    <numFmt numFmtId="164" formatCode="_ * #,##0.0_ ;_ * \-#,##0.0_ ;_ * &quot;-&quot;??_ ;_ @_ "/>
    <numFmt numFmtId="165" formatCode="_ * #,##0.0_ ;_ * \-#,##0.0_ ;_ * &quot;-&quot;?_ ;_ @_ "/>
    <numFmt numFmtId="166" formatCode="0.0"/>
    <numFmt numFmtId="167" formatCode="0.0000"/>
    <numFmt numFmtId="168" formatCode="_ * #,##0_ ;_ * \-#,##0_ ;_ * &quot;-&quot;??_ ;_ @_ "/>
    <numFmt numFmtId="169" formatCode="_ * #,##0.00_ ;_ * \-#,##0.00_ ;_ * &quot;-&quot;?_ ;_ @_ "/>
    <numFmt numFmtId="170" formatCode="_ * #,##0.00000_ ;_ * \-#,##0.00000_ ;_ * &quot;-&quot;??_ ;_ @_ "/>
    <numFmt numFmtId="171" formatCode="_ * #,##0.0000_ ;_ * \-#,##0.0000_ ;_ * &quot;-&quot;??_ ;_ @_ "/>
    <numFmt numFmtId="172" formatCode="_ * #,##0.000_ ;_ * \-#,##0.000_ ;_ * &quot;-&quot;??_ ;_ @_ "/>
    <numFmt numFmtId="173" formatCode="0.000"/>
  </numFmts>
  <fonts count="4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i/>
      <vertAlign val="superscript"/>
      <sz val="11"/>
      <color theme="1"/>
      <name val="Calibri"/>
      <family val="2"/>
      <scheme val="minor"/>
    </font>
    <font>
      <sz val="8"/>
      <name val="Calibri"/>
      <family val="2"/>
      <scheme val="minor"/>
    </font>
    <font>
      <sz val="11"/>
      <color rgb="FF3F3F76"/>
      <name val="Calibri"/>
      <family val="2"/>
      <scheme val="minor"/>
    </font>
    <font>
      <sz val="11"/>
      <name val="Calibri"/>
      <family val="2"/>
      <scheme val="minor"/>
    </font>
    <font>
      <vertAlign val="superscript"/>
      <sz val="11"/>
      <name val="Calibri"/>
      <family val="2"/>
      <scheme val="minor"/>
    </font>
    <font>
      <b/>
      <sz val="11"/>
      <color rgb="FF0070C0"/>
      <name val="Calibri"/>
      <family val="2"/>
      <scheme val="minor"/>
    </font>
    <font>
      <sz val="9"/>
      <color indexed="81"/>
      <name val="Tahoma"/>
      <family val="2"/>
    </font>
    <font>
      <sz val="11"/>
      <color rgb="FF0070C0"/>
      <name val="Calibri"/>
      <family val="2"/>
      <scheme val="minor"/>
    </font>
    <font>
      <sz val="11"/>
      <color rgb="FF9C5700"/>
      <name val="Calibri"/>
      <family val="2"/>
      <scheme val="minor"/>
    </font>
    <font>
      <vertAlign val="subscript"/>
      <sz val="11"/>
      <name val="Calibri"/>
      <family val="2"/>
      <scheme val="minor"/>
    </font>
    <font>
      <b/>
      <sz val="8"/>
      <color indexed="81"/>
      <name val="Tahoma"/>
      <family val="2"/>
    </font>
    <font>
      <sz val="8"/>
      <color indexed="81"/>
      <name val="Tahoma"/>
      <family val="2"/>
    </font>
    <font>
      <b/>
      <sz val="9"/>
      <color indexed="81"/>
      <name val="Tahoma"/>
      <family val="2"/>
    </font>
    <font>
      <sz val="11"/>
      <color theme="0" tint="-0.34998626667073579"/>
      <name val="Calibri"/>
      <family val="2"/>
      <scheme val="minor"/>
    </font>
    <font>
      <b/>
      <sz val="11"/>
      <color rgb="FFFF6565"/>
      <name val="Calibri"/>
      <family val="2"/>
      <scheme val="minor"/>
    </font>
    <font>
      <b/>
      <sz val="11"/>
      <name val="Calibri"/>
      <family val="2"/>
      <scheme val="minor"/>
    </font>
    <font>
      <b/>
      <sz val="11"/>
      <color theme="0" tint="-0.499984740745262"/>
      <name val="Calibri"/>
      <family val="2"/>
      <scheme val="minor"/>
    </font>
    <font>
      <sz val="11"/>
      <color theme="0" tint="-0.499984740745262"/>
      <name val="Calibri"/>
      <family val="2"/>
      <scheme val="minor"/>
    </font>
    <font>
      <b/>
      <sz val="11"/>
      <color indexed="12"/>
      <name val="Calibri"/>
      <family val="2"/>
      <scheme val="minor"/>
    </font>
    <font>
      <sz val="11"/>
      <color indexed="23"/>
      <name val="Calibri"/>
      <family val="2"/>
      <scheme val="minor"/>
    </font>
    <font>
      <b/>
      <sz val="11"/>
      <color theme="9"/>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vertAlign val="superscript"/>
      <sz val="11"/>
      <name val="Calibri"/>
      <family val="2"/>
      <scheme val="minor"/>
    </font>
    <font>
      <i/>
      <vertAlign val="superscript"/>
      <sz val="11"/>
      <name val="Calibri"/>
      <family val="2"/>
      <scheme val="minor"/>
    </font>
    <font>
      <b/>
      <i/>
      <sz val="11"/>
      <color theme="1"/>
      <name val="Calibri"/>
      <family val="2"/>
      <scheme val="minor"/>
    </font>
    <font>
      <b/>
      <i/>
      <vertAlign val="subscript"/>
      <sz val="11"/>
      <color theme="1"/>
      <name val="Calibri"/>
      <family val="2"/>
      <scheme val="minor"/>
    </font>
    <font>
      <vertAlign val="superscript"/>
      <sz val="11"/>
      <color indexed="23"/>
      <name val="Calibri"/>
      <family val="2"/>
      <scheme val="minor"/>
    </font>
    <font>
      <b/>
      <sz val="11"/>
      <color theme="0"/>
      <name val="Calibri"/>
      <family val="2"/>
      <scheme val="minor"/>
    </font>
    <font>
      <i/>
      <sz val="9"/>
      <color theme="1"/>
      <name val="Calibri"/>
      <family val="2"/>
      <scheme val="minor"/>
    </font>
    <font>
      <vertAlign val="subscript"/>
      <sz val="11"/>
      <color theme="1"/>
      <name val="Calibri"/>
      <family val="2"/>
      <scheme val="minor"/>
    </font>
    <font>
      <sz val="11"/>
      <color theme="1"/>
      <name val="Calibri"/>
      <family val="2"/>
    </font>
    <font>
      <sz val="18"/>
      <color theme="1"/>
      <name val="Calibri"/>
      <family val="2"/>
      <scheme val="minor"/>
    </font>
    <font>
      <sz val="11"/>
      <color theme="1"/>
      <name val="Webdings"/>
      <family val="1"/>
      <charset val="2"/>
    </font>
    <font>
      <sz val="9.35"/>
      <color theme="1"/>
      <name val="Calibri"/>
      <family val="2"/>
    </font>
    <font>
      <sz val="11"/>
      <color theme="1"/>
      <name val="Calibri"/>
      <family val="1"/>
      <charset val="2"/>
    </font>
  </fonts>
  <fills count="17">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EB9C"/>
      </patternFill>
    </fill>
    <fill>
      <patternFill patternType="solid">
        <fgColor theme="8" tint="0.59999389629810485"/>
        <bgColor indexed="64"/>
      </patternFill>
    </fill>
    <fill>
      <patternFill patternType="solid">
        <fgColor theme="0" tint="-0.14999847407452621"/>
        <bgColor indexed="64"/>
      </patternFill>
    </fill>
    <fill>
      <patternFill patternType="solid">
        <fgColor indexed="41"/>
        <bgColor indexed="64"/>
      </patternFill>
    </fill>
    <fill>
      <patternFill patternType="solid">
        <fgColor rgb="FFF2F2F2"/>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bgColor theme="9"/>
      </patternFill>
    </fill>
    <fill>
      <patternFill patternType="solid">
        <fgColor theme="4" tint="0.79998168889431442"/>
        <bgColor theme="4" tint="0.79998168889431442"/>
      </patternFill>
    </fill>
    <fill>
      <patternFill patternType="solid">
        <fgColor theme="1" tint="0.34998626667073579"/>
        <bgColor indexed="64"/>
      </patternFill>
    </fill>
    <fill>
      <patternFill patternType="solid">
        <fgColor theme="0"/>
        <bgColor indexed="64"/>
      </patternFill>
    </fill>
  </fills>
  <borders count="29">
    <border>
      <left/>
      <right/>
      <top/>
      <bottom/>
      <diagonal/>
    </border>
    <border>
      <left/>
      <right/>
      <top style="thin">
        <color indexed="64"/>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medium">
        <color indexed="29"/>
      </left>
      <right style="medium">
        <color indexed="29"/>
      </right>
      <top style="medium">
        <color indexed="29"/>
      </top>
      <bottom style="medium">
        <color indexed="29"/>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indexed="64"/>
      </top>
      <bottom style="double">
        <color indexed="64"/>
      </bottom>
      <diagonal/>
    </border>
    <border>
      <left style="medium">
        <color indexed="29"/>
      </left>
      <right style="medium">
        <color indexed="29"/>
      </right>
      <top style="thin">
        <color indexed="64"/>
      </top>
      <bottom style="double">
        <color indexed="64"/>
      </bottom>
      <diagonal/>
    </border>
    <border>
      <left/>
      <right/>
      <top style="thin">
        <color indexed="64"/>
      </top>
      <bottom/>
      <diagonal/>
    </border>
    <border>
      <left style="thin">
        <color rgb="FF3F3F3F"/>
      </left>
      <right style="thin">
        <color rgb="FF3F3F3F"/>
      </right>
      <top style="thin">
        <color indexed="64"/>
      </top>
      <bottom style="medium">
        <color indexed="64"/>
      </bottom>
      <diagonal/>
    </border>
    <border>
      <left style="thin">
        <color rgb="FF3F3F3F"/>
      </left>
      <right style="thin">
        <color rgb="FF3F3F3F"/>
      </right>
      <top style="thin">
        <color rgb="FF3F3F3F"/>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indexed="64"/>
      </top>
      <bottom/>
      <diagonal/>
    </border>
    <border>
      <left/>
      <right/>
      <top/>
      <bottom style="medium">
        <color indexed="64"/>
      </bottom>
      <diagonal/>
    </border>
    <border>
      <left style="thin">
        <color rgb="FF3F3F3F"/>
      </left>
      <right style="thin">
        <color rgb="FF3F3F3F"/>
      </right>
      <top/>
      <bottom style="medium">
        <color indexed="64"/>
      </bottom>
      <diagonal/>
    </border>
    <border>
      <left style="thin">
        <color rgb="FF3F3F3F"/>
      </left>
      <right style="thin">
        <color rgb="FF3F3F3F"/>
      </right>
      <top/>
      <bottom style="thin">
        <color indexed="64"/>
      </bottom>
      <diagonal/>
    </border>
    <border>
      <left/>
      <right/>
      <top style="thin">
        <color theme="9"/>
      </top>
      <bottom/>
      <diagonal/>
    </border>
    <border>
      <left/>
      <right/>
      <top style="thin">
        <color theme="9"/>
      </top>
      <bottom style="thin">
        <color theme="9"/>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3F3F3F"/>
      </left>
      <right style="thin">
        <color rgb="FF3F3F3F"/>
      </right>
      <top/>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style="thin">
        <color rgb="FF7F7F7F"/>
      </top>
      <bottom style="medium">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3" borderId="3" applyNumberFormat="0" applyAlignment="0" applyProtection="0"/>
    <xf numFmtId="0" fontId="12" fillId="6" borderId="0" applyNumberFormat="0" applyBorder="0" applyAlignment="0" applyProtection="0"/>
    <xf numFmtId="0" fontId="25" fillId="10" borderId="5" applyNumberFormat="0" applyAlignment="0" applyProtection="0"/>
    <xf numFmtId="0" fontId="26" fillId="10" borderId="3" applyNumberFormat="0" applyAlignment="0" applyProtection="0"/>
    <xf numFmtId="0" fontId="27" fillId="0" borderId="6" applyNumberFormat="0" applyFill="0" applyAlignment="0" applyProtection="0"/>
  </cellStyleXfs>
  <cellXfs count="197">
    <xf numFmtId="0" fontId="0" fillId="0" borderId="0" xfId="0"/>
    <xf numFmtId="9" fontId="0" fillId="0" borderId="0" xfId="0" applyNumberFormat="1"/>
    <xf numFmtId="0" fontId="2" fillId="0" borderId="0" xfId="0" applyFont="1"/>
    <xf numFmtId="0" fontId="2" fillId="0" borderId="1" xfId="0" applyFont="1" applyBorder="1"/>
    <xf numFmtId="164" fontId="0" fillId="0" borderId="0" xfId="1" applyNumberFormat="1" applyFont="1"/>
    <xf numFmtId="164" fontId="2" fillId="0" borderId="1" xfId="1" applyNumberFormat="1" applyFont="1" applyBorder="1"/>
    <xf numFmtId="165" fontId="0" fillId="0" borderId="0" xfId="0" applyNumberFormat="1"/>
    <xf numFmtId="165" fontId="2" fillId="0" borderId="1" xfId="0" applyNumberFormat="1" applyFont="1" applyBorder="1"/>
    <xf numFmtId="9" fontId="0" fillId="0" borderId="0" xfId="2" applyFont="1"/>
    <xf numFmtId="9" fontId="2" fillId="0" borderId="1" xfId="2" applyFont="1" applyBorder="1"/>
    <xf numFmtId="0" fontId="3" fillId="0" borderId="2" xfId="0" applyFont="1" applyBorder="1"/>
    <xf numFmtId="0" fontId="0" fillId="2" borderId="0" xfId="0" applyFill="1"/>
    <xf numFmtId="43" fontId="0" fillId="0" borderId="0" xfId="1" applyFont="1"/>
    <xf numFmtId="0" fontId="7" fillId="0" borderId="0" xfId="0" applyFont="1" applyAlignment="1">
      <alignment horizontal="center"/>
    </xf>
    <xf numFmtId="0" fontId="6" fillId="3" borderId="3" xfId="3"/>
    <xf numFmtId="0" fontId="7" fillId="0" borderId="0" xfId="0" applyFont="1"/>
    <xf numFmtId="0" fontId="2" fillId="0" borderId="0" xfId="0" applyFont="1" applyFill="1" applyBorder="1"/>
    <xf numFmtId="43" fontId="2" fillId="0" borderId="1" xfId="1" applyFont="1" applyBorder="1"/>
    <xf numFmtId="0" fontId="2" fillId="0" borderId="0" xfId="0" applyFont="1" applyBorder="1"/>
    <xf numFmtId="2" fontId="11" fillId="0" borderId="0" xfId="0" applyNumberFormat="1" applyFont="1"/>
    <xf numFmtId="1" fontId="11" fillId="0" borderId="0" xfId="0" applyNumberFormat="1" applyFont="1"/>
    <xf numFmtId="166" fontId="0" fillId="0" borderId="0" xfId="0" applyNumberFormat="1"/>
    <xf numFmtId="1" fontId="0" fillId="4" borderId="0" xfId="0" applyNumberFormat="1" applyFill="1"/>
    <xf numFmtId="1" fontId="7" fillId="0" borderId="0" xfId="0" applyNumberFormat="1" applyFont="1"/>
    <xf numFmtId="1" fontId="0" fillId="5" borderId="0" xfId="0" applyNumberFormat="1" applyFill="1"/>
    <xf numFmtId="1" fontId="0" fillId="0" borderId="0" xfId="0" applyNumberFormat="1"/>
    <xf numFmtId="0" fontId="0" fillId="0" borderId="2" xfId="0" applyBorder="1"/>
    <xf numFmtId="164" fontId="6" fillId="3" borderId="3" xfId="3" applyNumberFormat="1"/>
    <xf numFmtId="2" fontId="9" fillId="0" borderId="0" xfId="0" applyNumberFormat="1" applyFont="1" applyAlignment="1">
      <alignment horizontal="center"/>
    </xf>
    <xf numFmtId="1" fontId="18" fillId="0" borderId="0" xfId="0" applyNumberFormat="1" applyFont="1"/>
    <xf numFmtId="0" fontId="19" fillId="0" borderId="0" xfId="0" applyFont="1"/>
    <xf numFmtId="0" fontId="7" fillId="0" borderId="0" xfId="0" applyFont="1" applyAlignment="1">
      <alignment horizontal="right"/>
    </xf>
    <xf numFmtId="1" fontId="20" fillId="7" borderId="0" xfId="0" applyNumberFormat="1" applyFont="1" applyFill="1"/>
    <xf numFmtId="0" fontId="0" fillId="0" borderId="0" xfId="0" applyAlignment="1">
      <alignment horizontal="left"/>
    </xf>
    <xf numFmtId="9" fontId="18" fillId="0" borderId="0" xfId="2" applyFont="1"/>
    <xf numFmtId="0" fontId="7" fillId="0" borderId="0" xfId="0" applyFont="1" applyAlignment="1">
      <alignment horizontal="left"/>
    </xf>
    <xf numFmtId="0" fontId="21" fillId="8" borderId="4" xfId="0" applyFont="1" applyFill="1" applyBorder="1" applyAlignment="1">
      <alignment horizontal="right"/>
    </xf>
    <xf numFmtId="1" fontId="9" fillId="0" borderId="0" xfId="0" applyNumberFormat="1" applyFont="1"/>
    <xf numFmtId="1" fontId="22" fillId="0" borderId="0" xfId="0" applyNumberFormat="1" applyFont="1"/>
    <xf numFmtId="0" fontId="20" fillId="0" borderId="0" xfId="0" applyFont="1"/>
    <xf numFmtId="0" fontId="21" fillId="0" borderId="0" xfId="0" applyFont="1"/>
    <xf numFmtId="167" fontId="17" fillId="0" borderId="0" xfId="0" applyNumberFormat="1" applyFont="1"/>
    <xf numFmtId="0" fontId="23" fillId="0" borderId="0" xfId="0" applyFont="1"/>
    <xf numFmtId="0" fontId="24" fillId="0" borderId="0" xfId="0" applyFont="1"/>
    <xf numFmtId="0" fontId="0" fillId="0" borderId="0" xfId="0" applyAlignment="1">
      <alignment horizontal="center"/>
    </xf>
    <xf numFmtId="1" fontId="9" fillId="9" borderId="0" xfId="0" applyNumberFormat="1" applyFont="1" applyFill="1" applyAlignment="1">
      <alignment horizontal="right"/>
    </xf>
    <xf numFmtId="164" fontId="12" fillId="6" borderId="0" xfId="4" applyNumberFormat="1"/>
    <xf numFmtId="0" fontId="2" fillId="0" borderId="2" xfId="0" applyFont="1" applyBorder="1"/>
    <xf numFmtId="0" fontId="19" fillId="0" borderId="2" xfId="0" applyFont="1" applyBorder="1" applyAlignment="1">
      <alignment horizontal="center"/>
    </xf>
    <xf numFmtId="14" fontId="0" fillId="0" borderId="0" xfId="0" applyNumberFormat="1"/>
    <xf numFmtId="0" fontId="0" fillId="0" borderId="0" xfId="0" applyNumberFormat="1"/>
    <xf numFmtId="164" fontId="2" fillId="0" borderId="0" xfId="0" applyNumberFormat="1" applyFont="1"/>
    <xf numFmtId="0" fontId="19" fillId="0" borderId="0" xfId="0" applyFont="1" applyFill="1" applyBorder="1" applyAlignment="1">
      <alignment horizontal="center"/>
    </xf>
    <xf numFmtId="0" fontId="0" fillId="0" borderId="7" xfId="0" applyBorder="1"/>
    <xf numFmtId="9" fontId="0" fillId="0" borderId="7" xfId="0" applyNumberFormat="1" applyBorder="1"/>
    <xf numFmtId="0" fontId="17" fillId="4" borderId="8" xfId="0" applyFont="1" applyFill="1" applyBorder="1" applyAlignment="1">
      <alignment horizontal="center"/>
    </xf>
    <xf numFmtId="1" fontId="0" fillId="0" borderId="7" xfId="0" applyNumberFormat="1" applyBorder="1"/>
    <xf numFmtId="164" fontId="0" fillId="0" borderId="7" xfId="1" applyNumberFormat="1" applyFont="1" applyBorder="1"/>
    <xf numFmtId="9" fontId="0" fillId="0" borderId="7" xfId="2" applyFont="1" applyBorder="1"/>
    <xf numFmtId="43" fontId="6" fillId="3" borderId="3" xfId="3" applyNumberFormat="1"/>
    <xf numFmtId="9" fontId="9" fillId="0" borderId="0" xfId="2" applyFont="1"/>
    <xf numFmtId="168" fontId="0" fillId="0" borderId="0" xfId="1" applyNumberFormat="1" applyFont="1"/>
    <xf numFmtId="168" fontId="9" fillId="0" borderId="0" xfId="1" applyNumberFormat="1" applyFont="1"/>
    <xf numFmtId="0" fontId="0" fillId="0" borderId="0" xfId="0" applyAlignment="1">
      <alignment horizontal="left" indent="1"/>
    </xf>
    <xf numFmtId="0" fontId="2" fillId="0" borderId="9" xfId="0" applyFont="1" applyBorder="1"/>
    <xf numFmtId="0" fontId="2" fillId="0" borderId="9" xfId="0" applyFont="1" applyFill="1" applyBorder="1"/>
    <xf numFmtId="168" fontId="2" fillId="0" borderId="1" xfId="1" applyNumberFormat="1" applyFont="1" applyBorder="1"/>
    <xf numFmtId="168" fontId="2" fillId="0" borderId="9" xfId="1" applyNumberFormat="1" applyFont="1" applyBorder="1"/>
    <xf numFmtId="9" fontId="6" fillId="3" borderId="3" xfId="3" applyNumberFormat="1"/>
    <xf numFmtId="0" fontId="0" fillId="0" borderId="9" xfId="0" applyBorder="1"/>
    <xf numFmtId="164" fontId="2" fillId="11" borderId="1" xfId="1" applyNumberFormat="1" applyFont="1" applyFill="1" applyBorder="1"/>
    <xf numFmtId="1" fontId="6" fillId="3" borderId="3" xfId="3" applyNumberFormat="1"/>
    <xf numFmtId="165" fontId="27" fillId="0" borderId="6" xfId="7" applyNumberFormat="1"/>
    <xf numFmtId="164" fontId="26" fillId="10" borderId="3" xfId="6" applyNumberFormat="1"/>
    <xf numFmtId="0" fontId="0" fillId="0" borderId="0" xfId="0" applyFill="1"/>
    <xf numFmtId="164" fontId="0" fillId="0" borderId="0" xfId="1" applyNumberFormat="1" applyFont="1" applyFill="1"/>
    <xf numFmtId="0" fontId="0" fillId="0" borderId="2" xfId="0" applyFill="1" applyBorder="1"/>
    <xf numFmtId="0" fontId="30" fillId="0" borderId="2" xfId="0" applyFont="1" applyFill="1" applyBorder="1"/>
    <xf numFmtId="165" fontId="25" fillId="0" borderId="5" xfId="5" applyNumberFormat="1" applyFill="1"/>
    <xf numFmtId="165" fontId="25" fillId="0" borderId="11" xfId="5" applyNumberFormat="1" applyFill="1" applyBorder="1"/>
    <xf numFmtId="164" fontId="25" fillId="0" borderId="10" xfId="5" applyNumberFormat="1" applyFont="1" applyFill="1" applyBorder="1"/>
    <xf numFmtId="168" fontId="9" fillId="0" borderId="0" xfId="1" applyNumberFormat="1" applyFont="1" applyFill="1"/>
    <xf numFmtId="168" fontId="0" fillId="0" borderId="0" xfId="1" applyNumberFormat="1" applyFont="1" applyFill="1"/>
    <xf numFmtId="0" fontId="7" fillId="0" borderId="0" xfId="0" applyFont="1" applyFill="1" applyAlignment="1">
      <alignment horizontal="left"/>
    </xf>
    <xf numFmtId="0" fontId="21" fillId="0" borderId="0" xfId="0" applyFont="1" applyFill="1"/>
    <xf numFmtId="164" fontId="2" fillId="0" borderId="0" xfId="1" applyNumberFormat="1" applyFont="1" applyFill="1"/>
    <xf numFmtId="0" fontId="7" fillId="0" borderId="0" xfId="0" applyFont="1" applyFill="1"/>
    <xf numFmtId="164" fontId="21" fillId="0" borderId="0" xfId="0" applyNumberFormat="1" applyFont="1" applyFill="1"/>
    <xf numFmtId="9" fontId="0" fillId="0" borderId="0" xfId="0" applyNumberFormat="1" applyFill="1"/>
    <xf numFmtId="0" fontId="2" fillId="0" borderId="0" xfId="0" applyFont="1" applyFill="1"/>
    <xf numFmtId="0" fontId="0" fillId="12" borderId="0" xfId="0" applyFill="1"/>
    <xf numFmtId="0" fontId="2" fillId="12" borderId="9" xfId="0" applyFont="1" applyFill="1" applyBorder="1"/>
    <xf numFmtId="0" fontId="3" fillId="12" borderId="2" xfId="0" applyFont="1" applyFill="1" applyBorder="1"/>
    <xf numFmtId="164" fontId="0" fillId="12" borderId="0" xfId="1" applyNumberFormat="1" applyFont="1" applyFill="1"/>
    <xf numFmtId="164" fontId="2" fillId="12" borderId="1" xfId="1" applyNumberFormat="1" applyFont="1" applyFill="1" applyBorder="1"/>
    <xf numFmtId="0" fontId="0" fillId="12" borderId="0" xfId="0" applyFill="1" applyAlignment="1">
      <alignment horizontal="center"/>
    </xf>
    <xf numFmtId="0" fontId="2" fillId="12" borderId="0" xfId="0" applyFont="1" applyFill="1"/>
    <xf numFmtId="164" fontId="0" fillId="12" borderId="12" xfId="1" applyNumberFormat="1" applyFont="1" applyFill="1" applyBorder="1"/>
    <xf numFmtId="0" fontId="2" fillId="12" borderId="0" xfId="0" applyFont="1" applyFill="1" applyBorder="1"/>
    <xf numFmtId="168" fontId="2" fillId="0" borderId="2" xfId="1" applyNumberFormat="1" applyFont="1" applyBorder="1"/>
    <xf numFmtId="0" fontId="2" fillId="0" borderId="2" xfId="0" applyFont="1" applyFill="1" applyBorder="1"/>
    <xf numFmtId="0" fontId="2" fillId="12" borderId="2" xfId="0" applyFont="1" applyFill="1" applyBorder="1"/>
    <xf numFmtId="0" fontId="0" fillId="0" borderId="0" xfId="0" applyBorder="1"/>
    <xf numFmtId="0" fontId="7" fillId="0" borderId="0" xfId="0" applyFont="1" applyBorder="1"/>
    <xf numFmtId="0" fontId="21" fillId="0" borderId="0" xfId="0" applyFont="1" applyFill="1" applyBorder="1"/>
    <xf numFmtId="0" fontId="21" fillId="0" borderId="0" xfId="0" applyFont="1" applyBorder="1"/>
    <xf numFmtId="0" fontId="0" fillId="12" borderId="0" xfId="0" applyFill="1" applyBorder="1" applyAlignment="1">
      <alignment horizontal="center"/>
    </xf>
    <xf numFmtId="43" fontId="2" fillId="0" borderId="9" xfId="1" applyFont="1" applyBorder="1"/>
    <xf numFmtId="165" fontId="2" fillId="0" borderId="9" xfId="0" applyNumberFormat="1" applyFont="1" applyBorder="1"/>
    <xf numFmtId="164" fontId="25" fillId="0" borderId="13" xfId="5" applyNumberFormat="1" applyFont="1" applyFill="1" applyBorder="1"/>
    <xf numFmtId="164" fontId="2" fillId="0" borderId="9" xfId="1" applyNumberFormat="1" applyFont="1" applyBorder="1"/>
    <xf numFmtId="164" fontId="2" fillId="12" borderId="9" xfId="1" applyNumberFormat="1" applyFont="1" applyFill="1" applyBorder="1"/>
    <xf numFmtId="0" fontId="2" fillId="0" borderId="14" xfId="0" applyFont="1" applyBorder="1"/>
    <xf numFmtId="168" fontId="2" fillId="0" borderId="14" xfId="1" applyNumberFormat="1" applyFont="1" applyBorder="1"/>
    <xf numFmtId="43" fontId="2" fillId="0" borderId="14" xfId="1" applyFont="1" applyBorder="1"/>
    <xf numFmtId="165" fontId="2" fillId="0" borderId="14" xfId="0" applyNumberFormat="1" applyFont="1" applyBorder="1"/>
    <xf numFmtId="164" fontId="25" fillId="0" borderId="15" xfId="5" applyNumberFormat="1" applyFont="1" applyFill="1" applyBorder="1"/>
    <xf numFmtId="164" fontId="2" fillId="0" borderId="14" xfId="1" applyNumberFormat="1" applyFont="1" applyBorder="1"/>
    <xf numFmtId="164" fontId="2" fillId="12" borderId="14" xfId="1" applyNumberFormat="1" applyFont="1" applyFill="1" applyBorder="1"/>
    <xf numFmtId="0" fontId="0" fillId="0" borderId="2" xfId="0" applyFont="1" applyBorder="1"/>
    <xf numFmtId="164" fontId="25" fillId="0" borderId="9" xfId="5" applyNumberFormat="1" applyFont="1" applyFill="1" applyBorder="1"/>
    <xf numFmtId="43" fontId="2" fillId="0" borderId="2" xfId="1" applyFont="1" applyBorder="1"/>
    <xf numFmtId="165" fontId="2" fillId="0" borderId="2" xfId="0" applyNumberFormat="1" applyFont="1" applyBorder="1"/>
    <xf numFmtId="164" fontId="25" fillId="0" borderId="16" xfId="5" applyNumberFormat="1" applyFont="1" applyFill="1" applyBorder="1"/>
    <xf numFmtId="164" fontId="2" fillId="0" borderId="2" xfId="1" applyNumberFormat="1" applyFont="1" applyBorder="1"/>
    <xf numFmtId="164" fontId="2" fillId="12" borderId="2" xfId="1" applyNumberFormat="1" applyFont="1" applyFill="1" applyBorder="1"/>
    <xf numFmtId="169" fontId="0" fillId="0" borderId="0" xfId="0" applyNumberFormat="1"/>
    <xf numFmtId="164" fontId="7" fillId="0" borderId="0" xfId="1" applyNumberFormat="1" applyFont="1"/>
    <xf numFmtId="165" fontId="0" fillId="0" borderId="0" xfId="0" applyNumberFormat="1" applyFill="1"/>
    <xf numFmtId="0" fontId="0" fillId="0" borderId="0" xfId="0" applyFont="1"/>
    <xf numFmtId="43" fontId="0" fillId="2" borderId="0" xfId="1" applyFont="1" applyFill="1"/>
    <xf numFmtId="0" fontId="0" fillId="0" borderId="0" xfId="0" quotePrefix="1"/>
    <xf numFmtId="43" fontId="2" fillId="2" borderId="1" xfId="1" applyFont="1" applyFill="1" applyBorder="1"/>
    <xf numFmtId="0" fontId="0" fillId="2" borderId="2" xfId="0" applyFill="1" applyBorder="1"/>
    <xf numFmtId="170" fontId="25" fillId="0" borderId="10" xfId="5" applyNumberFormat="1" applyFont="1" applyFill="1" applyBorder="1"/>
    <xf numFmtId="43" fontId="0" fillId="0" borderId="0" xfId="1" applyFont="1" applyFill="1"/>
    <xf numFmtId="43" fontId="0" fillId="0" borderId="0" xfId="0" applyNumberFormat="1" applyFill="1"/>
    <xf numFmtId="164" fontId="0" fillId="0" borderId="0" xfId="0" applyNumberFormat="1" applyFill="1"/>
    <xf numFmtId="164" fontId="0" fillId="12" borderId="0" xfId="0" applyNumberFormat="1" applyFill="1"/>
    <xf numFmtId="0" fontId="33" fillId="13" borderId="17" xfId="0" applyFont="1" applyFill="1" applyBorder="1"/>
    <xf numFmtId="0" fontId="0" fillId="0" borderId="17" xfId="0" applyFont="1" applyBorder="1"/>
    <xf numFmtId="0" fontId="0" fillId="0" borderId="18" xfId="0" applyFont="1" applyBorder="1"/>
    <xf numFmtId="171" fontId="0" fillId="12" borderId="12" xfId="1" applyNumberFormat="1" applyFont="1" applyFill="1" applyBorder="1"/>
    <xf numFmtId="0" fontId="0" fillId="0" borderId="0" xfId="0" applyFill="1" applyBorder="1" applyAlignment="1">
      <alignment horizontal="left" indent="1"/>
    </xf>
    <xf numFmtId="0" fontId="0" fillId="0" borderId="0" xfId="0" applyAlignment="1">
      <alignment horizontal="left" indent="3"/>
    </xf>
    <xf numFmtId="0" fontId="6" fillId="3" borderId="19" xfId="3" applyBorder="1"/>
    <xf numFmtId="0" fontId="2" fillId="0" borderId="1" xfId="0" applyFont="1" applyBorder="1" applyAlignment="1">
      <alignment horizontal="left" indent="1"/>
    </xf>
    <xf numFmtId="0" fontId="6" fillId="3" borderId="20" xfId="3" applyBorder="1"/>
    <xf numFmtId="165" fontId="25" fillId="0" borderId="21" xfId="5" applyNumberFormat="1" applyFill="1" applyBorder="1"/>
    <xf numFmtId="164" fontId="0" fillId="12" borderId="9" xfId="1" applyNumberFormat="1" applyFont="1" applyFill="1" applyBorder="1"/>
    <xf numFmtId="43" fontId="0" fillId="0" borderId="0" xfId="1" applyNumberFormat="1" applyFont="1"/>
    <xf numFmtId="0" fontId="34" fillId="0" borderId="0" xfId="0" applyFont="1" applyFill="1" applyBorder="1" applyAlignment="1">
      <alignment horizontal="left" indent="3"/>
    </xf>
    <xf numFmtId="0" fontId="0" fillId="0" borderId="14" xfId="0" applyFont="1" applyBorder="1"/>
    <xf numFmtId="0" fontId="6" fillId="3" borderId="22" xfId="3" applyBorder="1"/>
    <xf numFmtId="0" fontId="36" fillId="0" borderId="0" xfId="0" applyFont="1"/>
    <xf numFmtId="0" fontId="0" fillId="0" borderId="1" xfId="0" applyBorder="1"/>
    <xf numFmtId="0" fontId="0" fillId="0" borderId="14" xfId="0" applyFill="1" applyBorder="1" applyAlignment="1">
      <alignment horizontal="left" indent="1"/>
    </xf>
    <xf numFmtId="9" fontId="26" fillId="10" borderId="23" xfId="6" applyNumberFormat="1" applyBorder="1"/>
    <xf numFmtId="0" fontId="0" fillId="14" borderId="24" xfId="0" applyFont="1" applyFill="1" applyBorder="1"/>
    <xf numFmtId="43" fontId="26" fillId="10" borderId="3" xfId="6" applyNumberFormat="1"/>
    <xf numFmtId="43" fontId="27" fillId="0" borderId="6" xfId="7" applyNumberFormat="1"/>
    <xf numFmtId="164" fontId="6" fillId="3" borderId="3" xfId="1" applyNumberFormat="1" applyFont="1" applyFill="1" applyBorder="1"/>
    <xf numFmtId="0" fontId="0" fillId="14" borderId="25" xfId="0" applyFont="1" applyFill="1" applyBorder="1"/>
    <xf numFmtId="0" fontId="0" fillId="14" borderId="26" xfId="0" applyFont="1" applyFill="1" applyBorder="1"/>
    <xf numFmtId="9" fontId="2" fillId="0" borderId="9" xfId="0" applyNumberFormat="1" applyFont="1" applyBorder="1"/>
    <xf numFmtId="9" fontId="0" fillId="0" borderId="14" xfId="0" applyNumberFormat="1" applyFont="1" applyBorder="1"/>
    <xf numFmtId="43" fontId="0" fillId="0" borderId="0" xfId="0" applyNumberFormat="1"/>
    <xf numFmtId="168" fontId="2" fillId="0" borderId="0" xfId="1" applyNumberFormat="1" applyFont="1" applyBorder="1"/>
    <xf numFmtId="165" fontId="2" fillId="0" borderId="0" xfId="0" applyNumberFormat="1" applyFont="1" applyBorder="1"/>
    <xf numFmtId="164" fontId="2" fillId="12" borderId="0" xfId="1" applyNumberFormat="1" applyFont="1" applyFill="1" applyBorder="1"/>
    <xf numFmtId="9" fontId="2" fillId="0" borderId="0" xfId="2" applyFont="1" applyBorder="1"/>
    <xf numFmtId="43" fontId="2" fillId="2" borderId="0" xfId="1" applyFont="1" applyFill="1" applyBorder="1"/>
    <xf numFmtId="0" fontId="3" fillId="0" borderId="0" xfId="0" applyFont="1" applyBorder="1"/>
    <xf numFmtId="0" fontId="3" fillId="12" borderId="0" xfId="0" applyFont="1" applyFill="1" applyBorder="1"/>
    <xf numFmtId="0" fontId="3" fillId="0" borderId="0" xfId="0" applyFont="1"/>
    <xf numFmtId="172" fontId="2" fillId="0" borderId="1" xfId="1" applyNumberFormat="1" applyFont="1" applyBorder="1"/>
    <xf numFmtId="0" fontId="2" fillId="0" borderId="0" xfId="0" applyFont="1" applyBorder="1" applyAlignment="1">
      <alignment wrapText="1"/>
    </xf>
    <xf numFmtId="172" fontId="0" fillId="0" borderId="0" xfId="1" applyNumberFormat="1" applyFont="1"/>
    <xf numFmtId="173" fontId="7" fillId="0" borderId="0" xfId="0" applyNumberFormat="1" applyFont="1" applyFill="1"/>
    <xf numFmtId="43" fontId="27" fillId="15" borderId="6" xfId="7" applyNumberFormat="1" applyFill="1"/>
    <xf numFmtId="0" fontId="2" fillId="0" borderId="0" xfId="0" applyFont="1" applyFill="1" applyBorder="1" applyAlignment="1">
      <alignment horizontal="left" indent="1"/>
    </xf>
    <xf numFmtId="43" fontId="27" fillId="10" borderId="6" xfId="7" applyNumberFormat="1" applyFill="1"/>
    <xf numFmtId="0" fontId="37" fillId="0" borderId="0" xfId="0" applyFont="1"/>
    <xf numFmtId="0" fontId="40" fillId="0" borderId="0" xfId="0" applyFont="1"/>
    <xf numFmtId="0" fontId="27" fillId="16" borderId="6" xfId="7" applyFill="1"/>
    <xf numFmtId="171" fontId="0" fillId="0" borderId="0" xfId="1" applyNumberFormat="1" applyFont="1"/>
    <xf numFmtId="43" fontId="2" fillId="0" borderId="0" xfId="1" applyFont="1" applyFill="1" applyBorder="1"/>
    <xf numFmtId="168" fontId="2" fillId="2" borderId="0" xfId="1" applyNumberFormat="1" applyFont="1" applyFill="1" applyBorder="1"/>
    <xf numFmtId="0" fontId="0" fillId="0" borderId="12" xfId="0" applyBorder="1"/>
    <xf numFmtId="2" fontId="0" fillId="0" borderId="12" xfId="0" applyNumberFormat="1" applyBorder="1"/>
    <xf numFmtId="2" fontId="0" fillId="0" borderId="27" xfId="0" applyNumberFormat="1" applyBorder="1"/>
    <xf numFmtId="0" fontId="0" fillId="0" borderId="28" xfId="0" applyBorder="1"/>
    <xf numFmtId="0" fontId="0" fillId="0" borderId="12" xfId="0" applyFill="1" applyBorder="1"/>
    <xf numFmtId="166" fontId="0" fillId="0" borderId="0" xfId="0" applyNumberFormat="1" applyBorder="1"/>
    <xf numFmtId="166" fontId="0" fillId="0" borderId="2" xfId="0" applyNumberFormat="1" applyBorder="1"/>
    <xf numFmtId="166" fontId="0" fillId="0" borderId="9" xfId="0" applyNumberFormat="1" applyBorder="1"/>
    <xf numFmtId="0" fontId="0" fillId="0" borderId="0" xfId="0" applyAlignment="1">
      <alignment horizontal="center"/>
    </xf>
  </cellXfs>
  <cellStyles count="8">
    <cellStyle name="Berekening" xfId="6" builtinId="22"/>
    <cellStyle name="Gekoppelde cel" xfId="7" builtinId="24"/>
    <cellStyle name="Invoer" xfId="3" builtinId="20"/>
    <cellStyle name="Komma" xfId="1" builtinId="3"/>
    <cellStyle name="Neutraal" xfId="4" builtinId="28"/>
    <cellStyle name="Procent" xfId="2" builtinId="5"/>
    <cellStyle name="Standaard" xfId="0" builtinId="0"/>
    <cellStyle name="Uitvoer" xfId="5" builtinId="21"/>
  </cellStyles>
  <dxfs count="29">
    <dxf>
      <numFmt numFmtId="19" formatCode="d/m/yyyy"/>
    </dxf>
    <dxf>
      <numFmt numFmtId="164" formatCode="_ * #,##0.0_ ;_ * \-#,##0.0_ ;_ * &quot;-&quot;??_ ;_ @_ "/>
    </dxf>
    <dxf>
      <font>
        <b/>
        <i val="0"/>
        <strike val="0"/>
        <condense val="0"/>
        <extend val="0"/>
        <outline val="0"/>
        <shadow val="0"/>
        <u val="none"/>
        <vertAlign val="baseline"/>
        <sz val="11"/>
        <color rgb="FF0070C0"/>
        <name val="Calibri"/>
        <family val="2"/>
        <scheme val="minor"/>
      </font>
      <numFmt numFmtId="1" formatCode="0"/>
    </dxf>
    <dxf>
      <font>
        <b/>
        <i val="0"/>
        <strike val="0"/>
        <condense val="0"/>
        <extend val="0"/>
        <outline val="0"/>
        <shadow val="0"/>
        <u val="none"/>
        <vertAlign val="baseline"/>
        <sz val="11"/>
        <color rgb="FF0070C0"/>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numFmt numFmtId="168" formatCode="_ * #,##0_ ;_ * \-#,##0_ ;_ * &quot;-&quot;??_ ;_ @_ "/>
      <border diagonalUp="0" diagonalDown="0" outline="0">
        <left/>
        <right/>
        <top style="thin">
          <color indexed="64"/>
        </top>
        <bottom style="medium">
          <color indexed="64"/>
        </bottom>
      </border>
    </dxf>
    <dxf>
      <fill>
        <patternFill patternType="none">
          <fgColor indexed="64"/>
          <bgColor auto="1"/>
        </patternFill>
      </fill>
    </dxf>
    <dxf>
      <numFmt numFmtId="35" formatCode="_ * #,##0.00_ ;_ * \-#,##0.00_ ;_ * &quot;-&quot;??_ ;_ @_ "/>
    </dxf>
    <dxf>
      <numFmt numFmtId="164" formatCode="_ * #,##0.0_ ;_ * \-#,##0.0_ ;_ * &quot;-&quot;??_ ;_ @_ "/>
    </dxf>
    <dxf>
      <numFmt numFmtId="0" formatCode="Genera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border>
    </dxf>
    <dxf>
      <numFmt numFmtId="35" formatCode="_ * #,##0.00_ ;_ * \-#,##0.00_ ;_ * &quot;-&quot;??_ ;_ @_ "/>
    </dxf>
    <dxf>
      <numFmt numFmtId="0" formatCode="General"/>
    </dxf>
    <dxf>
      <numFmt numFmtId="13" formatCode="0%"/>
    </dxf>
    <dxf>
      <numFmt numFmtId="13" formatCode="0%"/>
    </dxf>
    <dxf>
      <numFmt numFmtId="13" formatCode="0%"/>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8</xdr:col>
      <xdr:colOff>476249</xdr:colOff>
      <xdr:row>63</xdr:row>
      <xdr:rowOff>47527</xdr:rowOff>
    </xdr:from>
    <xdr:ext cx="5011991" cy="2358256"/>
    <xdr:pic>
      <xdr:nvPicPr>
        <xdr:cNvPr id="2" name="Picture 1">
          <a:extLst>
            <a:ext uri="{FF2B5EF4-FFF2-40B4-BE49-F238E27FC236}">
              <a16:creationId xmlns:a16="http://schemas.microsoft.com/office/drawing/2014/main" id="{2CC54EC7-7946-48DF-951C-8176F2D07DE1}"/>
            </a:ext>
          </a:extLst>
        </xdr:cNvPr>
        <xdr:cNvPicPr>
          <a:picLocks noChangeAspect="1"/>
        </xdr:cNvPicPr>
      </xdr:nvPicPr>
      <xdr:blipFill>
        <a:blip xmlns:r="http://schemas.openxmlformats.org/officeDocument/2006/relationships" r:embed="rId1"/>
        <a:stretch>
          <a:fillRect/>
        </a:stretch>
      </xdr:blipFill>
      <xdr:spPr>
        <a:xfrm>
          <a:off x="10499480" y="12679142"/>
          <a:ext cx="5011991" cy="2358256"/>
        </a:xfrm>
        <a:prstGeom prst="rect">
          <a:avLst/>
        </a:prstGeom>
      </xdr:spPr>
    </xdr:pic>
    <xdr:clientData/>
  </xdr:oneCellAnchor>
  <xdr:twoCellAnchor editAs="oneCell">
    <xdr:from>
      <xdr:col>8</xdr:col>
      <xdr:colOff>55165</xdr:colOff>
      <xdr:row>20</xdr:row>
      <xdr:rowOff>73715</xdr:rowOff>
    </xdr:from>
    <xdr:to>
      <xdr:col>15</xdr:col>
      <xdr:colOff>162260</xdr:colOff>
      <xdr:row>31</xdr:row>
      <xdr:rowOff>153193</xdr:rowOff>
    </xdr:to>
    <xdr:pic>
      <xdr:nvPicPr>
        <xdr:cNvPr id="6" name="Picture 2">
          <a:extLst>
            <a:ext uri="{FF2B5EF4-FFF2-40B4-BE49-F238E27FC236}">
              <a16:creationId xmlns:a16="http://schemas.microsoft.com/office/drawing/2014/main" id="{B9DEE52C-AB30-42B5-BE94-3CD3915A4DB5}"/>
            </a:ext>
          </a:extLst>
        </xdr:cNvPr>
        <xdr:cNvPicPr>
          <a:picLocks noChangeAspect="1"/>
        </xdr:cNvPicPr>
      </xdr:nvPicPr>
      <xdr:blipFill>
        <a:blip xmlns:r="http://schemas.openxmlformats.org/officeDocument/2006/relationships" r:embed="rId2"/>
        <a:stretch>
          <a:fillRect/>
        </a:stretch>
      </xdr:blipFill>
      <xdr:spPr>
        <a:xfrm>
          <a:off x="10078396" y="4088869"/>
          <a:ext cx="4736643" cy="2277555"/>
        </a:xfrm>
        <a:prstGeom prst="rect">
          <a:avLst/>
        </a:prstGeom>
      </xdr:spPr>
    </xdr:pic>
    <xdr:clientData/>
  </xdr:twoCellAnchor>
  <xdr:twoCellAnchor editAs="oneCell">
    <xdr:from>
      <xdr:col>1</xdr:col>
      <xdr:colOff>291353</xdr:colOff>
      <xdr:row>122</xdr:row>
      <xdr:rowOff>89647</xdr:rowOff>
    </xdr:from>
    <xdr:to>
      <xdr:col>10</xdr:col>
      <xdr:colOff>751863</xdr:colOff>
      <xdr:row>126</xdr:row>
      <xdr:rowOff>70504</xdr:rowOff>
    </xdr:to>
    <xdr:pic>
      <xdr:nvPicPr>
        <xdr:cNvPr id="3" name="Picture 2">
          <a:extLst>
            <a:ext uri="{FF2B5EF4-FFF2-40B4-BE49-F238E27FC236}">
              <a16:creationId xmlns:a16="http://schemas.microsoft.com/office/drawing/2014/main" id="{443FF24F-DC75-4F14-839A-11C76CA47BB5}"/>
            </a:ext>
          </a:extLst>
        </xdr:cNvPr>
        <xdr:cNvPicPr>
          <a:picLocks noChangeAspect="1"/>
        </xdr:cNvPicPr>
      </xdr:nvPicPr>
      <xdr:blipFill rotWithShape="1">
        <a:blip xmlns:r="http://schemas.openxmlformats.org/officeDocument/2006/relationships" r:embed="rId3"/>
        <a:srcRect l="450" r="29808"/>
        <a:stretch/>
      </xdr:blipFill>
      <xdr:spPr>
        <a:xfrm>
          <a:off x="896471" y="24283147"/>
          <a:ext cx="10421471" cy="742857"/>
        </a:xfrm>
        <a:prstGeom prst="rect">
          <a:avLst/>
        </a:prstGeom>
      </xdr:spPr>
    </xdr:pic>
    <xdr:clientData/>
  </xdr:twoCellAnchor>
  <xdr:twoCellAnchor editAs="oneCell">
    <xdr:from>
      <xdr:col>1</xdr:col>
      <xdr:colOff>299111</xdr:colOff>
      <xdr:row>127</xdr:row>
      <xdr:rowOff>46979</xdr:rowOff>
    </xdr:from>
    <xdr:to>
      <xdr:col>10</xdr:col>
      <xdr:colOff>804443</xdr:colOff>
      <xdr:row>135</xdr:row>
      <xdr:rowOff>103931</xdr:rowOff>
    </xdr:to>
    <xdr:pic>
      <xdr:nvPicPr>
        <xdr:cNvPr id="4" name="Picture 3">
          <a:extLst>
            <a:ext uri="{FF2B5EF4-FFF2-40B4-BE49-F238E27FC236}">
              <a16:creationId xmlns:a16="http://schemas.microsoft.com/office/drawing/2014/main" id="{22048689-7CAA-41F4-A423-E7355C99E1AD}"/>
            </a:ext>
          </a:extLst>
        </xdr:cNvPr>
        <xdr:cNvPicPr>
          <a:picLocks noChangeAspect="1"/>
        </xdr:cNvPicPr>
      </xdr:nvPicPr>
      <xdr:blipFill rotWithShape="1">
        <a:blip xmlns:r="http://schemas.openxmlformats.org/officeDocument/2006/relationships" r:embed="rId4"/>
        <a:srcRect r="29644"/>
        <a:stretch/>
      </xdr:blipFill>
      <xdr:spPr>
        <a:xfrm>
          <a:off x="907246" y="25368825"/>
          <a:ext cx="10485688" cy="1580952"/>
        </a:xfrm>
        <a:prstGeom prst="rect">
          <a:avLst/>
        </a:prstGeom>
      </xdr:spPr>
    </xdr:pic>
    <xdr:clientData/>
  </xdr:twoCellAnchor>
  <xdr:twoCellAnchor editAs="oneCell">
    <xdr:from>
      <xdr:col>1</xdr:col>
      <xdr:colOff>350831</xdr:colOff>
      <xdr:row>136</xdr:row>
      <xdr:rowOff>77148</xdr:rowOff>
    </xdr:from>
    <xdr:to>
      <xdr:col>11</xdr:col>
      <xdr:colOff>782</xdr:colOff>
      <xdr:row>142</xdr:row>
      <xdr:rowOff>19862</xdr:rowOff>
    </xdr:to>
    <xdr:pic>
      <xdr:nvPicPr>
        <xdr:cNvPr id="5" name="Picture 4">
          <a:extLst>
            <a:ext uri="{FF2B5EF4-FFF2-40B4-BE49-F238E27FC236}">
              <a16:creationId xmlns:a16="http://schemas.microsoft.com/office/drawing/2014/main" id="{8444BA5F-0DED-47FD-97CB-EB174B517487}"/>
            </a:ext>
          </a:extLst>
        </xdr:cNvPr>
        <xdr:cNvPicPr>
          <a:picLocks noChangeAspect="1"/>
        </xdr:cNvPicPr>
      </xdr:nvPicPr>
      <xdr:blipFill rotWithShape="1">
        <a:blip xmlns:r="http://schemas.openxmlformats.org/officeDocument/2006/relationships" r:embed="rId5"/>
        <a:srcRect r="29959"/>
        <a:stretch/>
      </xdr:blipFill>
      <xdr:spPr>
        <a:xfrm>
          <a:off x="958966" y="27113494"/>
          <a:ext cx="10452071" cy="1085714"/>
        </a:xfrm>
        <a:prstGeom prst="rect">
          <a:avLst/>
        </a:prstGeom>
      </xdr:spPr>
    </xdr:pic>
    <xdr:clientData/>
  </xdr:twoCellAnchor>
  <xdr:twoCellAnchor editAs="oneCell">
    <xdr:from>
      <xdr:col>16</xdr:col>
      <xdr:colOff>8620</xdr:colOff>
      <xdr:row>4</xdr:row>
      <xdr:rowOff>36204</xdr:rowOff>
    </xdr:from>
    <xdr:to>
      <xdr:col>24</xdr:col>
      <xdr:colOff>62918</xdr:colOff>
      <xdr:row>14</xdr:row>
      <xdr:rowOff>592</xdr:rowOff>
    </xdr:to>
    <xdr:pic>
      <xdr:nvPicPr>
        <xdr:cNvPr id="7" name="Picture 6">
          <a:extLst>
            <a:ext uri="{FF2B5EF4-FFF2-40B4-BE49-F238E27FC236}">
              <a16:creationId xmlns:a16="http://schemas.microsoft.com/office/drawing/2014/main" id="{81FF265A-FBCB-4AC4-BE42-51436795F5B2}"/>
            </a:ext>
          </a:extLst>
        </xdr:cNvPr>
        <xdr:cNvPicPr>
          <a:picLocks noChangeAspect="1"/>
        </xdr:cNvPicPr>
      </xdr:nvPicPr>
      <xdr:blipFill>
        <a:blip xmlns:r="http://schemas.openxmlformats.org/officeDocument/2006/relationships" r:embed="rId6"/>
        <a:stretch>
          <a:fillRect/>
        </a:stretch>
      </xdr:blipFill>
      <xdr:spPr>
        <a:xfrm>
          <a:off x="15878735" y="900781"/>
          <a:ext cx="4919374" cy="1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171450</xdr:colOff>
      <xdr:row>0</xdr:row>
      <xdr:rowOff>66675</xdr:rowOff>
    </xdr:from>
    <xdr:to>
      <xdr:col>20</xdr:col>
      <xdr:colOff>496196</xdr:colOff>
      <xdr:row>29</xdr:row>
      <xdr:rowOff>153183</xdr:rowOff>
    </xdr:to>
    <xdr:pic>
      <xdr:nvPicPr>
        <xdr:cNvPr id="2" name="Picture 1">
          <a:extLst>
            <a:ext uri="{FF2B5EF4-FFF2-40B4-BE49-F238E27FC236}">
              <a16:creationId xmlns:a16="http://schemas.microsoft.com/office/drawing/2014/main" id="{62251A2B-C769-4E78-996D-248979EA023C}"/>
            </a:ext>
          </a:extLst>
        </xdr:cNvPr>
        <xdr:cNvPicPr>
          <a:picLocks noChangeAspect="1"/>
        </xdr:cNvPicPr>
      </xdr:nvPicPr>
      <xdr:blipFill>
        <a:blip xmlns:r="http://schemas.openxmlformats.org/officeDocument/2006/relationships" r:embed="rId1"/>
        <a:stretch>
          <a:fillRect/>
        </a:stretch>
      </xdr:blipFill>
      <xdr:spPr>
        <a:xfrm>
          <a:off x="6267450" y="66675"/>
          <a:ext cx="6420746" cy="56110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819150</xdr:colOff>
      <xdr:row>33</xdr:row>
      <xdr:rowOff>133350</xdr:rowOff>
    </xdr:from>
    <xdr:to>
      <xdr:col>17</xdr:col>
      <xdr:colOff>9525</xdr:colOff>
      <xdr:row>61</xdr:row>
      <xdr:rowOff>123825</xdr:rowOff>
    </xdr:to>
    <xdr:pic>
      <xdr:nvPicPr>
        <xdr:cNvPr id="2" name="Picture 1" descr="Vereenvoudigde berekening luchtdebiet in de woning door ventilatie, infiltratie en raamgebruik.&#10;Voor het berekenen van het totale luchtdebiet in de woning door ventilatie, infiltratie en raamgebruik is een relatief eenvoudige formule gebruikt:&#10;Ftotaal = Fvent  + 0,75qv1 + FA,B,C, woonk + FA,B,C,badk + Nslaapk×FA,B,C slaapk (in m3/uur)&#10;Met Ftotaal het totale luchtdebiet, Fvent het ventilatiedebiet door het ventilatiesysteem, qv1 het luchtdebiet door infiltratie bij een drukverschil van 1 Pa tussen binnen en buiten, FA,B,C, woonk, FA,B,C,badk, FA,B,C slaapk het generieke extra luchtdebiet voor de woonkamer/keuken, badkamer en een slaapkamer, afhankelijk van het raamgebruik profiel, en Nslaapk het aantal slaapkamers in de woning.&#10;De factor 0,75 komt uit de vergelijking tussen totaal luchtdebiet berekend met het ventilatiemodel en op basis van generieke debieten per profiel. Bij een waarde van 0,75 was de overeenkomst het best.&#10;Als voorbeeld nemen we een woning uit 1990 met een gebruikersoppervlak van 120 m2, er is mechanische afzuiging en de afzuigventilator staat in de middenstand. Er zijn 2 slaapkamers en het raamgebruik profiel voor de woonkamer/keuken, badkamer en de 2 slaapkamers is respectievelijk profiel A, B en C.&#10;De ventilator staat in de middenstand, met een ventilatiedebiet van 100 m3/uur.&#10;Bijlage F geeft de berekening voor de qv1 (uit de qv10) van de woning, afhankelijk van bouwjaar en grootte, wat voor deze woning uitkomt op qv1=25 dm3/s of 90 m3/uur.&#10;De extra debieten door raamgebruik in Tabel 23 zijn weergegeven voor 1 vertrek. Het extra luchtdebiet voor woonkamer/keuken, badkamer en de 2 slaapkamers met respectievelijk profiel A, B en C is: 0+20+2x50 = 120 m3/uur.&#10;Het totale luchtdebiet wordt daarmee: 100 + 0,75 x 90 +120 = 288 m3/uur.&#10;">
          <a:extLst>
            <a:ext uri="{FF2B5EF4-FFF2-40B4-BE49-F238E27FC236}">
              <a16:creationId xmlns:a16="http://schemas.microsoft.com/office/drawing/2014/main" id="{0F4D079C-3AFA-44BA-A6B0-7D1DF4C7B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87475" y="6610350"/>
          <a:ext cx="4733925" cy="537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BBAE-B961-4C8D-B611-61ABC4FB1027}" name="WarmteverliesBouwdelen" displayName="WarmteverliesBouwdelen" ref="B51:G61" totalsRowShown="0">
  <autoFilter ref="B51:G61" xr:uid="{BAC8488C-B459-4481-B366-7D3BD6D99DC0}"/>
  <tableColumns count="6">
    <tableColumn id="1" xr3:uid="{93F1F5A2-246C-4214-9090-AAEE6FB255FD}" name="Gebouwdeel"/>
    <tableColumn id="6" xr3:uid="{8DF58DC4-166A-4443-B94A-3A089E5131BF}" name="RC=0" dataDxfId="28"/>
    <tableColumn id="2" xr3:uid="{2594C7EE-614A-49D1-9922-3AC0458E33B8}" name="Niveau 1" dataDxfId="27"/>
    <tableColumn id="3" xr3:uid="{7BA1B958-5242-474D-9AFB-8EE97BEDBC0C}" name="Niveau 2" dataDxfId="26">
      <calculatedColumnFormula>E18*TemperatuurVerschilCorrectieTheoretisch*StookurenTheoretisch*3.6/10^6*$C31</calculatedColumnFormula>
    </tableColumn>
    <tableColumn id="4" xr3:uid="{390C28E4-CFB4-4E10-9BA1-58A27FB729B6}" name="Niveau 3" dataDxfId="25">
      <calculatedColumnFormula>F18*TemperatuurVerschilCorrectieTheoretisch*StookurenTheoretisch*3.6/10^6*$C31</calculatedColumnFormula>
    </tableColumn>
    <tableColumn id="5" xr3:uid="{D55E23F7-130A-4A29-A741-CB9D35B48DDC}" name="Niveau 4" dataDxfId="24">
      <calculatedColumnFormula>G18*TemperatuurVerschilCorrectieTheoretisch*StookurenTheoretisch*3.6/10^6*$C31</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2C9C5A-0E9C-4911-A4E6-75497B0F1252}" name="RCwaarden" displayName="RCwaarden" ref="B4:G13" totalsRowShown="0">
  <autoFilter ref="B4:G13" xr:uid="{1D7BFCDB-5F50-4B39-AF44-83508B76712C}"/>
  <tableColumns count="6">
    <tableColumn id="1" xr3:uid="{E9063AEB-9CC1-4D2E-A6AE-AAC2E5AE9A8D}" name="Gebouwdeel"/>
    <tableColumn id="6" xr3:uid="{671EB7D1-9551-4294-8622-F2DCE5C378DB}" name="RC=0"/>
    <tableColumn id="2" xr3:uid="{B0062B87-40C5-4847-BF46-3724B6826542}" name="Niveau 1"/>
    <tableColumn id="3" xr3:uid="{0FF169B1-8C83-46F9-BF01-434B1BD11E84}" name="Niveau 2"/>
    <tableColumn id="4" xr3:uid="{B7134254-6D96-4710-B004-7310A9C5E60A}" name="Niveau 3"/>
    <tableColumn id="5" xr3:uid="{DFDA19E2-446C-4458-B0C8-8A8AE9534F49}" name="Niveau 4"/>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B49673-14A3-40B2-B787-9C1DEB5676AD}" name="Uwaarden" displayName="Uwaarden" ref="B17:G26" totalsRowShown="0">
  <autoFilter ref="B17:G26" xr:uid="{58D64F4B-9954-4554-920B-4E88C078B1BF}"/>
  <tableColumns count="6">
    <tableColumn id="1" xr3:uid="{862610D9-9DAC-43D3-ADB2-27D41AC7E83A}" name="Gebouwdeel"/>
    <tableColumn id="6" xr3:uid="{757A3A9E-678E-4A51-9F1E-3FD4F225F042}" name="RC=0"/>
    <tableColumn id="2" xr3:uid="{BD5D262E-566D-45E3-A48D-52D2F799CDCF}" name="Niveau 1"/>
    <tableColumn id="3" xr3:uid="{27395271-2148-4285-BA40-77811585A07C}" name="Niveau 2"/>
    <tableColumn id="4" xr3:uid="{A280FB1F-BD7A-4253-B868-60029A4E196B}" name="Niveau 3"/>
    <tableColumn id="5" xr3:uid="{8C375BE8-982E-46D6-8BB4-02D4D14B859B}" name="Niveau 4"/>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752F33-E20B-4D79-BF8D-330AB9D8CFA2}" name="Glassoorten" displayName="Glassoorten" ref="B65:G71" totalsRowShown="0">
  <autoFilter ref="B65:G71" xr:uid="{6CA73D65-6D25-4542-AF44-C4379726D3E3}"/>
  <tableColumns count="6">
    <tableColumn id="1" xr3:uid="{123604E9-F6B0-4533-888B-B0C1D7D31963}" name="Glas"/>
    <tableColumn id="2" xr3:uid="{4D60ED07-354F-4BB1-9F2E-4F728CF275EB}" name="U-waarde [W/m2K]"/>
    <tableColumn id="3" xr3:uid="{D386C1F0-CACE-45AA-84CA-1E9626788F99}" name="Zontoetredingsfactor"/>
    <tableColumn id="4" xr3:uid="{55D2FC6D-1194-4D80-92FF-DBA529396E72}" name="solar irradiation [kWh/m2]_x000a_heating season" dataDxfId="23">
      <calculatedColumnFormula>SUMPRODUCT($C$76:$C$79,$E$76:$E$79)</calculatedColumnFormula>
    </tableColumn>
    <tableColumn id="5" xr3:uid="{07812542-B27C-4A09-BAE4-30CF1AD9BEDB}" name="Solar access">
      <calculatedColumnFormula>SUMPRODUCT($D$76:$D$79,$C$76:$C$79)</calculatedColumnFormula>
    </tableColumn>
    <tableColumn id="6" xr3:uid="{87CF2CA1-36EB-4E8A-8320-FF8AC375E335}" name="Warmtewinst [GJth]" dataDxfId="22">
      <calculatedColumnFormula>Glassoorten[[#This Row],[Zontoetredingsfactor]]*Glassoorten[[#This Row],[solar irradiation '[kWh/m2']
heating season]]*Glassoorten[[#This Row],[Solar access]]*-3.6/1000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A323CE-FB67-4FBC-B7A4-87B87FF84239}" name="CorrectieFactoren" displayName="CorrectieFactoren" ref="B30:C39" totalsRowShown="0" tableBorderDxfId="21">
  <autoFilter ref="B30:C39" xr:uid="{3F7BA1BE-C5F6-444F-ABC0-0854100D9EDB}"/>
  <tableColumns count="2">
    <tableColumn id="1" xr3:uid="{D628B7FE-EA97-437F-8DF2-20E6B3CC736C}" name="Gebouwdeel" dataDxfId="20"/>
    <tableColumn id="2" xr3:uid="{3F199778-9FBB-4EFC-9A98-27D8319A5799}" name="Correctiefactor"/>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E8C793-48B0-4632-ACA6-9F8BDFC01103}" name="VentilatieKentallen" displayName="VentilatieKentallen" ref="B83:H88" totalsRowShown="0">
  <autoFilter ref="B83:H88" xr:uid="{98DD130B-47F3-437C-ACD4-0A0BEB870852}"/>
  <tableColumns count="7">
    <tableColumn id="1" xr3:uid="{A6007EF8-B2A1-41A7-8286-2B419F5B76DA}" name="Ventilatiesysteem"/>
    <tableColumn id="2" xr3:uid="{8EFABA7B-392F-4BCD-AE76-A555CD1F2686}" name="Vraagsturing"/>
    <tableColumn id="3" xr3:uid="{FDA505BB-9475-44F5-9951-B0BB916AE25A}" name="Rendement warmteterugwinning"/>
    <tableColumn id="4" xr3:uid="{88798394-EE92-4C1A-8325-F1ACE40D65A5}" name="reductie draaiuren"/>
    <tableColumn id="5" xr3:uid="{E16B220C-A307-4DAC-8583-730F72457BDA}" name="Ventilatiedebiet woning" dataDxfId="19">
      <calculatedColumnFormula array="1">Ventilatiedebiet[Ventilatiedebiet per woning]*(1-VentilatieKentallen[[#This Row],[Rendement warmteterugwinning]])*(1-VentilatieKentallen[[#This Row],[reductie draaiuren]])</calculatedColumnFormula>
    </tableColumn>
    <tableColumn id="6" xr3:uid="{6E054331-572F-4AC3-9DCC-0F8F92B0750D}" name="Warmteverlies" dataDxfId="18">
      <calculatedColumnFormula array="1">VentilatieKentallen[[#This Row],[Ventilatiedebiet woning]]/3600*Ventilatiedebiet[Cp lucht '[J/m3K']]</calculatedColumnFormula>
    </tableColumn>
    <tableColumn id="7" xr3:uid="{67BD3489-7562-4AB3-A1EB-CAB187C3CF64}" name="Warmteverlies per jaar GJth" dataDxfId="17">
      <calculatedColumnFormula>VentilatieKentallen[[#This Row],[Warmteverlies]]*(BinnenTempTheoretisch-BuitenTempTheoretisch)*StookseizoenTheoretisch*3.6/10^6</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7FF635B-D96D-4D31-B3CB-4AA1F311C15A}" name="Ventilatiedebiet" displayName="Ventilatiedebiet" ref="B91:C92" totalsRowShown="0">
  <autoFilter ref="B91:C92" xr:uid="{450F95F8-B6F2-429D-8978-D06CF30E4DB3}"/>
  <tableColumns count="2">
    <tableColumn id="1" xr3:uid="{1EB56728-96CB-41E1-BE78-B025A726D779}" name="Ventilatiedebiet per woning" dataDxfId="16"/>
    <tableColumn id="2" xr3:uid="{34359BC2-330E-428E-B0D1-E378BCD2C987}" name="Cp lucht [J/m3K]" dataDxfId="1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4832A1-7522-4127-BEEF-A6741E8932C0}" name="WarmtePersonen" displayName="WarmtePersonen" ref="B98:D103" totalsRowShown="0">
  <autoFilter ref="B98:D103" xr:uid="{1A355B10-5C70-497A-B418-FDED3EF5B08A}"/>
  <tableColumns count="3">
    <tableColumn id="1" xr3:uid="{EC5653C3-3EC4-46E7-9E56-49144ACF427C}" name="Warmteproductie per persoon"/>
    <tableColumn id="2" xr3:uid="{D93534FA-2FED-4927-8D55-21F4742EC28B}" name="kental"/>
    <tableColumn id="3" xr3:uid="{20ACDA7B-31C9-4B65-A2A9-CC86DE7F33E5}" name="eenheid"/>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56CA03E-F2AC-497F-BC60-9DAEC7AC0884}" name="Stookseizoen" displayName="Stookseizoen" ref="B94:D95" totalsRowShown="0" tableBorderDxfId="14">
  <autoFilter ref="B94:D95" xr:uid="{DA525D08-D144-4542-A0AF-5375EC5A707A}"/>
  <tableColumns count="3">
    <tableColumn id="1" xr3:uid="{6389005F-8AFC-4B62-AA8B-BABA315650B1}" name="Stookseizoen" dataDxfId="13"/>
    <tableColumn id="2" xr3:uid="{F50D2085-58A7-41A1-87BE-6288A611E0ED}" name="uren" dataDxfId="12">
      <calculatedColumnFormula>8760/2</calculatedColumnFormula>
    </tableColumn>
    <tableColumn id="3" xr3:uid="{3C4B1DA9-32A9-4E80-94FC-B4581623B9E9}" name="eenheid" dataDxfId="1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236AC2-9D83-4F4C-AA18-91CB4CC1B353}" name="OpenRaam" displayName="OpenRaam" ref="B106:D110" totalsRowShown="0">
  <autoFilter ref="B106:D110" xr:uid="{C6213D16-FFC9-4D12-B1A3-3068813D058D}"/>
  <tableColumns count="3">
    <tableColumn id="1" xr3:uid="{247088EB-7AAC-45B3-87C2-78D11FD9C2A4}" name="Warmteverlies door open ramen" dataDxfId="10"/>
    <tableColumn id="2" xr3:uid="{3AC28346-D489-442A-818F-545BE77A7641}" name="Waarde"/>
    <tableColumn id="3" xr3:uid="{8FD4E290-1F77-4E06-91AF-337D2BC02AD3}" name="Eenheid" dataDxfId="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CFB8F6E-2351-4F58-8D36-07B3B5E8C880}" name="Kieren" displayName="Kieren" ref="B114:G119" totalsRowShown="0" headerRowDxfId="8">
  <autoFilter ref="B114:G119" xr:uid="{2240ED1B-C43F-4119-B6BB-F8BF9C9F0414}"/>
  <tableColumns count="6">
    <tableColumn id="1" xr3:uid="{816B26C3-1AB3-4BF4-A587-A79854948DA7}" name="Warmteverlies door kieren" dataDxfId="7"/>
    <tableColumn id="2" xr3:uid="{89EC808A-5380-4542-A5E2-2C50FA040C56}" name="Niveau 1"/>
    <tableColumn id="3" xr3:uid="{F3959998-D685-49CE-8D6D-979B1C0DDC0B}" name="Niveau 2"/>
    <tableColumn id="4" xr3:uid="{099CAF79-EED8-40B8-82CA-45713CC445B4}" name="Niveau 3"/>
    <tableColumn id="5" xr3:uid="{F3391D7D-E65C-4F3F-AE7F-287BBC2CD028}" name="Niveau 4"/>
    <tableColumn id="6" xr3:uid="{67A7FDBC-3217-4E79-9155-7F42DE9C9B27}" name="eenheid" dataDxfId="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AF9F57-EB5E-4752-8E2D-F5F1108A22F3}" name="GlasOrientatie" displayName="GlasOrientatie" ref="B75:E79" totalsRowShown="0" headerRowDxfId="5">
  <autoFilter ref="B75:E79" xr:uid="{2A74D8EA-06A1-4460-A289-0D57C31EF046}"/>
  <tableColumns count="4">
    <tableColumn id="1" xr3:uid="{910E991F-D850-4F24-9EAC-073EEBD9B606}" name="Glasoriëntatie" dataDxfId="4"/>
    <tableColumn id="2" xr3:uid="{B79312BE-7100-4F62-8182-5C5F60835F55}" name="Raamoppervlakte verdeling [%]"/>
    <tableColumn id="3" xr3:uid="{7D2AA9DE-2FD6-4F3B-AB18-3C76CD4696A9}" name="solar access [%]" dataDxfId="3"/>
    <tableColumn id="4" xr3:uid="{BF38BAE3-DDC2-4BC6-B48D-C0A5BFA95A97}" name="solar irradiation heating season [lWh/m2]" dataDxfId="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36702E4-22A4-4ABF-B987-3329E75D7C05}" name="TheoretischeStandaardWaarden" displayName="TheoretischeStandaardWaarden" ref="B43:D46" totalsRowShown="0">
  <autoFilter ref="B43:D46" xr:uid="{C802A427-C85C-4198-A945-F9877BDC23F3}"/>
  <tableColumns count="3">
    <tableColumn id="1" xr3:uid="{1E5A23FB-0597-42F2-B1E4-857AAD4B6AA5}" name="Kental"/>
    <tableColumn id="2" xr3:uid="{FBC2D48B-B7D7-4BA9-B719-97368D52872D}" name="Waarde" dataDxfId="1"/>
    <tableColumn id="3" xr3:uid="{8B92E7D1-A0B2-4169-A53B-9A435EDF5BB6}" name="Eenheid"/>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9881608-A718-421A-B7B2-D354484A817B}" name="Table15" displayName="Table15" ref="C2:E14" totalsRowShown="0">
  <autoFilter ref="C2:E14" xr:uid="{1AD17B2A-91D9-4D9D-A420-69DF32A4015E}"/>
  <tableColumns count="3">
    <tableColumn id="1" xr3:uid="{6C185A7E-3903-4A27-BB5E-BBA826FE697F}" name="Maand" dataDxfId="0"/>
    <tableColumn id="2" xr3:uid="{2F9B2E5B-B3B6-4866-ABCF-5554319C78EF}" name="Lengte van de maand (stookuren)"/>
    <tableColumn id="3" xr3:uid="{0FD9E73D-947A-433D-933F-5CF3FA948BB4}" name="Maandgemiddelde buitentemperatuur"/>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BDF7E8-CEB8-4DF7-8382-213216853E88}" name="Table16" displayName="Table16" ref="C17:E22" totalsRowShown="0">
  <autoFilter ref="C17:E22" xr:uid="{C6759F7E-0DC2-40D1-A040-C216291E2D12}"/>
  <tableColumns count="3">
    <tableColumn id="1" xr3:uid="{9FF55121-66AC-4423-815E-33E89791D6AD}" name="Stookseizoen"/>
    <tableColumn id="2" xr3:uid="{01E5C709-8BE8-4FEB-87E9-5569FF667EA1}" name="waarde"/>
    <tableColumn id="3" xr3:uid="{9A74C5B6-DDDD-4B0F-899C-45F272FE5CF2}" name="eenhei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B48C3-3BEB-4F0A-9841-88611750685F}" name="BuitenTemp" displayName="BuitenTemp" ref="B4:G55" totalsRowShown="0">
  <autoFilter ref="B4:G55" xr:uid="{8AE9F63A-21FA-4AB6-9E4C-662EE5B97692}"/>
  <tableColumns count="6">
    <tableColumn id="1" xr3:uid="{1ACE6DB5-DDE6-4EEA-8B49-B5655E6F03CD}" name="Zichtjaar"/>
    <tableColumn id="2" xr3:uid="{A5220AF7-DEAA-4A4A-9D52-0975C5736D7C}" name="De Bilt"/>
    <tableColumn id="3" xr3:uid="{7B1A6D5E-5F9D-42D3-85EE-3D9A5E7BC652}" name="Eelde"/>
    <tableColumn id="4" xr3:uid="{13002697-77C7-4B38-BEA1-10480D854C42}" name="Vlissingen"/>
    <tableColumn id="5" xr3:uid="{A5731A40-4D7E-482A-A630-4BDDCFED61C7}" name=".."/>
    <tableColumn id="6" xr3:uid="{B3315B1F-1710-4B8E-A3E8-440EA8A87DC6}" name="..2"/>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13" Type="http://schemas.openxmlformats.org/officeDocument/2006/relationships/table" Target="../tables/table10.xml"/><Relationship Id="rId3" Type="http://schemas.openxmlformats.org/officeDocument/2006/relationships/vmlDrawing" Target="../drawings/vmlDrawing1.vml"/><Relationship Id="rId7" Type="http://schemas.openxmlformats.org/officeDocument/2006/relationships/table" Target="../tables/table4.xml"/><Relationship Id="rId12" Type="http://schemas.openxmlformats.org/officeDocument/2006/relationships/table" Target="../tables/table9.xml"/><Relationship Id="rId17" Type="http://schemas.openxmlformats.org/officeDocument/2006/relationships/comments" Target="../comments1.xml"/><Relationship Id="rId2" Type="http://schemas.openxmlformats.org/officeDocument/2006/relationships/drawing" Target="../drawings/drawing1.xml"/><Relationship Id="rId16" Type="http://schemas.openxmlformats.org/officeDocument/2006/relationships/table" Target="../tables/table13.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5" Type="http://schemas.openxmlformats.org/officeDocument/2006/relationships/table" Target="../tables/table1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 Id="rId14"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FE78-1F62-46AC-BB6F-15E71594763A}">
  <dimension ref="C3:I59"/>
  <sheetViews>
    <sheetView workbookViewId="0">
      <selection activeCell="D10" sqref="D10"/>
    </sheetView>
  </sheetViews>
  <sheetFormatPr defaultRowHeight="14.5"/>
  <cols>
    <col min="3" max="3" width="42" customWidth="1"/>
    <col min="4" max="6" width="22.54296875" customWidth="1"/>
    <col min="7" max="7" width="30.26953125" bestFit="1" customWidth="1"/>
    <col min="8" max="8" width="17" customWidth="1"/>
  </cols>
  <sheetData>
    <row r="3" spans="3:9">
      <c r="C3" t="s">
        <v>268</v>
      </c>
      <c r="D3" s="14">
        <v>2025</v>
      </c>
    </row>
    <row r="4" spans="3:9">
      <c r="C4" t="s">
        <v>271</v>
      </c>
      <c r="D4" s="14" t="s">
        <v>264</v>
      </c>
    </row>
    <row r="6" spans="3:9" ht="15" thickBot="1">
      <c r="C6" s="155" t="s">
        <v>212</v>
      </c>
      <c r="D6" s="155"/>
      <c r="E6" s="155"/>
      <c r="H6" t="s">
        <v>238</v>
      </c>
    </row>
    <row r="7" spans="3:9">
      <c r="C7" s="63" t="s">
        <v>213</v>
      </c>
      <c r="D7" s="147">
        <v>100</v>
      </c>
      <c r="E7" t="s">
        <v>1</v>
      </c>
      <c r="H7" t="s">
        <v>226</v>
      </c>
    </row>
    <row r="8" spans="3:9">
      <c r="C8" s="63" t="s">
        <v>210</v>
      </c>
      <c r="D8" s="14"/>
      <c r="G8" t="s">
        <v>241</v>
      </c>
      <c r="H8" s="150">
        <f>_xlfn.FORECAST.LINEAR($H$9,'Correctie binnentemp'!$B$1:$I$1,INDEX('Correctie binnentemp'!$B$2:$I$77,MATCH($E$29,'Correctie binnentemp'!$A$2:$A$77,0),))</f>
        <v>28.329423158083557</v>
      </c>
      <c r="I8" s="154" t="s">
        <v>31</v>
      </c>
    </row>
    <row r="9" spans="3:9">
      <c r="C9" s="63" t="s">
        <v>211</v>
      </c>
      <c r="D9" s="14">
        <v>2</v>
      </c>
      <c r="E9" t="s">
        <v>214</v>
      </c>
      <c r="G9" t="s">
        <v>240</v>
      </c>
      <c r="H9" s="150" cm="1">
        <f t="array" ref="H9">SUM(D11,-G41:G44)/SUM(G51,-G41:G44)*13+5</f>
        <v>28.045939124408648</v>
      </c>
      <c r="I9" s="154" t="s">
        <v>31</v>
      </c>
    </row>
    <row r="10" spans="3:9">
      <c r="C10" s="63" t="s">
        <v>236</v>
      </c>
      <c r="D10" s="14">
        <v>2500</v>
      </c>
      <c r="E10" t="s">
        <v>237</v>
      </c>
    </row>
    <row r="11" spans="3:9">
      <c r="C11" s="63" t="s">
        <v>239</v>
      </c>
      <c r="D11" s="14">
        <f>1200*31.65/1000</f>
        <v>37.979999999999997</v>
      </c>
      <c r="E11" t="s">
        <v>111</v>
      </c>
    </row>
    <row r="12" spans="3:9">
      <c r="C12" s="143" t="s">
        <v>202</v>
      </c>
      <c r="D12" s="161">
        <v>19.15744682730837</v>
      </c>
      <c r="E12" s="154" t="s">
        <v>31</v>
      </c>
    </row>
    <row r="13" spans="3:9" ht="15" thickBot="1">
      <c r="C13" s="143" t="s">
        <v>30</v>
      </c>
      <c r="D13" s="181">
        <f>INDEX(BuitenTemp[[De Bilt]:[..2]],MATCH(Zichtjaar,BuitenTemp[Zichtjaar],0),MATCH(Weerstation,BuitenTemp[[#Headers],[De Bilt]:[..2]],0))</f>
        <v>5.1049999999999978</v>
      </c>
      <c r="E13" s="154" t="s">
        <v>31</v>
      </c>
    </row>
    <row r="14" spans="3:9" ht="15" thickTop="1">
      <c r="C14" s="143" t="s">
        <v>91</v>
      </c>
      <c r="D14" s="159">
        <f>_xlfn.FORECAST.LINEAR($D$12,INDEX('Correctie binnentemp'!$B$2:$I$77,MATCH($E$29,'Correctie binnentemp'!$A$2:$A$77,0),),'Correctie binnentemp'!$B$1:$I$1)</f>
        <v>19.131728134284437</v>
      </c>
      <c r="E14" s="154" t="s">
        <v>31</v>
      </c>
    </row>
    <row r="15" spans="3:9" ht="15" thickBot="1">
      <c r="C15" s="156" t="s">
        <v>220</v>
      </c>
      <c r="D15" s="157">
        <f>(D14-D13)/(18-5)</f>
        <v>1.0789790872526492</v>
      </c>
      <c r="E15" s="156" t="s">
        <v>6</v>
      </c>
      <c r="F15" s="143"/>
      <c r="G15" s="143"/>
    </row>
    <row r="17" spans="3:8">
      <c r="C17" s="64"/>
      <c r="D17" s="64" t="s">
        <v>201</v>
      </c>
      <c r="E17" s="64" t="s">
        <v>172</v>
      </c>
      <c r="F17" s="64" t="s">
        <v>200</v>
      </c>
      <c r="G17" s="64" t="s">
        <v>216</v>
      </c>
      <c r="H17" s="64" t="s">
        <v>217</v>
      </c>
    </row>
    <row r="18" spans="3:8" ht="17" thickBot="1">
      <c r="C18" s="112"/>
      <c r="D18" s="112"/>
      <c r="E18" s="112" t="s">
        <v>222</v>
      </c>
      <c r="F18" s="152" t="s">
        <v>1</v>
      </c>
      <c r="G18" s="152" t="s">
        <v>215</v>
      </c>
      <c r="H18" s="152" t="s">
        <v>215</v>
      </c>
    </row>
    <row r="19" spans="3:8" ht="15" thickBot="1">
      <c r="C19" s="144" t="s">
        <v>8</v>
      </c>
      <c r="D19" s="147" t="s">
        <v>15</v>
      </c>
      <c r="E19" s="160">
        <f>INDEX(Uwaarden[[RC=0]:[Niveau 4]],MATCH($C19,Uwaarden[Gebouwdeel],0),MATCH($D19,Uwaarden[[#Headers],[RC=0]:[Niveau 4]],0))</f>
        <v>0.625</v>
      </c>
      <c r="F19" s="147">
        <v>40</v>
      </c>
      <c r="G19" s="159">
        <f>INDEX(WarmteverliesBouwdelen[[RC=0]:[Niveau 4]],MATCH($C19,WarmteverliesBouwdelen[Gebouwdeel],0),MATCH($D19,WarmteverliesBouwdelen[[#Headers],[RC=0]:[Niveau 4]],0))*F19</f>
        <v>2.3660856000000003</v>
      </c>
      <c r="H19" s="159">
        <f t="shared" ref="H19:H28" si="0">G19*SchalingTempVerschil</f>
        <v>2.5529568810496372</v>
      </c>
    </row>
    <row r="20" spans="3:8" ht="15.5" thickTop="1" thickBot="1">
      <c r="C20" s="144" t="s">
        <v>9</v>
      </c>
      <c r="D20" s="147" t="s">
        <v>15</v>
      </c>
      <c r="E20" s="160">
        <f>INDEX(Uwaarden[[RC=0]:[Niveau 4]],MATCH($C20,Uwaarden[Gebouwdeel],0),MATCH($D20,Uwaarden[[#Headers],[RC=0]:[Niveau 4]],0))</f>
        <v>0.68027210884353728</v>
      </c>
      <c r="F20" s="14">
        <v>70</v>
      </c>
      <c r="G20" s="159">
        <f>INDEX(WarmteverliesBouwdelen[[RC=0]:[Niveau 4]],MATCH($C20,WarmteverliesBouwdelen[Gebouwdeel],0),MATCH($D20,WarmteverliesBouwdelen[[#Headers],[RC=0]:[Niveau 4]],0))*F20</f>
        <v>9.013659428571426</v>
      </c>
      <c r="H20" s="159">
        <f t="shared" si="0"/>
        <v>9.7255500230462335</v>
      </c>
    </row>
    <row r="21" spans="3:8" ht="15.5" thickTop="1" thickBot="1">
      <c r="C21" s="144" t="s">
        <v>11</v>
      </c>
      <c r="D21" s="147" t="s">
        <v>15</v>
      </c>
      <c r="E21" s="160">
        <f>INDEX(Uwaarden[[RC=0]:[Niveau 4]],MATCH($C21,Uwaarden[Gebouwdeel],0),MATCH($D21,Uwaarden[[#Headers],[RC=0]:[Niveau 4]],0))</f>
        <v>0.68027210884353728</v>
      </c>
      <c r="F21" s="14">
        <v>0</v>
      </c>
      <c r="G21" s="159">
        <f>INDEX(WarmteverliesBouwdelen[[RC=0]:[Niveau 4]],MATCH($C21,WarmteverliesBouwdelen[Gebouwdeel],0),MATCH($D21,WarmteverliesBouwdelen[[#Headers],[RC=0]:[Niveau 4]],0))*F21</f>
        <v>0</v>
      </c>
      <c r="H21" s="159">
        <f t="shared" si="0"/>
        <v>0</v>
      </c>
    </row>
    <row r="22" spans="3:8" ht="15.5" thickTop="1" thickBot="1">
      <c r="C22" s="144" t="s">
        <v>12</v>
      </c>
      <c r="D22" s="147" t="s">
        <v>10</v>
      </c>
      <c r="E22" s="160">
        <f>INDEX(Uwaarden[[RC=0]:[Niveau 4]],MATCH($C22,Uwaarden[Gebouwdeel],0),MATCH($D22,Uwaarden[[#Headers],[RC=0]:[Niveau 4]],0))</f>
        <v>0.68027210884353728</v>
      </c>
      <c r="F22" s="14">
        <v>10</v>
      </c>
      <c r="G22" s="159">
        <f>INDEX(WarmteverliesBouwdelen[[RC=0]:[Niveau 4]],MATCH($C22,WarmteverliesBouwdelen[Gebouwdeel],0),MATCH($D22,WarmteverliesBouwdelen[[#Headers],[RC=0]:[Niveau 4]],0))*F22</f>
        <v>1.2876656326530609</v>
      </c>
      <c r="H22" s="159">
        <f t="shared" si="0"/>
        <v>1.3893642890066047</v>
      </c>
    </row>
    <row r="23" spans="3:8" ht="15.5" thickTop="1" thickBot="1">
      <c r="C23" s="144" t="s">
        <v>14</v>
      </c>
      <c r="D23" s="147" t="s">
        <v>15</v>
      </c>
      <c r="E23" s="160">
        <f>INDEX(Uwaarden[[RC=0]:[Niveau 4]],MATCH($C23,Uwaarden[Gebouwdeel],0),MATCH($D23,Uwaarden[[#Headers],[RC=0]:[Niveau 4]],0))</f>
        <v>0.50761421319796951</v>
      </c>
      <c r="F23" s="14">
        <v>62</v>
      </c>
      <c r="G23" s="159">
        <f>INDEX(WarmteverliesBouwdelen[[RC=0]:[Niveau 4]],MATCH($C23,WarmteverliesBouwdelen[Gebouwdeel],0),MATCH($D23,WarmteverliesBouwdelen[[#Headers],[RC=0]:[Niveau 4]],0))*F23</f>
        <v>5.9572510538071066</v>
      </c>
      <c r="H23" s="159">
        <f t="shared" si="0"/>
        <v>6.4277493045716749</v>
      </c>
    </row>
    <row r="24" spans="3:8" ht="15.5" thickTop="1" thickBot="1">
      <c r="C24" s="144" t="s">
        <v>177</v>
      </c>
      <c r="D24" s="147" t="s">
        <v>10</v>
      </c>
      <c r="E24" s="160">
        <f>INDEX(Uwaarden[[RC=0]:[Niveau 4]],MATCH($C24,Uwaarden[Gebouwdeel],0),MATCH($D24,Uwaarden[[#Headers],[RC=0]:[Niveau 4]],0))</f>
        <v>3.45</v>
      </c>
      <c r="F24" s="14">
        <v>2</v>
      </c>
      <c r="G24" s="159">
        <f>INDEX(WarmteverliesBouwdelen[[RC=0]:[Niveau 4]],MATCH($C24,WarmteverliesBouwdelen[Gebouwdeel],0),MATCH($D24,WarmteverliesBouwdelen[[#Headers],[RC=0]:[Niveau 4]],0))*F24</f>
        <v>1.3060792512000001</v>
      </c>
      <c r="H24" s="159">
        <f t="shared" si="0"/>
        <v>1.4092321983393996</v>
      </c>
    </row>
    <row r="25" spans="3:8" ht="15.5" thickTop="1" thickBot="1">
      <c r="C25" s="144" t="s">
        <v>178</v>
      </c>
      <c r="D25" s="147" t="s">
        <v>15</v>
      </c>
      <c r="E25" s="160">
        <f>INDEX(Uwaarden[[RC=0]:[Niveau 4]],MATCH($C25,Uwaarden[Gebouwdeel],0),MATCH($D25,Uwaarden[[#Headers],[RC=0]:[Niveau 4]],0))</f>
        <v>0.46082949308755761</v>
      </c>
      <c r="F25" s="14">
        <v>0</v>
      </c>
      <c r="G25" s="159">
        <f>INDEX(WarmteverliesBouwdelen[[RC=0]:[Niveau 4]],MATCH($C25,WarmteverliesBouwdelen[Gebouwdeel],0),MATCH($D25,WarmteverliesBouwdelen[[#Headers],[RC=0]:[Niveau 4]],0))*F25</f>
        <v>0</v>
      </c>
      <c r="H25" s="159">
        <f t="shared" si="0"/>
        <v>0</v>
      </c>
    </row>
    <row r="26" spans="3:8" ht="15.5" thickTop="1" thickBot="1">
      <c r="C26" s="144" t="s">
        <v>16</v>
      </c>
      <c r="D26" s="147" t="s">
        <v>15</v>
      </c>
      <c r="E26" s="160">
        <f>INDEX(Uwaarden[[RC=0]:[Niveau 4]],MATCH($C26,Uwaarden[Gebouwdeel],0),MATCH($D26,Uwaarden[[#Headers],[RC=0]:[Niveau 4]],0))</f>
        <v>1.6</v>
      </c>
      <c r="F26" s="14">
        <v>8</v>
      </c>
      <c r="G26" s="159">
        <f>INDEX(WarmteverliesBouwdelen[[RC=0]:[Niveau 4]],MATCH($C26,WarmteverliesBouwdelen[Gebouwdeel],0),MATCH($D26,WarmteverliesBouwdelen[[#Headers],[RC=0]:[Niveau 4]],0))*F26</f>
        <v>2.4228716543999997</v>
      </c>
      <c r="H26" s="159">
        <f t="shared" si="0"/>
        <v>2.6142278461948281</v>
      </c>
    </row>
    <row r="27" spans="3:8" ht="15.5" thickTop="1" thickBot="1">
      <c r="C27" s="144" t="s">
        <v>17</v>
      </c>
      <c r="D27" s="147" t="s">
        <v>15</v>
      </c>
      <c r="E27" s="160">
        <f>INDEX(Uwaarden[[RC=0]:[Niveau 4]],MATCH($C27,Uwaarden[Gebouwdeel],0),MATCH($D27,Uwaarden[[#Headers],[RC=0]:[Niveau 4]],0))</f>
        <v>1.6</v>
      </c>
      <c r="F27" s="145">
        <v>8</v>
      </c>
      <c r="G27" s="159">
        <f>INDEX(WarmteverliesBouwdelen[[RC=0]:[Niveau 4]],MATCH($C27,WarmteverliesBouwdelen[Gebouwdeel],0),MATCH($D27,WarmteverliesBouwdelen[[#Headers],[RC=0]:[Niveau 4]],0))*F27</f>
        <v>2.4228716543999997</v>
      </c>
      <c r="H27" s="159">
        <f t="shared" si="0"/>
        <v>2.6142278461948281</v>
      </c>
    </row>
    <row r="28" spans="3:8" ht="15.5" thickTop="1" thickBot="1">
      <c r="C28" s="144" t="s">
        <v>205</v>
      </c>
      <c r="D28" s="147" t="s">
        <v>15</v>
      </c>
      <c r="E28" s="179"/>
      <c r="F28" s="184">
        <f>Vloeroppervlakte</f>
        <v>100</v>
      </c>
      <c r="G28" s="159">
        <f>INDEX(WarmteverliesBouwdelen[[RC=0]:[Niveau 4]],MATCH($C28,WarmteverliesBouwdelen[Gebouwdeel],0),MATCH($D28,WarmteverliesBouwdelen[[#Headers],[RC=0]:[Niveau 4]],0))*F28</f>
        <v>4.531276105266743</v>
      </c>
      <c r="H28" s="159">
        <f t="shared" si="0"/>
        <v>4.8891521561504501</v>
      </c>
    </row>
    <row r="29" spans="3:8" ht="15.5" thickTop="1" thickBot="1">
      <c r="C29" s="146" t="s">
        <v>207</v>
      </c>
      <c r="D29" s="3"/>
      <c r="E29" s="17">
        <f>ROUND(SUMPRODUCT(E19:E27,F19:F27)/Vloeroppervlakte,1)</f>
        <v>1.4</v>
      </c>
      <c r="F29" s="3"/>
      <c r="G29" s="17">
        <f>SUM(G19:G27)</f>
        <v>24.776484275031592</v>
      </c>
      <c r="H29" s="17">
        <f>SUM(H19:H27)</f>
        <v>26.733308388403206</v>
      </c>
    </row>
    <row r="30" spans="3:8">
      <c r="C30" s="151" t="s">
        <v>206</v>
      </c>
    </row>
    <row r="32" spans="3:8">
      <c r="C32" s="69" t="s">
        <v>94</v>
      </c>
      <c r="D32" s="153" t="s">
        <v>300</v>
      </c>
      <c r="E32" s="164">
        <v>0.7</v>
      </c>
      <c r="F32" s="64"/>
      <c r="G32" s="64" t="s">
        <v>216</v>
      </c>
      <c r="H32" s="64" t="s">
        <v>217</v>
      </c>
    </row>
    <row r="33" spans="3:8" ht="17" thickBot="1">
      <c r="C33" t="s">
        <v>198</v>
      </c>
      <c r="D33" s="14" t="s">
        <v>199</v>
      </c>
      <c r="E33" s="165">
        <v>0.5</v>
      </c>
      <c r="F33" s="152"/>
      <c r="G33" s="152" t="s">
        <v>215</v>
      </c>
      <c r="H33" s="152" t="s">
        <v>215</v>
      </c>
    </row>
    <row r="34" spans="3:8" ht="15" thickBot="1">
      <c r="C34" s="146" t="s">
        <v>208</v>
      </c>
      <c r="D34" s="3"/>
      <c r="E34" s="3"/>
      <c r="F34" s="3"/>
      <c r="G34" s="17">
        <f>SUMIFS(VentilatieKentallen[Warmteverlies per jaar GJth],VentilatieKentallen[Ventilatiesysteem],'Minimum versie'!$D$32,VentilatieKentallen[Vraagsturing],'Minimum versie'!$D$33)</f>
        <v>0.55101401452800003</v>
      </c>
      <c r="H34" s="17">
        <f>G34*SchalingTempVerschil</f>
        <v>0.59453259845883943</v>
      </c>
    </row>
    <row r="35" spans="3:8" ht="15" thickBot="1">
      <c r="C35" s="146" t="s">
        <v>203</v>
      </c>
      <c r="D35" s="3"/>
      <c r="E35" s="3"/>
      <c r="F35" s="3"/>
      <c r="G35" s="17">
        <f>Kentallen!$C$110</f>
        <v>3.5018099999999999</v>
      </c>
      <c r="H35" s="17">
        <f>G35*SchalingTempVerschil</f>
        <v>3.7783797575321993</v>
      </c>
    </row>
    <row r="37" spans="3:8">
      <c r="C37" s="64"/>
      <c r="D37" s="64" t="s">
        <v>257</v>
      </c>
      <c r="E37" s="64"/>
      <c r="F37" s="64"/>
      <c r="G37" s="64" t="s">
        <v>216</v>
      </c>
      <c r="H37" s="64" t="s">
        <v>217</v>
      </c>
    </row>
    <row r="38" spans="3:8" ht="17" thickBot="1">
      <c r="C38" s="112"/>
      <c r="D38" s="112"/>
      <c r="E38" s="112"/>
      <c r="F38" s="152"/>
      <c r="G38" s="152" t="s">
        <v>215</v>
      </c>
      <c r="H38" s="152" t="s">
        <v>215</v>
      </c>
    </row>
    <row r="39" spans="3:8">
      <c r="C39" s="144" t="s">
        <v>16</v>
      </c>
      <c r="D39" t="str">
        <f>INDEX(Kentallen!C12:G12,1,MATCH($D$26,RCwaarden[[#Headers],[RC=0]:[Niveau 4]],0))</f>
        <v>dubbel</v>
      </c>
      <c r="G39" s="166">
        <f>INDEX(Glassoorten[Warmtewinst '[GJth']],MATCH($D39,Glassoorten[Glas],0),1)*F26</f>
        <v>-3.22579584</v>
      </c>
      <c r="H39" s="166">
        <f>G39</f>
        <v>-3.22579584</v>
      </c>
    </row>
    <row r="40" spans="3:8">
      <c r="C40" s="144" t="s">
        <v>17</v>
      </c>
      <c r="D40" t="str">
        <f>INDEX(Kentallen!C13:G13,1,MATCH($D$27,RCwaarden[[#Headers],[RC=0]:[Niveau 4]],0))</f>
        <v>dubbel</v>
      </c>
      <c r="G40" s="166">
        <f>INDEX(Glassoorten[Warmtewinst '[GJth']],MATCH($D40,Glassoorten[Glas],0),1)*F27</f>
        <v>-3.22579584</v>
      </c>
      <c r="H40" s="166">
        <f>G40</f>
        <v>-3.22579584</v>
      </c>
    </row>
    <row r="41" spans="3:8" ht="15" thickBot="1">
      <c r="C41" s="146" t="s">
        <v>143</v>
      </c>
      <c r="D41" s="3"/>
      <c r="E41" s="3"/>
      <c r="F41" s="3"/>
      <c r="G41" s="17">
        <f>SUM(G39:G40)</f>
        <v>-6.4515916799999999</v>
      </c>
      <c r="H41" s="17">
        <f>G41</f>
        <v>-6.4515916799999999</v>
      </c>
    </row>
    <row r="42" spans="3:8" ht="15" thickBot="1">
      <c r="C42" s="146"/>
      <c r="D42" s="3"/>
      <c r="E42" s="3"/>
      <c r="F42" s="3"/>
      <c r="G42" s="17"/>
      <c r="H42" s="17"/>
    </row>
    <row r="43" spans="3:8" ht="15" thickBot="1">
      <c r="C43" s="146" t="s">
        <v>218</v>
      </c>
      <c r="D43" s="3"/>
      <c r="E43" s="3"/>
      <c r="F43" s="3"/>
      <c r="G43" s="17">
        <f>-Kentallen!$C$103*D9</f>
        <v>-2.1759840000000001</v>
      </c>
      <c r="H43" s="17">
        <f>G43</f>
        <v>-2.1759840000000001</v>
      </c>
    </row>
    <row r="44" spans="3:8" ht="15" thickBot="1">
      <c r="C44" s="146" t="s">
        <v>219</v>
      </c>
      <c r="D44" s="3"/>
      <c r="E44" s="3"/>
      <c r="F44" s="3"/>
      <c r="G44" s="17" cm="1">
        <f t="array" ref="G44">-$D$10*UrenStookseizoen/8760*3.6/1000</f>
        <v>-4.5</v>
      </c>
      <c r="H44" s="17">
        <f>G44</f>
        <v>-4.5</v>
      </c>
    </row>
    <row r="49" spans="3:8">
      <c r="C49" s="64" t="s">
        <v>229</v>
      </c>
      <c r="D49" s="64"/>
      <c r="E49" s="64"/>
      <c r="F49" s="64"/>
      <c r="G49" s="64" t="s">
        <v>216</v>
      </c>
      <c r="H49" s="64" t="s">
        <v>217</v>
      </c>
    </row>
    <row r="50" spans="3:8" ht="17" thickBot="1">
      <c r="C50" s="112"/>
      <c r="D50" s="112"/>
      <c r="E50" s="112"/>
      <c r="F50" s="152"/>
      <c r="G50" s="152" t="s">
        <v>215</v>
      </c>
      <c r="H50" s="152" t="s">
        <v>215</v>
      </c>
    </row>
    <row r="51" spans="3:8" ht="15" thickBot="1">
      <c r="C51" s="146" t="s">
        <v>227</v>
      </c>
      <c r="D51" s="3"/>
      <c r="E51" s="3"/>
      <c r="F51" s="3"/>
      <c r="G51" s="17">
        <f>SUM(G29,G34:G35,G41:G44)</f>
        <v>15.701732609559592</v>
      </c>
      <c r="H51" s="175">
        <f>SUM(H29,H34:H35,H41:H44)</f>
        <v>17.978645064394247</v>
      </c>
    </row>
    <row r="52" spans="3:8" ht="15" thickBot="1">
      <c r="C52" s="146" t="s">
        <v>209</v>
      </c>
      <c r="D52" s="3"/>
      <c r="E52" s="3"/>
      <c r="F52" s="3"/>
      <c r="G52" s="17"/>
      <c r="H52" s="17"/>
    </row>
    <row r="53" spans="3:8" ht="15" thickBot="1">
      <c r="C53" s="146" t="s">
        <v>228</v>
      </c>
      <c r="D53" s="3"/>
      <c r="E53" s="3"/>
      <c r="F53" s="3"/>
      <c r="G53" s="17"/>
      <c r="H53" s="17"/>
    </row>
    <row r="57" spans="3:8">
      <c r="C57" t="s">
        <v>258</v>
      </c>
      <c r="D57" t="s">
        <v>259</v>
      </c>
      <c r="E57" t="s">
        <v>262</v>
      </c>
      <c r="F57" t="s">
        <v>263</v>
      </c>
    </row>
    <row r="58" spans="3:8">
      <c r="D58" t="s">
        <v>260</v>
      </c>
      <c r="E58" t="s">
        <v>261</v>
      </c>
    </row>
    <row r="59" spans="3:8">
      <c r="C59" s="180"/>
    </row>
  </sheetData>
  <dataValidations count="1">
    <dataValidation type="list" allowBlank="1" showInputMessage="1" showErrorMessage="1" sqref="D33" xr:uid="{49F39535-923E-4904-A068-4E50FC61CE84}">
      <formula1>"ja,nee"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528AC1BA-6E9D-4C30-868A-28C82E9D43A2}">
          <x14:formula1>
            <xm:f>Kentallen!$D$51:$G$51</xm:f>
          </x14:formula1>
          <xm:sqref>D19:D28</xm:sqref>
        </x14:dataValidation>
        <x14:dataValidation type="list" allowBlank="1" showInputMessage="1" showErrorMessage="1" xr:uid="{A1C70D88-8009-4B5B-97B1-036CBA974D74}">
          <x14:formula1>
            <xm:f>Buitentemperatuur!$C$4:$G$4</xm:f>
          </x14:formula1>
          <xm:sqref>D4</xm:sqref>
        </x14:dataValidation>
        <x14:dataValidation type="list" allowBlank="1" showInputMessage="1" showErrorMessage="1" xr:uid="{64510AFE-0F4B-4CA9-B35E-A5FCD75F5F74}">
          <x14:formula1>
            <xm:f>Kentallen!$B$84:$B$88</xm:f>
          </x14:formula1>
          <xm:sqref>D32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F262-85EC-4D72-BFF2-C4FA8287F177}">
  <dimension ref="B2:Q119"/>
  <sheetViews>
    <sheetView tabSelected="1" topLeftCell="A46" zoomScale="85" zoomScaleNormal="85" workbookViewId="0">
      <selection activeCell="F49" sqref="F49"/>
    </sheetView>
  </sheetViews>
  <sheetFormatPr defaultRowHeight="14.5"/>
  <cols>
    <col min="2" max="2" width="29.26953125" customWidth="1"/>
    <col min="3" max="3" width="28.7265625" customWidth="1"/>
    <col min="4" max="4" width="15.81640625" customWidth="1"/>
    <col min="5" max="5" width="26.81640625" customWidth="1"/>
    <col min="6" max="7" width="10.7265625" bestFit="1" customWidth="1"/>
    <col min="9" max="9" width="9.26953125" bestFit="1" customWidth="1"/>
    <col min="11" max="11" width="11.7265625" customWidth="1"/>
    <col min="12" max="12" width="11.81640625" customWidth="1"/>
  </cols>
  <sheetData>
    <row r="2" spans="2:17" ht="23.5">
      <c r="B2" s="182" t="s">
        <v>23</v>
      </c>
      <c r="C2" s="13" t="s">
        <v>26</v>
      </c>
    </row>
    <row r="3" spans="2:17">
      <c r="K3" s="2" t="s">
        <v>10</v>
      </c>
      <c r="Q3" t="s">
        <v>308</v>
      </c>
    </row>
    <row r="4" spans="2:17">
      <c r="B4" t="s">
        <v>22</v>
      </c>
      <c r="C4" t="s">
        <v>27</v>
      </c>
      <c r="D4" t="s">
        <v>10</v>
      </c>
      <c r="E4" t="s">
        <v>15</v>
      </c>
      <c r="F4" t="s">
        <v>13</v>
      </c>
      <c r="G4" t="s">
        <v>176</v>
      </c>
      <c r="J4" s="188"/>
      <c r="K4" s="188" t="s">
        <v>302</v>
      </c>
      <c r="L4" s="188" t="s">
        <v>301</v>
      </c>
      <c r="M4" s="188" t="s">
        <v>303</v>
      </c>
    </row>
    <row r="5" spans="2:17">
      <c r="B5" t="s">
        <v>8</v>
      </c>
      <c r="C5">
        <v>0.15</v>
      </c>
      <c r="D5" s="59">
        <v>0.52</v>
      </c>
      <c r="E5" s="59">
        <v>1.26</v>
      </c>
      <c r="F5" s="59">
        <v>3.5</v>
      </c>
      <c r="G5" s="59">
        <v>5</v>
      </c>
      <c r="J5" s="188" t="s">
        <v>8</v>
      </c>
      <c r="K5" s="188">
        <v>0.15</v>
      </c>
      <c r="L5" s="189">
        <v>0.24010845117762536</v>
      </c>
      <c r="M5" s="188"/>
    </row>
    <row r="6" spans="2:17">
      <c r="B6" t="s">
        <v>9</v>
      </c>
      <c r="C6">
        <v>0.22</v>
      </c>
      <c r="D6" s="59">
        <v>0.86</v>
      </c>
      <c r="E6" s="59">
        <v>1.33</v>
      </c>
      <c r="F6" s="59">
        <v>3.5</v>
      </c>
      <c r="G6" s="59">
        <v>8</v>
      </c>
      <c r="J6" s="188" t="s">
        <v>9</v>
      </c>
      <c r="K6" s="188">
        <v>0.22</v>
      </c>
      <c r="L6" s="189">
        <v>0.32608851094341512</v>
      </c>
      <c r="M6" s="188"/>
    </row>
    <row r="7" spans="2:17">
      <c r="B7" t="s">
        <v>11</v>
      </c>
      <c r="C7">
        <v>0.22</v>
      </c>
      <c r="D7" s="59">
        <v>0.86</v>
      </c>
      <c r="E7" s="59">
        <v>1.33</v>
      </c>
      <c r="F7" s="59">
        <v>3.5</v>
      </c>
      <c r="G7" s="59">
        <v>8</v>
      </c>
      <c r="J7" s="188" t="s">
        <v>11</v>
      </c>
      <c r="K7" s="188">
        <v>0.22</v>
      </c>
      <c r="L7" s="189">
        <v>0.53237733414689947</v>
      </c>
      <c r="M7" s="188"/>
    </row>
    <row r="8" spans="2:17">
      <c r="B8" t="s">
        <v>12</v>
      </c>
      <c r="C8">
        <v>0.36</v>
      </c>
      <c r="D8" s="59">
        <v>1.3</v>
      </c>
      <c r="E8" s="59">
        <v>1.8</v>
      </c>
      <c r="F8" s="59">
        <v>3.5</v>
      </c>
      <c r="G8" s="59">
        <v>6</v>
      </c>
      <c r="J8" s="188" t="s">
        <v>12</v>
      </c>
      <c r="K8" s="188">
        <v>0.36</v>
      </c>
      <c r="L8" s="189">
        <v>1.49013698630137</v>
      </c>
      <c r="M8" s="188"/>
    </row>
    <row r="9" spans="2:17">
      <c r="B9" t="s">
        <v>14</v>
      </c>
      <c r="C9">
        <v>0.19</v>
      </c>
      <c r="D9" s="59">
        <v>1.3</v>
      </c>
      <c r="E9" s="59">
        <v>1.8</v>
      </c>
      <c r="F9" s="59">
        <v>3.5</v>
      </c>
      <c r="G9" s="59">
        <v>6</v>
      </c>
      <c r="J9" s="188" t="s">
        <v>14</v>
      </c>
      <c r="K9" s="188">
        <v>0.19</v>
      </c>
      <c r="L9" s="189">
        <v>0.38903704412100459</v>
      </c>
      <c r="M9" s="188"/>
    </row>
    <row r="10" spans="2:17">
      <c r="B10" t="s">
        <v>177</v>
      </c>
      <c r="C10" s="74">
        <v>0</v>
      </c>
      <c r="D10" s="59">
        <f t="shared" ref="D10" si="0">K10</f>
        <v>0.2857142857142857</v>
      </c>
      <c r="E10" s="59">
        <f>RCwaarden[[#This Row],[Niveau 1]]</f>
        <v>0.2857142857142857</v>
      </c>
      <c r="F10" s="59">
        <f>RCwaarden[[#This Row],[Niveau 1]]</f>
        <v>0.2857142857142857</v>
      </c>
      <c r="G10" s="59">
        <v>1.45</v>
      </c>
      <c r="J10" s="188" t="s">
        <v>177</v>
      </c>
      <c r="K10" s="189">
        <f>1/3.5</f>
        <v>0.2857142857142857</v>
      </c>
      <c r="L10" s="189">
        <v>0.40816326530612251</v>
      </c>
      <c r="M10" s="188">
        <f>1/3.4</f>
        <v>0.29411764705882354</v>
      </c>
      <c r="N10" t="s">
        <v>309</v>
      </c>
    </row>
    <row r="11" spans="2:17">
      <c r="B11" t="s">
        <v>178</v>
      </c>
      <c r="C11" s="74">
        <v>0.24</v>
      </c>
      <c r="D11" s="59">
        <v>1.3</v>
      </c>
      <c r="E11" s="59">
        <v>2</v>
      </c>
      <c r="F11" s="59">
        <v>3.5</v>
      </c>
      <c r="G11" s="59">
        <v>5</v>
      </c>
      <c r="J11" s="188" t="s">
        <v>178</v>
      </c>
      <c r="K11" s="192">
        <v>0.24</v>
      </c>
      <c r="L11" s="189">
        <v>0.3103281869844749</v>
      </c>
      <c r="M11" s="191">
        <f>1/((3.7+4.1+4.9)/3)</f>
        <v>0.23622047244094488</v>
      </c>
      <c r="N11" t="s">
        <v>310</v>
      </c>
    </row>
    <row r="12" spans="2:17">
      <c r="B12" t="s">
        <v>16</v>
      </c>
      <c r="C12" t="s">
        <v>184</v>
      </c>
      <c r="D12" s="14" t="s">
        <v>185</v>
      </c>
      <c r="E12" s="59" t="s">
        <v>41</v>
      </c>
      <c r="F12" s="59" t="s">
        <v>38</v>
      </c>
      <c r="G12" s="59" t="s">
        <v>37</v>
      </c>
      <c r="J12" s="188" t="s">
        <v>16</v>
      </c>
      <c r="K12" s="188"/>
      <c r="L12" s="190">
        <v>0.26928076286260649</v>
      </c>
      <c r="M12" s="188"/>
      <c r="N12" s="102"/>
    </row>
    <row r="13" spans="2:17">
      <c r="B13" t="s">
        <v>17</v>
      </c>
      <c r="C13" t="s">
        <v>184</v>
      </c>
      <c r="D13" s="14" t="s">
        <v>185</v>
      </c>
      <c r="E13" s="59" t="s">
        <v>41</v>
      </c>
      <c r="F13" s="59" t="s">
        <v>38</v>
      </c>
      <c r="G13" s="59" t="s">
        <v>37</v>
      </c>
      <c r="J13" s="188" t="s">
        <v>17</v>
      </c>
      <c r="K13" s="188"/>
      <c r="L13" s="190">
        <v>0.26928076286260649</v>
      </c>
      <c r="M13" s="188"/>
      <c r="N13" s="102"/>
    </row>
    <row r="14" spans="2:17">
      <c r="M14" s="102"/>
      <c r="N14" s="102"/>
    </row>
    <row r="15" spans="2:17" ht="23.5">
      <c r="B15" s="182" t="s">
        <v>24</v>
      </c>
      <c r="C15" s="13" t="s">
        <v>25</v>
      </c>
    </row>
    <row r="17" spans="2:9">
      <c r="B17" t="s">
        <v>22</v>
      </c>
      <c r="C17" t="s">
        <v>27</v>
      </c>
      <c r="D17" t="s">
        <v>10</v>
      </c>
      <c r="E17" t="s">
        <v>15</v>
      </c>
      <c r="F17" t="s">
        <v>13</v>
      </c>
      <c r="G17" t="s">
        <v>176</v>
      </c>
    </row>
    <row r="18" spans="2:9">
      <c r="B18" t="s">
        <v>8</v>
      </c>
      <c r="C18" s="12">
        <f>1/(C5+0.17+0.17)</f>
        <v>2.0408163265306123</v>
      </c>
      <c r="D18" s="12">
        <f>1/(D5+0.17+0.17)</f>
        <v>1.1627906976744184</v>
      </c>
      <c r="E18" s="12">
        <f>1/(E5+0.17+0.17)</f>
        <v>0.625</v>
      </c>
      <c r="F18" s="12">
        <f>1/(F5+0.17+0.17)</f>
        <v>0.26041666666666669</v>
      </c>
      <c r="G18" s="12">
        <f>1/(G5+0.17+0.17)</f>
        <v>0.18726591760299627</v>
      </c>
      <c r="I18" t="s">
        <v>299</v>
      </c>
    </row>
    <row r="19" spans="2:9">
      <c r="B19" t="s">
        <v>9</v>
      </c>
      <c r="C19" s="12">
        <f t="shared" ref="C19:G20" si="1">1/(C6+0.1+0.04)</f>
        <v>2.7777777777777777</v>
      </c>
      <c r="D19" s="12">
        <f t="shared" si="1"/>
        <v>1</v>
      </c>
      <c r="E19" s="12">
        <f t="shared" si="1"/>
        <v>0.68027210884353728</v>
      </c>
      <c r="F19" s="12">
        <f t="shared" si="1"/>
        <v>0.27472527472527469</v>
      </c>
      <c r="G19" s="12">
        <f t="shared" si="1"/>
        <v>0.12285012285012287</v>
      </c>
    </row>
    <row r="20" spans="2:9">
      <c r="B20" t="s">
        <v>11</v>
      </c>
      <c r="C20" s="12">
        <f t="shared" si="1"/>
        <v>2.7777777777777777</v>
      </c>
      <c r="D20" s="12">
        <f t="shared" si="1"/>
        <v>1</v>
      </c>
      <c r="E20" s="12">
        <f t="shared" si="1"/>
        <v>0.68027210884353728</v>
      </c>
      <c r="F20" s="12">
        <f t="shared" si="1"/>
        <v>0.27472527472527469</v>
      </c>
      <c r="G20" s="12">
        <f t="shared" si="1"/>
        <v>0.12285012285012287</v>
      </c>
      <c r="I20" t="s">
        <v>307</v>
      </c>
    </row>
    <row r="21" spans="2:9">
      <c r="B21" t="s">
        <v>12</v>
      </c>
      <c r="C21" s="12">
        <f t="shared" ref="C21:G24" si="2">1/(C8+0.13+0.04)</f>
        <v>1.8867924528301885</v>
      </c>
      <c r="D21" s="12">
        <f t="shared" si="2"/>
        <v>0.68027210884353728</v>
      </c>
      <c r="E21" s="12">
        <f t="shared" si="2"/>
        <v>0.50761421319796951</v>
      </c>
      <c r="F21" s="12">
        <f t="shared" si="2"/>
        <v>0.27247956403269757</v>
      </c>
      <c r="G21" s="12">
        <f t="shared" si="2"/>
        <v>0.16207455429497569</v>
      </c>
    </row>
    <row r="22" spans="2:9">
      <c r="B22" t="s">
        <v>14</v>
      </c>
      <c r="C22" s="135">
        <f t="shared" si="2"/>
        <v>2.7777777777777777</v>
      </c>
      <c r="D22" s="135">
        <f t="shared" si="2"/>
        <v>0.68027210884353728</v>
      </c>
      <c r="E22" s="135">
        <f t="shared" si="2"/>
        <v>0.50761421319796951</v>
      </c>
      <c r="F22" s="135">
        <f t="shared" si="2"/>
        <v>0.27247956403269757</v>
      </c>
      <c r="G22" s="135">
        <f t="shared" si="2"/>
        <v>0.16207455429497569</v>
      </c>
    </row>
    <row r="23" spans="2:9">
      <c r="B23" t="s">
        <v>177</v>
      </c>
      <c r="C23" s="135">
        <v>3.45</v>
      </c>
      <c r="D23" s="135">
        <v>3.45</v>
      </c>
      <c r="E23" s="135">
        <v>3.45</v>
      </c>
      <c r="F23" s="135">
        <v>3.45</v>
      </c>
      <c r="G23" s="135">
        <v>0.69</v>
      </c>
      <c r="I23" s="131"/>
    </row>
    <row r="24" spans="2:9">
      <c r="B24" t="s">
        <v>178</v>
      </c>
      <c r="C24" s="135">
        <f t="shared" si="2"/>
        <v>2.4390243902439024</v>
      </c>
      <c r="D24" s="135">
        <f t="shared" si="2"/>
        <v>0.68027210884353728</v>
      </c>
      <c r="E24" s="135">
        <f t="shared" si="2"/>
        <v>0.46082949308755761</v>
      </c>
      <c r="F24" s="135">
        <f t="shared" si="2"/>
        <v>0.27247956403269757</v>
      </c>
      <c r="G24" s="135">
        <f t="shared" si="2"/>
        <v>0.19342359767891684</v>
      </c>
    </row>
    <row r="25" spans="2:9">
      <c r="B25" t="s">
        <v>16</v>
      </c>
      <c r="C25" s="12">
        <v>5.8</v>
      </c>
      <c r="D25" s="12">
        <v>2.7</v>
      </c>
      <c r="E25" s="12">
        <v>1.6</v>
      </c>
      <c r="F25" s="12">
        <f>VLOOKUP(F12,Glassoorten[],2,FALSE)</f>
        <v>1.2</v>
      </c>
      <c r="G25" s="12">
        <f>VLOOKUP(G12,Glassoorten[],2,FALSE)</f>
        <v>0.8</v>
      </c>
    </row>
    <row r="26" spans="2:9">
      <c r="B26" t="s">
        <v>17</v>
      </c>
      <c r="C26" s="12">
        <v>5.8</v>
      </c>
      <c r="D26" s="12">
        <v>2.7</v>
      </c>
      <c r="E26" s="12">
        <v>1.6</v>
      </c>
      <c r="F26" s="12">
        <f>VLOOKUP(F13,Glassoorten[],2,FALSE)</f>
        <v>1.2</v>
      </c>
      <c r="G26" s="12">
        <f>VLOOKUP(G13,Glassoorten[],2,FALSE)</f>
        <v>0.8</v>
      </c>
    </row>
    <row r="28" spans="2:9" ht="23.5">
      <c r="B28" s="182" t="s">
        <v>272</v>
      </c>
    </row>
    <row r="30" spans="2:9">
      <c r="B30" s="139" t="s">
        <v>22</v>
      </c>
      <c r="C30" t="s">
        <v>192</v>
      </c>
    </row>
    <row r="31" spans="2:9">
      <c r="B31" s="140" t="s">
        <v>8</v>
      </c>
      <c r="C31" s="1">
        <v>0.5</v>
      </c>
    </row>
    <row r="32" spans="2:9">
      <c r="B32" s="140" t="s">
        <v>9</v>
      </c>
      <c r="C32" s="1">
        <v>1</v>
      </c>
    </row>
    <row r="33" spans="2:4">
      <c r="B33" s="140" t="s">
        <v>11</v>
      </c>
      <c r="C33" s="1">
        <v>1</v>
      </c>
    </row>
    <row r="34" spans="2:4">
      <c r="B34" s="140" t="s">
        <v>12</v>
      </c>
      <c r="C34" s="1">
        <v>1</v>
      </c>
    </row>
    <row r="35" spans="2:4">
      <c r="B35" s="140" t="s">
        <v>14</v>
      </c>
      <c r="C35" s="1">
        <v>1</v>
      </c>
    </row>
    <row r="36" spans="2:4">
      <c r="B36" s="140" t="s">
        <v>177</v>
      </c>
      <c r="C36" s="1">
        <v>1</v>
      </c>
    </row>
    <row r="37" spans="2:4">
      <c r="B37" s="140" t="s">
        <v>178</v>
      </c>
      <c r="C37" s="1">
        <v>1</v>
      </c>
    </row>
    <row r="38" spans="2:4">
      <c r="B38" s="140" t="s">
        <v>16</v>
      </c>
      <c r="C38" s="1">
        <v>1</v>
      </c>
    </row>
    <row r="39" spans="2:4">
      <c r="B39" s="141" t="s">
        <v>17</v>
      </c>
      <c r="C39" s="1">
        <v>1</v>
      </c>
    </row>
    <row r="41" spans="2:4" ht="23.5">
      <c r="B41" s="182" t="s">
        <v>273</v>
      </c>
    </row>
    <row r="43" spans="2:4">
      <c r="B43" t="s">
        <v>275</v>
      </c>
      <c r="C43" t="s">
        <v>246</v>
      </c>
      <c r="D43" t="s">
        <v>245</v>
      </c>
    </row>
    <row r="44" spans="2:4">
      <c r="B44" t="s">
        <v>30</v>
      </c>
      <c r="C44" s="4">
        <f>'NTA 8800'!D21</f>
        <v>5.9625274725274728</v>
      </c>
      <c r="D44" s="183" t="s">
        <v>274</v>
      </c>
    </row>
    <row r="45" spans="2:4">
      <c r="B45" t="s">
        <v>91</v>
      </c>
      <c r="C45" s="4">
        <v>18</v>
      </c>
      <c r="D45" s="183" t="s">
        <v>274</v>
      </c>
    </row>
    <row r="46" spans="2:4">
      <c r="B46" t="s">
        <v>28</v>
      </c>
      <c r="C46" s="4">
        <f>'NTA 8800'!D20</f>
        <v>4368</v>
      </c>
      <c r="D46" t="s">
        <v>49</v>
      </c>
    </row>
    <row r="49" spans="2:12" ht="23.5">
      <c r="B49" s="182" t="s">
        <v>276</v>
      </c>
      <c r="I49" t="s">
        <v>317</v>
      </c>
    </row>
    <row r="50" spans="2:12">
      <c r="J50" s="2" t="s">
        <v>312</v>
      </c>
    </row>
    <row r="51" spans="2:12">
      <c r="B51" t="s">
        <v>22</v>
      </c>
      <c r="C51" t="s">
        <v>27</v>
      </c>
      <c r="D51" t="s">
        <v>10</v>
      </c>
      <c r="E51" t="s">
        <v>15</v>
      </c>
      <c r="F51" t="s">
        <v>13</v>
      </c>
      <c r="G51" t="s">
        <v>176</v>
      </c>
      <c r="I51" t="s">
        <v>313</v>
      </c>
      <c r="J51" t="s">
        <v>314</v>
      </c>
      <c r="K51" t="s">
        <v>315</v>
      </c>
      <c r="L51" t="s">
        <v>316</v>
      </c>
    </row>
    <row r="52" spans="2:12">
      <c r="B52" t="s">
        <v>8</v>
      </c>
      <c r="C52" s="12">
        <f t="shared" ref="C52:G60" si="3">C18*(BinnenTempTheoretisch-BuitenTempTheoretisch)*StookseizoenTheoretisch*3.6/10^6*$C31</f>
        <v>0.19314984489795917</v>
      </c>
      <c r="D52" s="12">
        <f t="shared" si="3"/>
        <v>0.1100504930232558</v>
      </c>
      <c r="E52" s="12">
        <f t="shared" si="3"/>
        <v>5.9152140000000006E-2</v>
      </c>
      <c r="F52" s="12">
        <f t="shared" si="3"/>
        <v>2.4646725000000001E-2</v>
      </c>
      <c r="G52" s="12">
        <f t="shared" si="3"/>
        <v>1.772348764044944E-2</v>
      </c>
      <c r="I52" s="195">
        <f>100-100*WarmteverliesBouwdelen[[#This Row],[Niveau 1]]/WarmteverliesBouwdelen[[#This Row],[RC=0]]</f>
        <v>43.023255813953497</v>
      </c>
      <c r="J52" s="195">
        <f>100-100*WarmteverliesBouwdelen[[#This Row],[Niveau 2]]/WarmteverliesBouwdelen[[#This Row],[RC=0]]</f>
        <v>69.375</v>
      </c>
      <c r="K52" s="195">
        <f>100-100*WarmteverliesBouwdelen[[#This Row],[Niveau 3]]/WarmteverliesBouwdelen[[#This Row],[RC=0]]</f>
        <v>87.239583333333329</v>
      </c>
      <c r="L52" s="195">
        <f>100-100*WarmteverliesBouwdelen[[#This Row],[Niveau 4]]/WarmteverliesBouwdelen[[#This Row],[RC=0]]</f>
        <v>90.823970037453179</v>
      </c>
    </row>
    <row r="53" spans="2:12">
      <c r="B53" t="s">
        <v>9</v>
      </c>
      <c r="C53" s="12">
        <f t="shared" si="3"/>
        <v>0.52579680000000006</v>
      </c>
      <c r="D53" s="12">
        <f t="shared" si="3"/>
        <v>0.18928684800000001</v>
      </c>
      <c r="E53" s="12">
        <f t="shared" si="3"/>
        <v>0.12876656326530608</v>
      </c>
      <c r="F53" s="12">
        <f t="shared" si="3"/>
        <v>5.2001881318681303E-2</v>
      </c>
      <c r="G53" s="12">
        <f t="shared" si="3"/>
        <v>2.3253912530712531E-2</v>
      </c>
      <c r="I53" s="193">
        <f>100-100*WarmteverliesBouwdelen[[#This Row],[Niveau 1]]/WarmteverliesBouwdelen[[#This Row],[RC=0]]</f>
        <v>64</v>
      </c>
      <c r="J53" s="193">
        <f>100-100*WarmteverliesBouwdelen[[#This Row],[Niveau 2]]/WarmteverliesBouwdelen[[#This Row],[RC=0]]</f>
        <v>75.510204081632665</v>
      </c>
      <c r="K53" s="193">
        <f>100-100*WarmteverliesBouwdelen[[#This Row],[Niveau 3]]/WarmteverliesBouwdelen[[#This Row],[RC=0]]</f>
        <v>90.109890109890117</v>
      </c>
      <c r="L53" s="193">
        <f>100-100*WarmteverliesBouwdelen[[#This Row],[Niveau 4]]/WarmteverliesBouwdelen[[#This Row],[RC=0]]</f>
        <v>95.577395577395578</v>
      </c>
    </row>
    <row r="54" spans="2:12">
      <c r="B54" t="s">
        <v>11</v>
      </c>
      <c r="C54" s="12">
        <f t="shared" si="3"/>
        <v>0.52579680000000006</v>
      </c>
      <c r="D54" s="12">
        <f t="shared" si="3"/>
        <v>0.18928684800000001</v>
      </c>
      <c r="E54" s="12">
        <f t="shared" si="3"/>
        <v>0.12876656326530608</v>
      </c>
      <c r="F54" s="12">
        <f t="shared" si="3"/>
        <v>5.2001881318681303E-2</v>
      </c>
      <c r="G54" s="12">
        <f t="shared" si="3"/>
        <v>2.3253912530712531E-2</v>
      </c>
      <c r="I54" s="193">
        <f>100-100*WarmteverliesBouwdelen[[#This Row],[Niveau 1]]/WarmteverliesBouwdelen[[#This Row],[RC=0]]</f>
        <v>64</v>
      </c>
      <c r="J54" s="193">
        <f>100-100*WarmteverliesBouwdelen[[#This Row],[Niveau 2]]/WarmteverliesBouwdelen[[#This Row],[RC=0]]</f>
        <v>75.510204081632665</v>
      </c>
      <c r="K54" s="193">
        <f>100-100*WarmteverliesBouwdelen[[#This Row],[Niveau 3]]/WarmteverliesBouwdelen[[#This Row],[RC=0]]</f>
        <v>90.109890109890117</v>
      </c>
      <c r="L54" s="193">
        <f>100-100*WarmteverliesBouwdelen[[#This Row],[Niveau 4]]/WarmteverliesBouwdelen[[#This Row],[RC=0]]</f>
        <v>95.577395577395578</v>
      </c>
    </row>
    <row r="55" spans="2:12">
      <c r="B55" t="s">
        <v>12</v>
      </c>
      <c r="C55" s="12">
        <f t="shared" si="3"/>
        <v>0.35714499622641505</v>
      </c>
      <c r="D55" s="12">
        <f t="shared" si="3"/>
        <v>0.12876656326530608</v>
      </c>
      <c r="E55" s="12">
        <f t="shared" si="3"/>
        <v>9.6084694416243649E-2</v>
      </c>
      <c r="F55" s="12">
        <f t="shared" si="3"/>
        <v>5.15767978201635E-2</v>
      </c>
      <c r="G55" s="12">
        <f t="shared" si="3"/>
        <v>3.0678581523500812E-2</v>
      </c>
      <c r="I55" s="193">
        <f>100-100*WarmteverliesBouwdelen[[#This Row],[Niveau 1]]/WarmteverliesBouwdelen[[#This Row],[RC=0]]</f>
        <v>63.945578231292522</v>
      </c>
      <c r="J55" s="193">
        <f>100-100*WarmteverliesBouwdelen[[#This Row],[Niveau 2]]/WarmteverliesBouwdelen[[#This Row],[RC=0]]</f>
        <v>73.096446700507613</v>
      </c>
      <c r="K55" s="193">
        <f>100-100*WarmteverliesBouwdelen[[#This Row],[Niveau 3]]/WarmteverliesBouwdelen[[#This Row],[RC=0]]</f>
        <v>85.558583106267022</v>
      </c>
      <c r="L55" s="193">
        <f>100-100*WarmteverliesBouwdelen[[#This Row],[Niveau 4]]/WarmteverliesBouwdelen[[#This Row],[RC=0]]</f>
        <v>91.41004862236629</v>
      </c>
    </row>
    <row r="56" spans="2:12">
      <c r="B56" t="s">
        <v>14</v>
      </c>
      <c r="C56" s="12">
        <f t="shared" si="3"/>
        <v>0.52579680000000006</v>
      </c>
      <c r="D56" s="12">
        <f t="shared" si="3"/>
        <v>0.12876656326530608</v>
      </c>
      <c r="E56" s="12">
        <f t="shared" si="3"/>
        <v>9.6084694416243649E-2</v>
      </c>
      <c r="F56" s="12">
        <f t="shared" si="3"/>
        <v>5.15767978201635E-2</v>
      </c>
      <c r="G56" s="12">
        <f t="shared" si="3"/>
        <v>3.0678581523500812E-2</v>
      </c>
      <c r="I56" s="193">
        <f>100-100*WarmteverliesBouwdelen[[#This Row],[Niveau 1]]/WarmteverliesBouwdelen[[#This Row],[RC=0]]</f>
        <v>75.510204081632665</v>
      </c>
      <c r="J56" s="193">
        <f>100-100*WarmteverliesBouwdelen[[#This Row],[Niveau 2]]/WarmteverliesBouwdelen[[#This Row],[RC=0]]</f>
        <v>81.725888324873097</v>
      </c>
      <c r="K56" s="193">
        <f>100-100*WarmteverliesBouwdelen[[#This Row],[Niveau 3]]/WarmteverliesBouwdelen[[#This Row],[RC=0]]</f>
        <v>90.190735694822891</v>
      </c>
      <c r="L56" s="193">
        <f>100-100*WarmteverliesBouwdelen[[#This Row],[Niveau 4]]/WarmteverliesBouwdelen[[#This Row],[RC=0]]</f>
        <v>94.165316045380877</v>
      </c>
    </row>
    <row r="57" spans="2:12">
      <c r="B57" t="s">
        <v>177</v>
      </c>
      <c r="C57" s="12">
        <f t="shared" si="3"/>
        <v>0.65303962560000006</v>
      </c>
      <c r="D57" s="12">
        <f t="shared" si="3"/>
        <v>0.65303962560000006</v>
      </c>
      <c r="E57" s="12">
        <f t="shared" si="3"/>
        <v>0.65303962560000006</v>
      </c>
      <c r="F57" s="12">
        <f t="shared" si="3"/>
        <v>0.65303962560000006</v>
      </c>
      <c r="G57" s="12">
        <f t="shared" si="3"/>
        <v>0.13060792512</v>
      </c>
      <c r="I57" s="193">
        <f>100-100*WarmteverliesBouwdelen[[#This Row],[Niveau 1]]/WarmteverliesBouwdelen[[#This Row],[RC=0]]</f>
        <v>0</v>
      </c>
      <c r="J57" s="193">
        <f>100-100*WarmteverliesBouwdelen[[#This Row],[Niveau 2]]/WarmteverliesBouwdelen[[#This Row],[RC=0]]</f>
        <v>0</v>
      </c>
      <c r="K57" s="193">
        <f>100-100*WarmteverliesBouwdelen[[#This Row],[Niveau 3]]/WarmteverliesBouwdelen[[#This Row],[RC=0]]</f>
        <v>0</v>
      </c>
      <c r="L57" s="193">
        <f>100-100*WarmteverliesBouwdelen[[#This Row],[Niveau 4]]/WarmteverliesBouwdelen[[#This Row],[RC=0]]</f>
        <v>80</v>
      </c>
    </row>
    <row r="58" spans="2:12">
      <c r="B58" t="s">
        <v>178</v>
      </c>
      <c r="C58" s="12">
        <f t="shared" si="3"/>
        <v>0.46167523902439023</v>
      </c>
      <c r="D58" s="12">
        <f t="shared" si="3"/>
        <v>0.12876656326530608</v>
      </c>
      <c r="E58" s="12">
        <f t="shared" si="3"/>
        <v>8.7228962211981564E-2</v>
      </c>
      <c r="F58" s="12">
        <f t="shared" si="3"/>
        <v>5.15767978201635E-2</v>
      </c>
      <c r="G58" s="12">
        <f t="shared" si="3"/>
        <v>3.6612543133462287E-2</v>
      </c>
      <c r="I58" s="193">
        <f>100-100*WarmteverliesBouwdelen[[#This Row],[Niveau 1]]/WarmteverliesBouwdelen[[#This Row],[RC=0]]</f>
        <v>72.10884353741497</v>
      </c>
      <c r="J58" s="193">
        <f>100-100*WarmteverliesBouwdelen[[#This Row],[Niveau 2]]/WarmteverliesBouwdelen[[#This Row],[RC=0]]</f>
        <v>81.105990783410135</v>
      </c>
      <c r="K58" s="193">
        <f>100-100*WarmteverliesBouwdelen[[#This Row],[Niveau 3]]/WarmteverliesBouwdelen[[#This Row],[RC=0]]</f>
        <v>88.828337874659397</v>
      </c>
      <c r="L58" s="193">
        <f>100-100*WarmteverliesBouwdelen[[#This Row],[Niveau 4]]/WarmteverliesBouwdelen[[#This Row],[RC=0]]</f>
        <v>92.069632495164413</v>
      </c>
    </row>
    <row r="59" spans="2:12">
      <c r="B59" t="s">
        <v>16</v>
      </c>
      <c r="C59" s="12">
        <f t="shared" si="3"/>
        <v>1.0978637184</v>
      </c>
      <c r="D59" s="12">
        <f t="shared" si="3"/>
        <v>0.51107448960000001</v>
      </c>
      <c r="E59" s="12">
        <f t="shared" si="3"/>
        <v>0.30285895679999997</v>
      </c>
      <c r="F59" s="12">
        <f t="shared" si="3"/>
        <v>0.22714421759999998</v>
      </c>
      <c r="G59" s="12">
        <f t="shared" si="3"/>
        <v>0.15142947839999998</v>
      </c>
      <c r="I59" s="193">
        <f>100-100*WarmteverliesBouwdelen[[#This Row],[Niveau 1]]/WarmteverliesBouwdelen[[#This Row],[RC=0]]</f>
        <v>53.448275862068968</v>
      </c>
      <c r="J59" s="193">
        <f>100-100*WarmteverliesBouwdelen[[#This Row],[Niveau 2]]/WarmteverliesBouwdelen[[#This Row],[RC=0]]</f>
        <v>72.413793103448285</v>
      </c>
      <c r="K59" s="193">
        <f>100-100*WarmteverliesBouwdelen[[#This Row],[Niveau 3]]/WarmteverliesBouwdelen[[#This Row],[RC=0]]</f>
        <v>79.310344827586206</v>
      </c>
      <c r="L59" s="193">
        <f>100-100*WarmteverliesBouwdelen[[#This Row],[Niveau 4]]/WarmteverliesBouwdelen[[#This Row],[RC=0]]</f>
        <v>86.206896551724142</v>
      </c>
    </row>
    <row r="60" spans="2:12">
      <c r="B60" t="s">
        <v>17</v>
      </c>
      <c r="C60" s="12">
        <f t="shared" si="3"/>
        <v>1.0978637184</v>
      </c>
      <c r="D60" s="12">
        <f t="shared" si="3"/>
        <v>0.51107448960000001</v>
      </c>
      <c r="E60" s="12">
        <f t="shared" si="3"/>
        <v>0.30285895679999997</v>
      </c>
      <c r="F60" s="12">
        <f t="shared" si="3"/>
        <v>0.22714421759999998</v>
      </c>
      <c r="G60" s="12">
        <f t="shared" si="3"/>
        <v>0.15142947839999998</v>
      </c>
      <c r="I60" s="193">
        <f>100-100*WarmteverliesBouwdelen[[#This Row],[Niveau 1]]/WarmteverliesBouwdelen[[#This Row],[RC=0]]</f>
        <v>53.448275862068968</v>
      </c>
      <c r="J60" s="193">
        <f>100-100*WarmteverliesBouwdelen[[#This Row],[Niveau 2]]/WarmteverliesBouwdelen[[#This Row],[RC=0]]</f>
        <v>72.413793103448285</v>
      </c>
      <c r="K60" s="193">
        <f>100-100*WarmteverliesBouwdelen[[#This Row],[Niveau 3]]/WarmteverliesBouwdelen[[#This Row],[RC=0]]</f>
        <v>79.310344827586206</v>
      </c>
      <c r="L60" s="193">
        <f>100-100*WarmteverliesBouwdelen[[#This Row],[Niveau 4]]/WarmteverliesBouwdelen[[#This Row],[RC=0]]</f>
        <v>86.206896551724142</v>
      </c>
    </row>
    <row r="61" spans="2:12">
      <c r="B61" t="s">
        <v>204</v>
      </c>
      <c r="C61" s="130">
        <f>C119</f>
        <v>6.0367935114845318E-2</v>
      </c>
      <c r="D61" s="130">
        <f t="shared" ref="D61" si="4">C119</f>
        <v>6.0367935114845318E-2</v>
      </c>
      <c r="E61" s="130">
        <f>D119</f>
        <v>4.5312761052667426E-2</v>
      </c>
      <c r="F61" s="130">
        <f>E119</f>
        <v>2.6453916282033845E-2</v>
      </c>
      <c r="G61" s="130">
        <f>F119</f>
        <v>1.5128793495244775E-2</v>
      </c>
      <c r="I61" s="194">
        <f>100-100*WarmteverliesBouwdelen[[#This Row],[Niveau 1]]/WarmteverliesBouwdelen[[#This Row],[RC=0]]</f>
        <v>0</v>
      </c>
      <c r="J61" s="194">
        <f>100-100*WarmteverliesBouwdelen[[#This Row],[Niveau 2]]/WarmteverliesBouwdelen[[#This Row],[RC=0]]</f>
        <v>24.939024390243901</v>
      </c>
      <c r="K61" s="194">
        <f>100-100*WarmteverliesBouwdelen[[#This Row],[Niveau 3]]/WarmteverliesBouwdelen[[#This Row],[RC=0]]</f>
        <v>56.17886178861788</v>
      </c>
      <c r="L61" s="194">
        <f>100-100*WarmteverliesBouwdelen[[#This Row],[Niveau 4]]/WarmteverliesBouwdelen[[#This Row],[RC=0]]</f>
        <v>74.939024390243901</v>
      </c>
    </row>
    <row r="63" spans="2:12" ht="23.5">
      <c r="B63" s="182" t="s">
        <v>143</v>
      </c>
    </row>
    <row r="65" spans="2:9" ht="29">
      <c r="B65" t="s">
        <v>39</v>
      </c>
      <c r="C65" t="s">
        <v>40</v>
      </c>
      <c r="D65" t="s">
        <v>152</v>
      </c>
      <c r="E65" s="176" t="s">
        <v>252</v>
      </c>
      <c r="F65" t="s">
        <v>250</v>
      </c>
      <c r="G65" t="s">
        <v>251</v>
      </c>
    </row>
    <row r="66" spans="2:9">
      <c r="B66" t="s">
        <v>184</v>
      </c>
      <c r="C66">
        <f>1/0.1</f>
        <v>10</v>
      </c>
      <c r="D66">
        <v>1</v>
      </c>
      <c r="E66">
        <f t="shared" ref="E66:E71" si="5">SUMPRODUCT($C$76:$C$79,$E$76:$E$79)</f>
        <v>165.93599999999998</v>
      </c>
      <c r="F66" s="8">
        <f t="shared" ref="F66:F71" si="6">SUMPRODUCT($D$76:$D$79,$C$76:$C$79)</f>
        <v>0.9</v>
      </c>
      <c r="G66" s="12">
        <f>Glassoorten[[#This Row],[Zontoetredingsfactor]]*Glassoorten[[#This Row],[solar irradiation '[kWh/m2']
heating season]]*Glassoorten[[#This Row],[Solar access]]*-3.6/1000</f>
        <v>-0.53763263999999999</v>
      </c>
    </row>
    <row r="67" spans="2:9">
      <c r="B67" t="s">
        <v>34</v>
      </c>
      <c r="C67">
        <v>5.8</v>
      </c>
      <c r="D67">
        <v>0.85</v>
      </c>
      <c r="E67">
        <f t="shared" si="5"/>
        <v>165.93599999999998</v>
      </c>
      <c r="F67" s="8">
        <f t="shared" si="6"/>
        <v>0.9</v>
      </c>
      <c r="G67" s="12">
        <f>Glassoorten[[#This Row],[Zontoetredingsfactor]]*Glassoorten[[#This Row],[solar irradiation '[kWh/m2']
heating season]]*Glassoorten[[#This Row],[Solar access]]*-3.6/1000</f>
        <v>-0.45698774399999997</v>
      </c>
    </row>
    <row r="68" spans="2:9">
      <c r="B68" t="s">
        <v>35</v>
      </c>
      <c r="C68">
        <v>2.7</v>
      </c>
      <c r="D68">
        <v>0.75</v>
      </c>
      <c r="E68">
        <f t="shared" si="5"/>
        <v>165.93599999999998</v>
      </c>
      <c r="F68" s="8">
        <f t="shared" si="6"/>
        <v>0.9</v>
      </c>
      <c r="G68" s="12">
        <f>Glassoorten[[#This Row],[Zontoetredingsfactor]]*Glassoorten[[#This Row],[solar irradiation '[kWh/m2']
heating season]]*Glassoorten[[#This Row],[Solar access]]*-3.6/1000</f>
        <v>-0.40322448</v>
      </c>
    </row>
    <row r="69" spans="2:9">
      <c r="B69" s="15" t="s">
        <v>36</v>
      </c>
      <c r="C69" s="15">
        <v>1.6</v>
      </c>
      <c r="D69" s="86">
        <f>AVERAGE(D68,D70)</f>
        <v>0.67500000000000004</v>
      </c>
      <c r="E69">
        <f t="shared" si="5"/>
        <v>165.93599999999998</v>
      </c>
      <c r="F69" s="8">
        <f t="shared" si="6"/>
        <v>0.9</v>
      </c>
      <c r="G69" s="12">
        <f>Glassoorten[[#This Row],[Zontoetredingsfactor]]*Glassoorten[[#This Row],[solar irradiation '[kWh/m2']
heating season]]*Glassoorten[[#This Row],[Solar access]]*-3.6/1000</f>
        <v>-0.36290203200000004</v>
      </c>
    </row>
    <row r="70" spans="2:9">
      <c r="B70" s="15" t="s">
        <v>38</v>
      </c>
      <c r="C70" s="15">
        <v>1.2</v>
      </c>
      <c r="D70" s="178">
        <v>0.6</v>
      </c>
      <c r="E70">
        <f t="shared" si="5"/>
        <v>165.93599999999998</v>
      </c>
      <c r="F70" s="8">
        <f t="shared" si="6"/>
        <v>0.9</v>
      </c>
      <c r="G70" s="177">
        <f>Glassoorten[[#This Row],[Zontoetredingsfactor]]*Glassoorten[[#This Row],[solar irradiation '[kWh/m2']
heating season]]*Glassoorten[[#This Row],[Solar access]]*-3.6/1000</f>
        <v>-0.32257958399999997</v>
      </c>
    </row>
    <row r="71" spans="2:9">
      <c r="B71" s="15" t="s">
        <v>37</v>
      </c>
      <c r="C71" s="15">
        <v>0.8</v>
      </c>
      <c r="D71" s="86">
        <v>0.4</v>
      </c>
      <c r="E71">
        <f t="shared" si="5"/>
        <v>165.93599999999998</v>
      </c>
      <c r="F71" s="8">
        <f t="shared" si="6"/>
        <v>0.9</v>
      </c>
      <c r="G71" s="12">
        <f>Glassoorten[[#This Row],[Zontoetredingsfactor]]*Glassoorten[[#This Row],[solar irradiation '[kWh/m2']
heating season]]*Glassoorten[[#This Row],[Solar access]]*-3.6/1000</f>
        <v>-0.21505305599999999</v>
      </c>
    </row>
    <row r="73" spans="2:9" ht="23.5">
      <c r="B73" s="182" t="s">
        <v>277</v>
      </c>
    </row>
    <row r="75" spans="2:9">
      <c r="B75" s="18" t="s">
        <v>256</v>
      </c>
      <c r="C75" s="18" t="s">
        <v>253</v>
      </c>
      <c r="D75" s="18" t="s">
        <v>254</v>
      </c>
      <c r="E75" s="18" t="s">
        <v>255</v>
      </c>
      <c r="F75" s="18"/>
    </row>
    <row r="76" spans="2:9">
      <c r="B76" s="15" t="s">
        <v>104</v>
      </c>
      <c r="C76" s="8">
        <v>0.25</v>
      </c>
      <c r="D76" s="60">
        <v>0.9</v>
      </c>
      <c r="E76" s="37">
        <v>300.76319999999998</v>
      </c>
      <c r="F76" s="18"/>
    </row>
    <row r="77" spans="2:9">
      <c r="B77" s="15" t="s">
        <v>107</v>
      </c>
      <c r="C77" s="8">
        <v>0.25</v>
      </c>
      <c r="D77" s="60">
        <v>0.9</v>
      </c>
      <c r="E77" s="37">
        <v>141.72239999999999</v>
      </c>
      <c r="F77" s="18"/>
    </row>
    <row r="78" spans="2:9">
      <c r="B78" s="15" t="s">
        <v>108</v>
      </c>
      <c r="C78" s="8">
        <v>0.25</v>
      </c>
      <c r="D78" s="60">
        <v>0.9</v>
      </c>
      <c r="E78" s="37">
        <v>77.200800000000001</v>
      </c>
      <c r="F78" s="18"/>
    </row>
    <row r="79" spans="2:9">
      <c r="B79" s="15" t="s">
        <v>109</v>
      </c>
      <c r="C79" s="8">
        <v>0.25</v>
      </c>
      <c r="D79" s="60">
        <v>0.9</v>
      </c>
      <c r="E79" s="37">
        <v>144.05760000000001</v>
      </c>
      <c r="F79" s="18"/>
    </row>
    <row r="80" spans="2:9"/>
    <row r="81" spans="2:10" ht="23.5">
      <c r="B81" s="182" t="s">
        <v>278</v>
      </c>
    </row>
    <row r="83" spans="2:10">
      <c r="B83" t="s">
        <v>94</v>
      </c>
      <c r="C83" t="s">
        <v>198</v>
      </c>
      <c r="D83" t="s">
        <v>224</v>
      </c>
      <c r="E83" t="s">
        <v>225</v>
      </c>
      <c r="F83" t="s">
        <v>242</v>
      </c>
      <c r="G83" s="64" t="s">
        <v>118</v>
      </c>
      <c r="H83" t="s">
        <v>244</v>
      </c>
    </row>
    <row r="84" spans="2:10">
      <c r="B84" t="s">
        <v>196</v>
      </c>
      <c r="C84" t="s">
        <v>96</v>
      </c>
      <c r="D84" s="1">
        <v>0</v>
      </c>
      <c r="E84" s="1">
        <v>0</v>
      </c>
      <c r="F84">
        <v>0</v>
      </c>
      <c r="G84" s="4" cm="1">
        <f t="array" ref="G84">VentilatieKentallen[[#This Row],[Ventilatiedebiet woning]]/3600*Ventilatiedebiet[Cp lucht '[J/m3K']]</f>
        <v>0</v>
      </c>
      <c r="H84" s="166">
        <f>VentilatieKentallen[[#This Row],[Warmteverlies]]*(BinnenTempTheoretisch-BuitenTempTheoretisch)*StookseizoenTheoretisch*3.6/10^6</f>
        <v>0</v>
      </c>
    </row>
    <row r="85" spans="2:10">
      <c r="B85" t="s">
        <v>197</v>
      </c>
      <c r="C85" t="s">
        <v>96</v>
      </c>
      <c r="D85" s="1">
        <v>0</v>
      </c>
      <c r="E85" s="1">
        <v>0</v>
      </c>
      <c r="F85" cm="1">
        <f t="array" ref="F85">Ventilatiedebiet[Ventilatiedebiet per woning]*(1-VentilatieKentallen[[#This Row],[Rendement warmteterugwinning]])*(1-VentilatieKentallen[[#This Row],[reductie draaiuren]])</f>
        <v>51.3</v>
      </c>
      <c r="G85" s="4" cm="1">
        <f t="array" ref="G85">VentilatieKentallen[[#This Row],[Ventilatiedebiet woning]]/3600*Ventilatiedebiet[Cp lucht '[J/m3K']]</f>
        <v>17.5275</v>
      </c>
      <c r="H85" s="166">
        <f>VentilatieKentallen[[#This Row],[Warmteverlies]]*(BinnenTempTheoretisch-BuitenTempTheoretisch)*StookseizoenTheoretisch*3.6/10^6</f>
        <v>3.3177252283200001</v>
      </c>
      <c r="J85" s="166"/>
    </row>
    <row r="86" spans="2:10">
      <c r="B86" t="s">
        <v>197</v>
      </c>
      <c r="C86" t="s">
        <v>199</v>
      </c>
      <c r="D86" s="1">
        <v>0</v>
      </c>
      <c r="E86" s="1">
        <f>1-(28.4/51.3)</f>
        <v>0.4463937621832359</v>
      </c>
      <c r="F86" s="50" cm="1">
        <f t="array" ref="F86">Ventilatiedebiet[Ventilatiedebiet per woning]*(1-VentilatieKentallen[[#This Row],[Rendement warmteterugwinning]])*(1-VentilatieKentallen[[#This Row],[reductie draaiuren]])</f>
        <v>28.4</v>
      </c>
      <c r="G86" s="4" cm="1">
        <f t="array" ref="G86">VentilatieKentallen[[#This Row],[Ventilatiedebiet woning]]/3600*Ventilatiedebiet[Cp lucht '[J/m3K']]</f>
        <v>9.7033333333333314</v>
      </c>
      <c r="H86" s="166">
        <f>VentilatieKentallen[[#This Row],[Warmteverlies]]*(BinnenTempTheoretisch-BuitenTempTheoretisch)*StookseizoenTheoretisch*3.6/10^6</f>
        <v>1.8367133817599999</v>
      </c>
    </row>
    <row r="87" spans="2:10">
      <c r="B87" t="s">
        <v>300</v>
      </c>
      <c r="C87" t="s">
        <v>96</v>
      </c>
      <c r="D87" s="1">
        <v>0.7</v>
      </c>
      <c r="E87" s="1">
        <v>0</v>
      </c>
      <c r="F87" cm="1">
        <f t="array" ref="F87">Ventilatiedebiet[Ventilatiedebiet per woning]*(1-VentilatieKentallen[[#This Row],[Rendement warmteterugwinning]])*(1-VentilatieKentallen[[#This Row],[reductie draaiuren]])</f>
        <v>15.39</v>
      </c>
      <c r="G87" s="4" cm="1">
        <f t="array" ref="G87">VentilatieKentallen[[#This Row],[Ventilatiedebiet woning]]/3600*Ventilatiedebiet[Cp lucht '[J/m3K']]</f>
        <v>5.2582500000000003</v>
      </c>
      <c r="H87" s="166">
        <f>VentilatieKentallen[[#This Row],[Warmteverlies]]*(BinnenTempTheoretisch-BuitenTempTheoretisch)*StookseizoenTheoretisch*3.6/10^6</f>
        <v>0.99531756849600017</v>
      </c>
    </row>
    <row r="88" spans="2:10">
      <c r="B88" t="s">
        <v>300</v>
      </c>
      <c r="C88" t="s">
        <v>199</v>
      </c>
      <c r="D88" s="1">
        <v>0.7</v>
      </c>
      <c r="E88" s="1">
        <f>1-(28.4/51.3)</f>
        <v>0.4463937621832359</v>
      </c>
      <c r="F88" cm="1">
        <f t="array" ref="F88">Ventilatiedebiet[Ventilatiedebiet per woning]*(1-VentilatieKentallen[[#This Row],[Rendement warmteterugwinning]])*(1-VentilatieKentallen[[#This Row],[reductie draaiuren]])</f>
        <v>8.52</v>
      </c>
      <c r="G88" s="4" cm="1">
        <f t="array" ref="G88">VentilatieKentallen[[#This Row],[Ventilatiedebiet woning]]/3600*Ventilatiedebiet[Cp lucht '[J/m3K']]</f>
        <v>2.911</v>
      </c>
      <c r="H88" s="166">
        <f>VentilatieKentallen[[#This Row],[Warmteverlies]]*(BinnenTempTheoretisch-BuitenTempTheoretisch)*StookseizoenTheoretisch*3.6/10^6</f>
        <v>0.55101401452800003</v>
      </c>
    </row>
    <row r="91" spans="2:10">
      <c r="B91" t="s">
        <v>223</v>
      </c>
      <c r="C91" s="64" t="s">
        <v>243</v>
      </c>
    </row>
    <row r="92" spans="2:10" ht="15" thickBot="1">
      <c r="B92" s="74">
        <v>51.3</v>
      </c>
      <c r="C92" s="66">
        <v>1230</v>
      </c>
      <c r="E92" t="s">
        <v>311</v>
      </c>
    </row>
    <row r="94" spans="2:10">
      <c r="B94" t="s">
        <v>28</v>
      </c>
      <c r="C94" t="s">
        <v>233</v>
      </c>
      <c r="D94" t="s">
        <v>231</v>
      </c>
    </row>
    <row r="95" spans="2:10">
      <c r="B95" s="158" t="s">
        <v>234</v>
      </c>
      <c r="C95" s="162">
        <f>8760/2</f>
        <v>4380</v>
      </c>
      <c r="D95" s="163" t="s">
        <v>233</v>
      </c>
    </row>
    <row r="98" spans="2:6">
      <c r="B98" t="s">
        <v>230</v>
      </c>
      <c r="C98" t="s">
        <v>232</v>
      </c>
      <c r="D98" t="s">
        <v>231</v>
      </c>
    </row>
    <row r="99" spans="2:6">
      <c r="B99" t="s">
        <v>127</v>
      </c>
      <c r="C99" s="1">
        <v>0.69</v>
      </c>
      <c r="D99" t="s">
        <v>6</v>
      </c>
    </row>
    <row r="100" spans="2:6">
      <c r="B100" t="s">
        <v>128</v>
      </c>
      <c r="C100">
        <v>0.1</v>
      </c>
      <c r="D100" t="s">
        <v>129</v>
      </c>
    </row>
    <row r="102" spans="2:6">
      <c r="B102" t="s">
        <v>130</v>
      </c>
      <c r="C102">
        <f>C99*C100*C95</f>
        <v>302.21999999999997</v>
      </c>
      <c r="D102" t="s">
        <v>106</v>
      </c>
    </row>
    <row r="103" spans="2:6">
      <c r="B103" t="s">
        <v>130</v>
      </c>
      <c r="C103" s="12">
        <f>C102*3.6/1000</f>
        <v>1.0879920000000001</v>
      </c>
      <c r="D103" t="s">
        <v>235</v>
      </c>
    </row>
    <row r="105" spans="2:6">
      <c r="B105" s="64"/>
      <c r="C105" s="172"/>
    </row>
    <row r="106" spans="2:6">
      <c r="B106" s="18" t="s">
        <v>113</v>
      </c>
      <c r="C106" s="18" t="s">
        <v>246</v>
      </c>
      <c r="D106" s="172" t="s">
        <v>245</v>
      </c>
    </row>
    <row r="107" spans="2:6">
      <c r="B107" s="18" t="s">
        <v>71</v>
      </c>
      <c r="C107" s="187">
        <v>50</v>
      </c>
      <c r="D107" s="172" t="s">
        <v>69</v>
      </c>
      <c r="F107" t="s">
        <v>304</v>
      </c>
    </row>
    <row r="108" spans="2:6" ht="16.5">
      <c r="B108" s="18" t="s">
        <v>73</v>
      </c>
      <c r="C108" s="167">
        <v>1230</v>
      </c>
      <c r="D108" s="172" t="s">
        <v>74</v>
      </c>
    </row>
    <row r="109" spans="2:6">
      <c r="B109" s="18" t="s">
        <v>118</v>
      </c>
      <c r="C109" s="168">
        <f>C108*C107/3600</f>
        <v>17.083333333333332</v>
      </c>
      <c r="D109" s="172" t="s">
        <v>47</v>
      </c>
    </row>
    <row r="110" spans="2:6">
      <c r="B110" s="98" t="s">
        <v>190</v>
      </c>
      <c r="C110" s="169" cm="1">
        <f t="array" ref="C110">C109*Stookseizoen[uren]*13*3.6/10^6</f>
        <v>3.5018099999999999</v>
      </c>
      <c r="D110" s="173" t="s">
        <v>111</v>
      </c>
    </row>
    <row r="113" spans="2:9">
      <c r="B113" s="64"/>
      <c r="C113" s="64"/>
      <c r="G113" s="172"/>
    </row>
    <row r="114" spans="2:9" ht="15" thickBot="1">
      <c r="B114" s="3" t="s">
        <v>112</v>
      </c>
      <c r="C114" s="170" t="s">
        <v>10</v>
      </c>
      <c r="D114" s="170" t="s">
        <v>15</v>
      </c>
      <c r="E114" s="170" t="s">
        <v>13</v>
      </c>
      <c r="F114" s="170" t="s">
        <v>176</v>
      </c>
      <c r="G114" s="172" t="s">
        <v>231</v>
      </c>
    </row>
    <row r="115" spans="2:9" ht="16.5">
      <c r="B115" s="18" t="s">
        <v>66</v>
      </c>
      <c r="C115" s="171">
        <v>1.6</v>
      </c>
      <c r="D115" s="186">
        <v>1.2</v>
      </c>
      <c r="E115" s="186">
        <v>0.7</v>
      </c>
      <c r="F115" s="186">
        <v>0.4</v>
      </c>
      <c r="G115" s="172" t="s">
        <v>67</v>
      </c>
      <c r="I115" t="s">
        <v>305</v>
      </c>
    </row>
    <row r="116" spans="2:9">
      <c r="B116" s="18" t="s">
        <v>182</v>
      </c>
      <c r="C116" s="168">
        <f>3.6*(C115/10^0.7)*0.75</f>
        <v>0.86195332006655601</v>
      </c>
      <c r="D116" s="168">
        <f>3.6*(D115/10^0.7)*0.75</f>
        <v>0.64646499004991687</v>
      </c>
      <c r="E116" s="168">
        <f>3.6*(E115/10^0.7)*0.75</f>
        <v>0.3771045775291183</v>
      </c>
      <c r="F116" s="168">
        <f>3.6*(F115/10^0.7)*0.75</f>
        <v>0.215488330016639</v>
      </c>
      <c r="G116" s="172" t="s">
        <v>247</v>
      </c>
      <c r="I116" t="s">
        <v>306</v>
      </c>
    </row>
    <row r="117" spans="2:9" ht="16.5">
      <c r="B117" s="167" t="s">
        <v>73</v>
      </c>
      <c r="C117" s="167">
        <v>1230</v>
      </c>
      <c r="D117" s="167">
        <v>1231</v>
      </c>
      <c r="E117" s="167">
        <v>1232</v>
      </c>
      <c r="F117" s="167">
        <v>1233</v>
      </c>
      <c r="G117" s="172" t="s">
        <v>74</v>
      </c>
    </row>
    <row r="118" spans="2:9">
      <c r="B118" s="18" t="s">
        <v>118</v>
      </c>
      <c r="C118" s="168">
        <f>C117*C116/3600</f>
        <v>0.29450071768940661</v>
      </c>
      <c r="D118" s="168">
        <f t="shared" ref="D118:F118" si="7">D117*D116/3600</f>
        <v>0.22105511187540211</v>
      </c>
      <c r="E118" s="168">
        <f t="shared" si="7"/>
        <v>0.12905356653218714</v>
      </c>
      <c r="F118" s="168">
        <f t="shared" si="7"/>
        <v>7.3804753030698861E-2</v>
      </c>
      <c r="G118" s="172" t="s">
        <v>248</v>
      </c>
    </row>
    <row r="119" spans="2:9">
      <c r="B119" s="98" t="s">
        <v>190</v>
      </c>
      <c r="C119" s="126" cm="1">
        <f t="array" ref="C119">C118*Stookseizoen[uren]*13*3.6/10^6</f>
        <v>6.0367935114845318E-2</v>
      </c>
      <c r="D119" s="126" cm="1">
        <f t="array" ref="D119">D118*Stookseizoen[uren]*13*3.6/10^6</f>
        <v>4.5312761052667426E-2</v>
      </c>
      <c r="E119" s="126" cm="1">
        <f t="array" ref="E119">E118*Stookseizoen[uren]*13*3.6/10^6</f>
        <v>2.6453916282033845E-2</v>
      </c>
      <c r="F119" s="126" cm="1">
        <f t="array" ref="F119">F118*Stookseizoen[uren]*13*3.6/10^6</f>
        <v>1.5128793495244775E-2</v>
      </c>
      <c r="G119" s="174" t="s">
        <v>249</v>
      </c>
    </row>
  </sheetData>
  <phoneticPr fontId="5" type="noConversion"/>
  <dataValidations disablePrompts="1" count="1">
    <dataValidation type="list" allowBlank="1" showInputMessage="1" showErrorMessage="1" sqref="C12:G13" xr:uid="{57FA6990-9447-4F88-ADD5-640BCD3BF0B4}">
      <formula1>$B$66:$B$71</formula1>
    </dataValidation>
  </dataValidations>
  <pageMargins left="0.7" right="0.7" top="0.75" bottom="0.75" header="0.3" footer="0.3"/>
  <pageSetup paperSize="9" orientation="portrait" r:id="rId1"/>
  <drawing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897F7-EC5A-4F21-8F95-5CAD6024CE25}">
  <dimension ref="C2:E22"/>
  <sheetViews>
    <sheetView workbookViewId="0">
      <selection activeCell="C19" sqref="C19"/>
    </sheetView>
  </sheetViews>
  <sheetFormatPr defaultRowHeight="14.5"/>
  <cols>
    <col min="3" max="3" width="42.81640625" bestFit="1" customWidth="1"/>
    <col min="4" max="4" width="32.7265625" customWidth="1"/>
    <col min="5" max="5" width="37.54296875" customWidth="1"/>
  </cols>
  <sheetData>
    <row r="2" spans="3:5">
      <c r="C2" t="s">
        <v>293</v>
      </c>
      <c r="D2" t="s">
        <v>292</v>
      </c>
      <c r="E2" t="s">
        <v>291</v>
      </c>
    </row>
    <row r="3" spans="3:5">
      <c r="C3" s="49" t="s">
        <v>279</v>
      </c>
      <c r="D3">
        <v>744</v>
      </c>
      <c r="E3">
        <v>2.61</v>
      </c>
    </row>
    <row r="4" spans="3:5">
      <c r="C4" s="49" t="s">
        <v>280</v>
      </c>
      <c r="D4">
        <v>672</v>
      </c>
      <c r="E4">
        <v>4.82</v>
      </c>
    </row>
    <row r="5" spans="3:5">
      <c r="C5" s="49" t="s">
        <v>281</v>
      </c>
      <c r="D5">
        <v>744</v>
      </c>
      <c r="E5">
        <v>5.91</v>
      </c>
    </row>
    <row r="6" spans="3:5">
      <c r="C6" s="49" t="s">
        <v>282</v>
      </c>
      <c r="D6">
        <v>720</v>
      </c>
      <c r="E6">
        <v>9.32</v>
      </c>
    </row>
    <row r="7" spans="3:5">
      <c r="C7" s="49" t="s">
        <v>283</v>
      </c>
      <c r="D7">
        <v>744</v>
      </c>
      <c r="E7">
        <v>14.73</v>
      </c>
    </row>
    <row r="8" spans="3:5">
      <c r="C8" s="49" t="s">
        <v>284</v>
      </c>
      <c r="D8">
        <v>720</v>
      </c>
      <c r="E8">
        <v>16.12</v>
      </c>
    </row>
    <row r="9" spans="3:5">
      <c r="C9" s="49" t="s">
        <v>285</v>
      </c>
      <c r="D9">
        <v>744</v>
      </c>
      <c r="E9">
        <v>18.05</v>
      </c>
    </row>
    <row r="10" spans="3:5">
      <c r="C10" s="49" t="s">
        <v>286</v>
      </c>
      <c r="D10">
        <v>744</v>
      </c>
      <c r="E10">
        <v>18.48</v>
      </c>
    </row>
    <row r="11" spans="3:5">
      <c r="C11" s="49" t="s">
        <v>287</v>
      </c>
      <c r="D11">
        <v>720</v>
      </c>
      <c r="E11">
        <v>15.63</v>
      </c>
    </row>
    <row r="12" spans="3:5">
      <c r="C12" s="49" t="s">
        <v>288</v>
      </c>
      <c r="D12">
        <v>744</v>
      </c>
      <c r="E12">
        <v>10.4</v>
      </c>
    </row>
    <row r="13" spans="3:5">
      <c r="C13" s="49" t="s">
        <v>289</v>
      </c>
      <c r="D13">
        <v>720</v>
      </c>
      <c r="E13">
        <v>7.99</v>
      </c>
    </row>
    <row r="14" spans="3:5">
      <c r="C14" s="49" t="s">
        <v>290</v>
      </c>
      <c r="D14">
        <v>744</v>
      </c>
      <c r="E14">
        <v>4</v>
      </c>
    </row>
    <row r="17" spans="3:5">
      <c r="C17" t="s">
        <v>28</v>
      </c>
      <c r="D17" t="s">
        <v>296</v>
      </c>
      <c r="E17" t="s">
        <v>231</v>
      </c>
    </row>
    <row r="18" spans="3:5">
      <c r="C18" t="s">
        <v>294</v>
      </c>
      <c r="D18" t="s">
        <v>82</v>
      </c>
    </row>
    <row r="19" spans="3:5">
      <c r="C19" t="s">
        <v>295</v>
      </c>
      <c r="D19" t="s">
        <v>83</v>
      </c>
    </row>
    <row r="20" spans="3:5">
      <c r="C20" t="s">
        <v>48</v>
      </c>
      <c r="D20">
        <f>SUM(D12:D14,D3:D5)</f>
        <v>4368</v>
      </c>
      <c r="E20" t="s">
        <v>233</v>
      </c>
    </row>
    <row r="21" spans="3:5">
      <c r="C21" t="s">
        <v>297</v>
      </c>
      <c r="D21" s="185">
        <f>(SUMPRODUCT(E12:E14,D12:D14)+SUMPRODUCT(E3:E5,D3:D5))/D20</f>
        <v>5.9625274725274728</v>
      </c>
      <c r="E21" t="s">
        <v>31</v>
      </c>
    </row>
    <row r="22" spans="3:5">
      <c r="C22" t="s">
        <v>298</v>
      </c>
      <c r="D22" s="11"/>
      <c r="E22" t="s">
        <v>31</v>
      </c>
    </row>
  </sheetData>
  <phoneticPr fontId="5" type="noConversion"/>
  <pageMargins left="0.7" right="0.7" top="0.75" bottom="0.75" header="0.3" footer="0.3"/>
  <pageSetup paperSize="9"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9DFF-2EBA-413E-B671-A5214BDDFFF3}">
  <dimension ref="A1:Z77"/>
  <sheetViews>
    <sheetView workbookViewId="0">
      <selection activeCell="B27" sqref="B27"/>
    </sheetView>
  </sheetViews>
  <sheetFormatPr defaultRowHeight="14.5"/>
  <cols>
    <col min="1" max="1" width="22.54296875" customWidth="1"/>
    <col min="2" max="2" width="31.54296875" bestFit="1" customWidth="1"/>
    <col min="3" max="9" width="9.453125" customWidth="1"/>
    <col min="10" max="11" width="4" customWidth="1"/>
    <col min="12" max="13" width="4" bestFit="1" customWidth="1"/>
    <col min="14" max="17" width="4" customWidth="1"/>
    <col min="18" max="23" width="4" bestFit="1" customWidth="1"/>
    <col min="24" max="24" width="2" bestFit="1" customWidth="1"/>
    <col min="25" max="25" width="4" bestFit="1" customWidth="1"/>
    <col min="26" max="26" width="5.54296875" bestFit="1" customWidth="1"/>
    <col min="27" max="30" width="4" bestFit="1" customWidth="1"/>
  </cols>
  <sheetData>
    <row r="1" spans="1:26" ht="15" thickBot="1">
      <c r="A1" s="112" t="s">
        <v>221</v>
      </c>
      <c r="B1" s="114">
        <v>17</v>
      </c>
      <c r="C1" s="114">
        <v>18</v>
      </c>
      <c r="D1" s="114">
        <v>19</v>
      </c>
      <c r="E1" s="114">
        <v>20</v>
      </c>
      <c r="F1" s="114">
        <v>21</v>
      </c>
      <c r="G1" s="114">
        <v>22</v>
      </c>
      <c r="H1" s="114">
        <v>23</v>
      </c>
      <c r="I1" s="114">
        <v>24</v>
      </c>
    </row>
    <row r="2" spans="1:26">
      <c r="A2" s="12">
        <v>0.5</v>
      </c>
      <c r="B2" s="12">
        <v>17</v>
      </c>
      <c r="C2" s="12">
        <v>18</v>
      </c>
      <c r="D2" s="12">
        <v>19</v>
      </c>
      <c r="E2" s="12">
        <v>20</v>
      </c>
      <c r="F2" s="12">
        <v>21</v>
      </c>
      <c r="G2" s="12">
        <v>22</v>
      </c>
      <c r="H2" s="12">
        <v>23</v>
      </c>
      <c r="I2" s="12">
        <v>24</v>
      </c>
    </row>
    <row r="3" spans="1:26">
      <c r="A3" s="12">
        <v>0.6</v>
      </c>
      <c r="B3" s="12">
        <f t="shared" ref="B3:I3" si="0">(B7-B2)/5+B2</f>
        <v>17</v>
      </c>
      <c r="C3" s="12">
        <f t="shared" si="0"/>
        <v>18</v>
      </c>
      <c r="D3" s="12">
        <f t="shared" si="0"/>
        <v>19</v>
      </c>
      <c r="E3" s="12">
        <f t="shared" si="0"/>
        <v>20</v>
      </c>
      <c r="F3" s="12">
        <f t="shared" si="0"/>
        <v>21</v>
      </c>
      <c r="G3" s="12">
        <f t="shared" si="0"/>
        <v>22</v>
      </c>
      <c r="H3" s="12">
        <f t="shared" si="0"/>
        <v>23</v>
      </c>
      <c r="I3" s="12">
        <f t="shared" si="0"/>
        <v>24</v>
      </c>
    </row>
    <row r="4" spans="1:26">
      <c r="A4" s="12">
        <v>0.7</v>
      </c>
      <c r="B4" s="12">
        <f t="shared" ref="B4:I4" si="1">(B7-B2)/5+B3</f>
        <v>17</v>
      </c>
      <c r="C4" s="12">
        <f t="shared" si="1"/>
        <v>18</v>
      </c>
      <c r="D4" s="12">
        <f t="shared" si="1"/>
        <v>19</v>
      </c>
      <c r="E4" s="12">
        <f t="shared" si="1"/>
        <v>20</v>
      </c>
      <c r="F4" s="12">
        <f t="shared" si="1"/>
        <v>21</v>
      </c>
      <c r="G4" s="12">
        <f t="shared" si="1"/>
        <v>22</v>
      </c>
      <c r="H4" s="12">
        <f t="shared" si="1"/>
        <v>23</v>
      </c>
      <c r="I4" s="12">
        <f t="shared" si="1"/>
        <v>24</v>
      </c>
    </row>
    <row r="5" spans="1:26">
      <c r="A5" s="12">
        <v>0.8</v>
      </c>
      <c r="B5" s="12">
        <f t="shared" ref="B5:I5" si="2">(B7-B2)/5+B4</f>
        <v>17</v>
      </c>
      <c r="C5" s="12">
        <f t="shared" si="2"/>
        <v>18</v>
      </c>
      <c r="D5" s="12">
        <f t="shared" si="2"/>
        <v>19</v>
      </c>
      <c r="E5" s="12">
        <f t="shared" si="2"/>
        <v>20</v>
      </c>
      <c r="F5" s="12">
        <f t="shared" si="2"/>
        <v>21</v>
      </c>
      <c r="G5" s="12">
        <f t="shared" si="2"/>
        <v>22</v>
      </c>
      <c r="H5" s="12">
        <f t="shared" si="2"/>
        <v>23</v>
      </c>
      <c r="I5" s="12">
        <f t="shared" si="2"/>
        <v>24</v>
      </c>
    </row>
    <row r="6" spans="1:26">
      <c r="A6" s="12">
        <v>0.9</v>
      </c>
      <c r="B6" s="12">
        <f t="shared" ref="B6:I6" si="3">(B7-B2)/5+B5</f>
        <v>17</v>
      </c>
      <c r="C6" s="12">
        <f t="shared" si="3"/>
        <v>18</v>
      </c>
      <c r="D6" s="12">
        <f t="shared" si="3"/>
        <v>19</v>
      </c>
      <c r="E6" s="12">
        <f t="shared" si="3"/>
        <v>20</v>
      </c>
      <c r="F6" s="12">
        <f t="shared" si="3"/>
        <v>21</v>
      </c>
      <c r="G6" s="12">
        <f t="shared" si="3"/>
        <v>22</v>
      </c>
      <c r="H6" s="12">
        <f t="shared" si="3"/>
        <v>23</v>
      </c>
      <c r="I6" s="12">
        <f t="shared" si="3"/>
        <v>24</v>
      </c>
    </row>
    <row r="7" spans="1:26">
      <c r="A7" s="12">
        <v>1</v>
      </c>
      <c r="B7" s="12">
        <v>17</v>
      </c>
      <c r="C7" s="12">
        <v>18</v>
      </c>
      <c r="D7" s="12">
        <v>19</v>
      </c>
      <c r="E7" s="12">
        <v>20</v>
      </c>
      <c r="F7" s="12">
        <v>21</v>
      </c>
      <c r="G7" s="12">
        <v>22</v>
      </c>
      <c r="H7" s="12">
        <v>23</v>
      </c>
      <c r="I7" s="12">
        <v>24</v>
      </c>
      <c r="Z7">
        <v>2.8</v>
      </c>
    </row>
    <row r="8" spans="1:26">
      <c r="A8" s="12">
        <v>1.1000000000000001</v>
      </c>
      <c r="B8" s="12">
        <f t="shared" ref="B8:I8" si="4">(B12-B7)/5+B7</f>
        <v>17</v>
      </c>
      <c r="C8" s="12">
        <f t="shared" si="4"/>
        <v>18</v>
      </c>
      <c r="D8" s="12">
        <f t="shared" si="4"/>
        <v>19</v>
      </c>
      <c r="E8" s="12">
        <f t="shared" si="4"/>
        <v>19.997366582912473</v>
      </c>
      <c r="F8" s="12">
        <f t="shared" si="4"/>
        <v>20.983915991957694</v>
      </c>
      <c r="G8" s="12">
        <f t="shared" si="4"/>
        <v>21.973125615164872</v>
      </c>
      <c r="H8" s="12">
        <f t="shared" si="4"/>
        <v>22.963567114020254</v>
      </c>
      <c r="I8" s="12">
        <f t="shared" si="4"/>
        <v>23.954907511426143</v>
      </c>
    </row>
    <row r="9" spans="1:26">
      <c r="A9" s="12">
        <v>1.2</v>
      </c>
      <c r="B9" s="12">
        <f t="shared" ref="B9:I9" si="5">(B12-B7)/5+B8</f>
        <v>17</v>
      </c>
      <c r="C9" s="12">
        <f t="shared" si="5"/>
        <v>18</v>
      </c>
      <c r="D9" s="12">
        <f t="shared" si="5"/>
        <v>19</v>
      </c>
      <c r="E9" s="12">
        <f t="shared" si="5"/>
        <v>19.994733165824947</v>
      </c>
      <c r="F9" s="12">
        <f t="shared" si="5"/>
        <v>20.967831983915389</v>
      </c>
      <c r="G9" s="12">
        <f t="shared" si="5"/>
        <v>21.946251230329743</v>
      </c>
      <c r="H9" s="12">
        <f t="shared" si="5"/>
        <v>22.927134228040508</v>
      </c>
      <c r="I9" s="12">
        <f t="shared" si="5"/>
        <v>23.909815022852285</v>
      </c>
    </row>
    <row r="10" spans="1:26">
      <c r="A10" s="12">
        <v>1.3</v>
      </c>
      <c r="B10" s="12">
        <f t="shared" ref="B10:I10" si="6">(B12-B7)/5+B9</f>
        <v>17</v>
      </c>
      <c r="C10" s="12">
        <f t="shared" si="6"/>
        <v>18</v>
      </c>
      <c r="D10" s="12">
        <f t="shared" si="6"/>
        <v>19</v>
      </c>
      <c r="E10" s="12">
        <f t="shared" si="6"/>
        <v>19.99209974873742</v>
      </c>
      <c r="F10" s="12">
        <f t="shared" si="6"/>
        <v>20.951747975873083</v>
      </c>
      <c r="G10" s="12">
        <f t="shared" si="6"/>
        <v>21.919376845494615</v>
      </c>
      <c r="H10" s="12">
        <f t="shared" si="6"/>
        <v>22.890701342060762</v>
      </c>
      <c r="I10" s="12">
        <f t="shared" si="6"/>
        <v>23.864722534278428</v>
      </c>
    </row>
    <row r="11" spans="1:26">
      <c r="A11" s="12">
        <v>1.4</v>
      </c>
      <c r="B11" s="12">
        <f t="shared" ref="B11:I11" si="7">(B12-B7)/5+B10</f>
        <v>17</v>
      </c>
      <c r="C11" s="12">
        <f t="shared" si="7"/>
        <v>18</v>
      </c>
      <c r="D11" s="12">
        <f t="shared" si="7"/>
        <v>19</v>
      </c>
      <c r="E11" s="12">
        <f t="shared" si="7"/>
        <v>19.989466331649894</v>
      </c>
      <c r="F11" s="12">
        <f t="shared" si="7"/>
        <v>20.935663967830777</v>
      </c>
      <c r="G11" s="12">
        <f t="shared" si="7"/>
        <v>21.892502460659486</v>
      </c>
      <c r="H11" s="12">
        <f t="shared" si="7"/>
        <v>22.854268456081016</v>
      </c>
      <c r="I11" s="12">
        <f t="shared" si="7"/>
        <v>23.819630045704571</v>
      </c>
    </row>
    <row r="12" spans="1:26">
      <c r="A12" s="12">
        <v>1.5</v>
      </c>
      <c r="B12" s="12">
        <v>17</v>
      </c>
      <c r="C12" s="12">
        <v>18</v>
      </c>
      <c r="D12" s="12">
        <v>19</v>
      </c>
      <c r="E12" s="12">
        <v>19.986832914562363</v>
      </c>
      <c r="F12" s="12">
        <v>20.919579959788464</v>
      </c>
      <c r="G12" s="12">
        <v>21.865628075824354</v>
      </c>
      <c r="H12" s="12">
        <v>22.817835570101263</v>
      </c>
      <c r="I12" s="12">
        <v>23.774537557130706</v>
      </c>
    </row>
    <row r="13" spans="1:26">
      <c r="A13" s="12">
        <v>1.6</v>
      </c>
      <c r="B13" s="12">
        <f t="shared" ref="B13:I13" si="8">(B17-B12)/5+B12</f>
        <v>16.991449376395927</v>
      </c>
      <c r="C13" s="12">
        <f t="shared" si="8"/>
        <v>17.974537533689478</v>
      </c>
      <c r="D13" s="12">
        <f t="shared" si="8"/>
        <v>18.961413839076876</v>
      </c>
      <c r="E13" s="12">
        <f t="shared" si="8"/>
        <v>19.939589149283751</v>
      </c>
      <c r="F13" s="12">
        <f t="shared" si="8"/>
        <v>20.875637660334103</v>
      </c>
      <c r="G13" s="12">
        <f t="shared" si="8"/>
        <v>21.823094055485925</v>
      </c>
      <c r="H13" s="12">
        <f t="shared" si="8"/>
        <v>22.776102196581036</v>
      </c>
      <c r="I13" s="12">
        <f t="shared" si="8"/>
        <v>23.733222728966624</v>
      </c>
    </row>
    <row r="14" spans="1:26">
      <c r="A14" s="12">
        <v>1.7</v>
      </c>
      <c r="B14" s="12">
        <f t="shared" ref="B14:I14" si="9">(B17-B12)/5+B13</f>
        <v>16.982898752791854</v>
      </c>
      <c r="C14" s="12">
        <f t="shared" si="9"/>
        <v>17.949075067378956</v>
      </c>
      <c r="D14" s="12">
        <f t="shared" si="9"/>
        <v>18.922827678153752</v>
      </c>
      <c r="E14" s="12">
        <f t="shared" si="9"/>
        <v>19.892345384005139</v>
      </c>
      <c r="F14" s="12">
        <f t="shared" si="9"/>
        <v>20.831695360879742</v>
      </c>
      <c r="G14" s="12">
        <f t="shared" si="9"/>
        <v>21.780560035147495</v>
      </c>
      <c r="H14" s="12">
        <f t="shared" si="9"/>
        <v>22.734368823060809</v>
      </c>
      <c r="I14" s="12">
        <f t="shared" si="9"/>
        <v>23.691907900802541</v>
      </c>
    </row>
    <row r="15" spans="1:26">
      <c r="A15" s="12">
        <v>1.8</v>
      </c>
      <c r="B15" s="12">
        <f t="shared" ref="B15:I15" si="10">(B17-B12)/5+B14</f>
        <v>16.974348129187781</v>
      </c>
      <c r="C15" s="12">
        <f t="shared" si="10"/>
        <v>17.923612601068434</v>
      </c>
      <c r="D15" s="12">
        <f t="shared" si="10"/>
        <v>18.884241517230627</v>
      </c>
      <c r="E15" s="12">
        <f t="shared" si="10"/>
        <v>19.845101618726527</v>
      </c>
      <c r="F15" s="12">
        <f t="shared" si="10"/>
        <v>20.787753061425381</v>
      </c>
      <c r="G15" s="12">
        <f t="shared" si="10"/>
        <v>21.738026014809066</v>
      </c>
      <c r="H15" s="12">
        <f t="shared" si="10"/>
        <v>22.692635449540582</v>
      </c>
      <c r="I15" s="12">
        <f t="shared" si="10"/>
        <v>23.650593072638458</v>
      </c>
    </row>
    <row r="16" spans="1:26">
      <c r="A16" s="12">
        <v>1.9</v>
      </c>
      <c r="B16" s="12">
        <f t="shared" ref="B16:I16" si="11">(B17-B12)/5+B15</f>
        <v>16.965797505583708</v>
      </c>
      <c r="C16" s="12">
        <f t="shared" si="11"/>
        <v>17.898150134757913</v>
      </c>
      <c r="D16" s="12">
        <f t="shared" si="11"/>
        <v>18.845655356307503</v>
      </c>
      <c r="E16" s="12">
        <f t="shared" si="11"/>
        <v>19.797857853447915</v>
      </c>
      <c r="F16" s="12">
        <f t="shared" si="11"/>
        <v>20.743810761971019</v>
      </c>
      <c r="G16" s="12">
        <f t="shared" si="11"/>
        <v>21.695491994470636</v>
      </c>
      <c r="H16" s="12">
        <f t="shared" si="11"/>
        <v>22.650902076020355</v>
      </c>
      <c r="I16" s="12">
        <f t="shared" si="11"/>
        <v>23.609278244474375</v>
      </c>
    </row>
    <row r="17" spans="1:9">
      <c r="A17" s="12">
        <v>2</v>
      </c>
      <c r="B17" s="12">
        <v>16.957246881979643</v>
      </c>
      <c r="C17" s="12">
        <v>17.872687668447384</v>
      </c>
      <c r="D17" s="12">
        <v>18.807069195384372</v>
      </c>
      <c r="E17" s="12">
        <v>19.750614088169307</v>
      </c>
      <c r="F17" s="12">
        <v>20.699868462516658</v>
      </c>
      <c r="G17" s="12">
        <v>21.652957974132207</v>
      </c>
      <c r="H17" s="12">
        <v>22.609168702500128</v>
      </c>
      <c r="I17" s="12">
        <v>23.567963416310292</v>
      </c>
    </row>
    <row r="18" spans="1:9">
      <c r="A18" s="12">
        <v>2.1</v>
      </c>
      <c r="B18" s="12">
        <f t="shared" ref="B18:I18" si="12">(B22-B17)/5+B17</f>
        <v>16.919875194876198</v>
      </c>
      <c r="C18" s="12">
        <f t="shared" si="12"/>
        <v>17.839101797681206</v>
      </c>
      <c r="D18" s="12">
        <f t="shared" si="12"/>
        <v>18.774931482488434</v>
      </c>
      <c r="E18" s="12">
        <f t="shared" si="12"/>
        <v>19.719109771931958</v>
      </c>
      <c r="F18" s="12">
        <f t="shared" si="12"/>
        <v>20.668659295130276</v>
      </c>
      <c r="G18" s="12">
        <f t="shared" si="12"/>
        <v>21.622039384320665</v>
      </c>
      <c r="H18" s="12">
        <f t="shared" si="12"/>
        <v>22.578626733321489</v>
      </c>
      <c r="I18" s="12">
        <f t="shared" si="12"/>
        <v>23.537983923992879</v>
      </c>
    </row>
    <row r="19" spans="1:9">
      <c r="A19" s="12">
        <v>2.2000000000000002</v>
      </c>
      <c r="B19" s="12">
        <f t="shared" ref="B19:I19" si="13">(B22-B17)/5+B18</f>
        <v>16.882503507772753</v>
      </c>
      <c r="C19" s="12">
        <f t="shared" si="13"/>
        <v>17.805515926915028</v>
      </c>
      <c r="D19" s="12">
        <f t="shared" si="13"/>
        <v>18.742793769592495</v>
      </c>
      <c r="E19" s="12">
        <f t="shared" si="13"/>
        <v>19.687605455694609</v>
      </c>
      <c r="F19" s="12">
        <f t="shared" si="13"/>
        <v>20.637450127743893</v>
      </c>
      <c r="G19" s="12">
        <f t="shared" si="13"/>
        <v>21.591120794509123</v>
      </c>
      <c r="H19" s="12">
        <f t="shared" si="13"/>
        <v>22.54808476414285</v>
      </c>
      <c r="I19" s="12">
        <f t="shared" si="13"/>
        <v>23.508004431675467</v>
      </c>
    </row>
    <row r="20" spans="1:9">
      <c r="A20" s="12">
        <v>2.2999999999999998</v>
      </c>
      <c r="B20" s="12">
        <f t="shared" ref="B20:I20" si="14">(B22-B17)/5+B19</f>
        <v>16.845131820669309</v>
      </c>
      <c r="C20" s="12">
        <f t="shared" si="14"/>
        <v>17.77193005614885</v>
      </c>
      <c r="D20" s="12">
        <f t="shared" si="14"/>
        <v>18.710656056696557</v>
      </c>
      <c r="E20" s="12">
        <f t="shared" si="14"/>
        <v>19.65610113945726</v>
      </c>
      <c r="F20" s="12">
        <f t="shared" si="14"/>
        <v>20.606240960357511</v>
      </c>
      <c r="G20" s="12">
        <f t="shared" si="14"/>
        <v>21.560202204697582</v>
      </c>
      <c r="H20" s="12">
        <f t="shared" si="14"/>
        <v>22.517542794964211</v>
      </c>
      <c r="I20" s="12">
        <f t="shared" si="14"/>
        <v>23.478024939358054</v>
      </c>
    </row>
    <row r="21" spans="1:9">
      <c r="A21" s="12">
        <v>2.4</v>
      </c>
      <c r="B21" s="12">
        <f t="shared" ref="B21:I21" si="15">(B22-B17)/5+B20</f>
        <v>16.807760133565864</v>
      </c>
      <c r="C21" s="12">
        <f t="shared" si="15"/>
        <v>17.738344185382672</v>
      </c>
      <c r="D21" s="12">
        <f t="shared" si="15"/>
        <v>18.678518343800619</v>
      </c>
      <c r="E21" s="12">
        <f t="shared" si="15"/>
        <v>19.62459682321991</v>
      </c>
      <c r="F21" s="12">
        <f t="shared" si="15"/>
        <v>20.575031792971128</v>
      </c>
      <c r="G21" s="12">
        <f t="shared" si="15"/>
        <v>21.52928361488604</v>
      </c>
      <c r="H21" s="12">
        <f t="shared" si="15"/>
        <v>22.487000825785572</v>
      </c>
      <c r="I21" s="12">
        <f t="shared" si="15"/>
        <v>23.448045447040641</v>
      </c>
    </row>
    <row r="22" spans="1:9">
      <c r="A22" s="12">
        <v>2.5</v>
      </c>
      <c r="B22" s="12">
        <v>16.770388446462427</v>
      </c>
      <c r="C22" s="12">
        <v>17.704758314616502</v>
      </c>
      <c r="D22" s="12">
        <v>18.646380630904673</v>
      </c>
      <c r="E22" s="12">
        <v>19.593092506982554</v>
      </c>
      <c r="F22" s="12">
        <v>20.543822625584738</v>
      </c>
      <c r="G22" s="12">
        <v>21.498365025074506</v>
      </c>
      <c r="H22" s="12">
        <v>22.456458856606936</v>
      </c>
      <c r="I22" s="12">
        <v>23.418065954723229</v>
      </c>
    </row>
    <row r="23" spans="1:9">
      <c r="A23" s="12">
        <v>2.6</v>
      </c>
      <c r="B23" s="12">
        <f t="shared" ref="B23:I23" si="16">(B27-B22)/5+B22</f>
        <v>16.744615374389092</v>
      </c>
      <c r="C23" s="12">
        <f t="shared" si="16"/>
        <v>17.679550101125848</v>
      </c>
      <c r="D23" s="12">
        <f t="shared" si="16"/>
        <v>18.621505612367237</v>
      </c>
      <c r="E23" s="12">
        <f t="shared" si="16"/>
        <v>19.568545458379031</v>
      </c>
      <c r="F23" s="12">
        <f t="shared" si="16"/>
        <v>20.519775618649494</v>
      </c>
      <c r="G23" s="12">
        <f t="shared" si="16"/>
        <v>21.474918628854383</v>
      </c>
      <c r="H23" s="12">
        <f t="shared" si="16"/>
        <v>22.433721189379934</v>
      </c>
      <c r="I23" s="12">
        <f t="shared" si="16"/>
        <v>23.396000702059546</v>
      </c>
    </row>
    <row r="24" spans="1:9">
      <c r="A24" s="12">
        <v>2.7</v>
      </c>
      <c r="B24" s="12">
        <f t="shared" ref="B24:I24" si="17">(B27-B22)/5+B23</f>
        <v>16.718842302315757</v>
      </c>
      <c r="C24" s="12">
        <f t="shared" si="17"/>
        <v>17.654341887635194</v>
      </c>
      <c r="D24" s="12">
        <f t="shared" si="17"/>
        <v>18.596630593829801</v>
      </c>
      <c r="E24" s="12">
        <f t="shared" si="17"/>
        <v>19.543998409775508</v>
      </c>
      <c r="F24" s="12">
        <f t="shared" si="17"/>
        <v>20.495728611714249</v>
      </c>
      <c r="G24" s="12">
        <f t="shared" si="17"/>
        <v>21.451472232634259</v>
      </c>
      <c r="H24" s="12">
        <f t="shared" si="17"/>
        <v>22.410983522152932</v>
      </c>
      <c r="I24" s="12">
        <f t="shared" si="17"/>
        <v>23.373935449395862</v>
      </c>
    </row>
    <row r="25" spans="1:9">
      <c r="A25" s="12">
        <v>2.8</v>
      </c>
      <c r="B25" s="12">
        <f t="shared" ref="B25:I25" si="18">(B27-B22)/5+B24</f>
        <v>16.693069230242422</v>
      </c>
      <c r="C25" s="12">
        <f t="shared" si="18"/>
        <v>17.629133674144541</v>
      </c>
      <c r="D25" s="12">
        <f t="shared" si="18"/>
        <v>18.571755575292364</v>
      </c>
      <c r="E25" s="12">
        <f t="shared" si="18"/>
        <v>19.519451361171985</v>
      </c>
      <c r="F25" s="12">
        <f t="shared" si="18"/>
        <v>20.471681604779004</v>
      </c>
      <c r="G25" s="12">
        <f t="shared" si="18"/>
        <v>21.428025836414136</v>
      </c>
      <c r="H25" s="12">
        <f t="shared" si="18"/>
        <v>22.38824585492593</v>
      </c>
      <c r="I25" s="12">
        <f t="shared" si="18"/>
        <v>23.351870196732179</v>
      </c>
    </row>
    <row r="26" spans="1:9">
      <c r="A26" s="12">
        <v>2.9</v>
      </c>
      <c r="B26" s="12">
        <f t="shared" ref="B26:I26" si="19">(B27-B22)/5+B25</f>
        <v>16.667296158169087</v>
      </c>
      <c r="C26" s="12">
        <f t="shared" si="19"/>
        <v>17.603925460653887</v>
      </c>
      <c r="D26" s="12">
        <f t="shared" si="19"/>
        <v>18.546880556754928</v>
      </c>
      <c r="E26" s="12">
        <f t="shared" si="19"/>
        <v>19.494904312568462</v>
      </c>
      <c r="F26" s="12">
        <f t="shared" si="19"/>
        <v>20.447634597843759</v>
      </c>
      <c r="G26" s="12">
        <f t="shared" si="19"/>
        <v>21.404579440194013</v>
      </c>
      <c r="H26" s="12">
        <f t="shared" si="19"/>
        <v>22.365508187698929</v>
      </c>
      <c r="I26" s="12">
        <f t="shared" si="19"/>
        <v>23.329804944068496</v>
      </c>
    </row>
    <row r="27" spans="1:9">
      <c r="A27" s="12">
        <v>3</v>
      </c>
      <c r="B27" s="12">
        <v>16.641523086095756</v>
      </c>
      <c r="C27" s="12">
        <v>17.57871724716324</v>
      </c>
      <c r="D27" s="12">
        <v>18.522005538217492</v>
      </c>
      <c r="E27" s="12">
        <v>19.470357263964939</v>
      </c>
      <c r="F27" s="12">
        <v>20.423587590908507</v>
      </c>
      <c r="G27" s="12">
        <v>21.381133043973882</v>
      </c>
      <c r="H27" s="12">
        <v>22.342770520471934</v>
      </c>
      <c r="I27" s="12">
        <v>23.307739691404812</v>
      </c>
    </row>
    <row r="28" spans="1:9">
      <c r="A28" s="12">
        <v>3.1</v>
      </c>
      <c r="B28" s="12">
        <f t="shared" ref="B28:I28" si="20">(B32-B27)/5+B27</f>
        <v>16.620894442870881</v>
      </c>
      <c r="C28" s="12">
        <f t="shared" si="20"/>
        <v>17.558336269611114</v>
      </c>
      <c r="D28" s="12">
        <f t="shared" si="20"/>
        <v>18.502062904430534</v>
      </c>
      <c r="E28" s="12">
        <f t="shared" si="20"/>
        <v>19.451021619956446</v>
      </c>
      <c r="F28" s="12">
        <f t="shared" si="20"/>
        <v>20.404911274156682</v>
      </c>
      <c r="G28" s="12">
        <f t="shared" si="20"/>
        <v>21.363068986643178</v>
      </c>
      <c r="H28" s="12">
        <f t="shared" si="20"/>
        <v>22.32518990256952</v>
      </c>
      <c r="I28" s="12">
        <f t="shared" si="20"/>
        <v>23.290614390572657</v>
      </c>
    </row>
    <row r="29" spans="1:9">
      <c r="A29" s="12">
        <v>3.2</v>
      </c>
      <c r="B29" s="12">
        <f t="shared" ref="B29:I29" si="21">(B32-B27)/5+B28</f>
        <v>16.600265799646007</v>
      </c>
      <c r="C29" s="12">
        <f t="shared" si="21"/>
        <v>17.537955292058989</v>
      </c>
      <c r="D29" s="12">
        <f t="shared" si="21"/>
        <v>18.482120270643577</v>
      </c>
      <c r="E29" s="12">
        <f t="shared" si="21"/>
        <v>19.431685975947953</v>
      </c>
      <c r="F29" s="12">
        <f t="shared" si="21"/>
        <v>20.386234957404856</v>
      </c>
      <c r="G29" s="12">
        <f t="shared" si="21"/>
        <v>21.345004929312474</v>
      </c>
      <c r="H29" s="12">
        <f t="shared" si="21"/>
        <v>22.307609284667105</v>
      </c>
      <c r="I29" s="12">
        <f t="shared" si="21"/>
        <v>23.273489089740501</v>
      </c>
    </row>
    <row r="30" spans="1:9">
      <c r="A30" s="12">
        <v>3.3</v>
      </c>
      <c r="B30" s="12">
        <f t="shared" ref="B30:I30" si="22">(B32-B27)/5+B29</f>
        <v>16.579637156421132</v>
      </c>
      <c r="C30" s="12">
        <f t="shared" si="22"/>
        <v>17.517574314506863</v>
      </c>
      <c r="D30" s="12">
        <f t="shared" si="22"/>
        <v>18.46217763685662</v>
      </c>
      <c r="E30" s="12">
        <f t="shared" si="22"/>
        <v>19.412350331939461</v>
      </c>
      <c r="F30" s="12">
        <f t="shared" si="22"/>
        <v>20.36755864065303</v>
      </c>
      <c r="G30" s="12">
        <f t="shared" si="22"/>
        <v>21.326940871981769</v>
      </c>
      <c r="H30" s="12">
        <f t="shared" si="22"/>
        <v>22.290028666764691</v>
      </c>
      <c r="I30" s="12">
        <f t="shared" si="22"/>
        <v>23.256363788908345</v>
      </c>
    </row>
    <row r="31" spans="1:9">
      <c r="A31" s="12">
        <v>3.4</v>
      </c>
      <c r="B31" s="12">
        <f t="shared" ref="B31:I31" si="23">(B32-B27)/5+B30</f>
        <v>16.559008513196257</v>
      </c>
      <c r="C31" s="12">
        <f t="shared" si="23"/>
        <v>17.497193336954737</v>
      </c>
      <c r="D31" s="12">
        <f t="shared" si="23"/>
        <v>18.442235003069662</v>
      </c>
      <c r="E31" s="12">
        <f t="shared" si="23"/>
        <v>19.393014687930968</v>
      </c>
      <c r="F31" s="12">
        <f t="shared" si="23"/>
        <v>20.348882323901204</v>
      </c>
      <c r="G31" s="12">
        <f t="shared" si="23"/>
        <v>21.308876814651065</v>
      </c>
      <c r="H31" s="12">
        <f t="shared" si="23"/>
        <v>22.272448048862277</v>
      </c>
      <c r="I31" s="12">
        <f t="shared" si="23"/>
        <v>23.23923848807619</v>
      </c>
    </row>
    <row r="32" spans="1:9">
      <c r="A32" s="12">
        <v>3.5</v>
      </c>
      <c r="B32" s="12">
        <v>16.53837986997139</v>
      </c>
      <c r="C32" s="12">
        <v>17.476812359402604</v>
      </c>
      <c r="D32" s="12">
        <v>18.422292369282708</v>
      </c>
      <c r="E32" s="12">
        <v>19.373679043922479</v>
      </c>
      <c r="F32" s="12">
        <v>20.330206007149382</v>
      </c>
      <c r="G32" s="12">
        <v>21.290812757320367</v>
      </c>
      <c r="H32" s="12">
        <v>22.254867430959859</v>
      </c>
      <c r="I32" s="12">
        <v>23.22211318724403</v>
      </c>
    </row>
    <row r="33" spans="1:9">
      <c r="A33" s="12">
        <v>3.6</v>
      </c>
      <c r="B33" s="12">
        <f t="shared" ref="B33:I33" si="24">(B37-B32)/5+B32</f>
        <v>16.521423928811497</v>
      </c>
      <c r="C33" s="12">
        <f t="shared" si="24"/>
        <v>17.46012599540288</v>
      </c>
      <c r="D33" s="12">
        <f t="shared" si="24"/>
        <v>18.406220687495338</v>
      </c>
      <c r="E33" s="12">
        <f t="shared" si="24"/>
        <v>19.358183113510748</v>
      </c>
      <c r="F33" s="12">
        <f t="shared" si="24"/>
        <v>20.315191462177815</v>
      </c>
      <c r="G33" s="12">
        <f t="shared" si="24"/>
        <v>21.276237430687541</v>
      </c>
      <c r="H33" s="12">
        <f t="shared" si="24"/>
        <v>22.240626358806665</v>
      </c>
      <c r="I33" s="12">
        <f t="shared" si="24"/>
        <v>23.208026925922468</v>
      </c>
    </row>
    <row r="34" spans="1:9">
      <c r="A34" s="12">
        <v>3.7</v>
      </c>
      <c r="B34" s="12">
        <f t="shared" ref="B34:I34" si="25">(B37-B32)/5+B33</f>
        <v>16.504467987651605</v>
      </c>
      <c r="C34" s="12">
        <f t="shared" si="25"/>
        <v>17.443439631403155</v>
      </c>
      <c r="D34" s="12">
        <f t="shared" si="25"/>
        <v>18.390149005707968</v>
      </c>
      <c r="E34" s="12">
        <f t="shared" si="25"/>
        <v>19.342687183099017</v>
      </c>
      <c r="F34" s="12">
        <f t="shared" si="25"/>
        <v>20.300176917206247</v>
      </c>
      <c r="G34" s="12">
        <f t="shared" si="25"/>
        <v>21.261662104054714</v>
      </c>
      <c r="H34" s="12">
        <f t="shared" si="25"/>
        <v>22.226385286653471</v>
      </c>
      <c r="I34" s="12">
        <f t="shared" si="25"/>
        <v>23.193940664600905</v>
      </c>
    </row>
    <row r="35" spans="1:9">
      <c r="A35" s="12">
        <v>3.8</v>
      </c>
      <c r="B35" s="12">
        <f t="shared" ref="B35:I35" si="26">(B37-B32)/5+B34</f>
        <v>16.487512046491712</v>
      </c>
      <c r="C35" s="12">
        <f t="shared" si="26"/>
        <v>17.426753267403431</v>
      </c>
      <c r="D35" s="12">
        <f t="shared" si="26"/>
        <v>18.374077323920599</v>
      </c>
      <c r="E35" s="12">
        <f t="shared" si="26"/>
        <v>19.327191252687285</v>
      </c>
      <c r="F35" s="12">
        <f t="shared" si="26"/>
        <v>20.28516237223468</v>
      </c>
      <c r="G35" s="12">
        <f t="shared" si="26"/>
        <v>21.247086777421888</v>
      </c>
      <c r="H35" s="12">
        <f t="shared" si="26"/>
        <v>22.212144214500277</v>
      </c>
      <c r="I35" s="12">
        <f t="shared" si="26"/>
        <v>23.179854403279343</v>
      </c>
    </row>
    <row r="36" spans="1:9">
      <c r="A36" s="12">
        <v>3.9</v>
      </c>
      <c r="B36" s="12">
        <f t="shared" ref="B36:I36" si="27">(B37-B32)/5+B35</f>
        <v>16.47055610533182</v>
      </c>
      <c r="C36" s="12">
        <f t="shared" si="27"/>
        <v>17.410066903403706</v>
      </c>
      <c r="D36" s="12">
        <f t="shared" si="27"/>
        <v>18.358005642133229</v>
      </c>
      <c r="E36" s="12">
        <f t="shared" si="27"/>
        <v>19.311695322275554</v>
      </c>
      <c r="F36" s="12">
        <f t="shared" si="27"/>
        <v>20.270147827263113</v>
      </c>
      <c r="G36" s="12">
        <f t="shared" si="27"/>
        <v>21.232511450789062</v>
      </c>
      <c r="H36" s="12">
        <f t="shared" si="27"/>
        <v>22.197903142347084</v>
      </c>
      <c r="I36" s="12">
        <f t="shared" si="27"/>
        <v>23.165768141957781</v>
      </c>
    </row>
    <row r="37" spans="1:9">
      <c r="A37" s="12">
        <v>4</v>
      </c>
      <c r="B37" s="12">
        <v>16.453600164171931</v>
      </c>
      <c r="C37" s="12">
        <v>17.393380539403982</v>
      </c>
      <c r="D37" s="12">
        <v>18.341933960345852</v>
      </c>
      <c r="E37" s="12">
        <v>19.296199391863823</v>
      </c>
      <c r="F37" s="12">
        <v>20.255133282291549</v>
      </c>
      <c r="G37" s="12">
        <v>21.217936124156239</v>
      </c>
      <c r="H37" s="12">
        <v>22.183662070193897</v>
      </c>
      <c r="I37" s="12">
        <v>23.151681880636222</v>
      </c>
    </row>
    <row r="38" spans="1:9">
      <c r="A38" s="12">
        <v>4.0999999999999996</v>
      </c>
      <c r="B38" s="12">
        <f t="shared" ref="B38:I38" si="28">(B42-B37)/5+B37</f>
        <v>16.439592676715918</v>
      </c>
      <c r="C38" s="12">
        <f t="shared" si="28"/>
        <v>17.379645004218734</v>
      </c>
      <c r="D38" s="12">
        <f t="shared" si="28"/>
        <v>18.328661811032955</v>
      </c>
      <c r="E38" s="12">
        <f t="shared" si="28"/>
        <v>19.283361730981504</v>
      </c>
      <c r="F38" s="12">
        <f t="shared" si="28"/>
        <v>20.242630688416615</v>
      </c>
      <c r="G38" s="12">
        <f t="shared" si="28"/>
        <v>21.205619182414761</v>
      </c>
      <c r="H38" s="12">
        <f t="shared" si="28"/>
        <v>22.171454749526923</v>
      </c>
      <c r="I38" s="12">
        <f t="shared" si="28"/>
        <v>23.139579387928514</v>
      </c>
    </row>
    <row r="39" spans="1:9">
      <c r="A39" s="12">
        <v>4.2</v>
      </c>
      <c r="B39" s="12">
        <f t="shared" ref="B39:I39" si="29">(B42-B37)/5+B38</f>
        <v>16.425585189259905</v>
      </c>
      <c r="C39" s="12">
        <f t="shared" si="29"/>
        <v>17.365909469033486</v>
      </c>
      <c r="D39" s="12">
        <f t="shared" si="29"/>
        <v>18.315389661720058</v>
      </c>
      <c r="E39" s="12">
        <f t="shared" si="29"/>
        <v>19.270524070099185</v>
      </c>
      <c r="F39" s="12">
        <f t="shared" si="29"/>
        <v>20.23012809454168</v>
      </c>
      <c r="G39" s="12">
        <f t="shared" si="29"/>
        <v>21.193302240673283</v>
      </c>
      <c r="H39" s="12">
        <f t="shared" si="29"/>
        <v>22.159247428859949</v>
      </c>
      <c r="I39" s="12">
        <f t="shared" si="29"/>
        <v>23.127476895220806</v>
      </c>
    </row>
    <row r="40" spans="1:9">
      <c r="A40" s="12">
        <v>4.3</v>
      </c>
      <c r="B40" s="12">
        <f t="shared" ref="B40:I40" si="30">(B42-B37)/5+B39</f>
        <v>16.411577701803893</v>
      </c>
      <c r="C40" s="12">
        <f t="shared" si="30"/>
        <v>17.352173933848238</v>
      </c>
      <c r="D40" s="12">
        <f t="shared" si="30"/>
        <v>18.302117512407161</v>
      </c>
      <c r="E40" s="12">
        <f t="shared" si="30"/>
        <v>19.257686409216866</v>
      </c>
      <c r="F40" s="12">
        <f t="shared" si="30"/>
        <v>20.217625500666745</v>
      </c>
      <c r="G40" s="12">
        <f t="shared" si="30"/>
        <v>21.180985298931805</v>
      </c>
      <c r="H40" s="12">
        <f t="shared" si="30"/>
        <v>22.147040108192975</v>
      </c>
      <c r="I40" s="12">
        <f t="shared" si="30"/>
        <v>23.115374402513098</v>
      </c>
    </row>
    <row r="41" spans="1:9">
      <c r="A41" s="12">
        <v>4.4000000000000004</v>
      </c>
      <c r="B41" s="12">
        <f t="shared" ref="B41:I41" si="31">(B42-B37)/5+B40</f>
        <v>16.39757021434788</v>
      </c>
      <c r="C41" s="12">
        <f t="shared" si="31"/>
        <v>17.338438398662991</v>
      </c>
      <c r="D41" s="12">
        <f t="shared" si="31"/>
        <v>18.288845363094264</v>
      </c>
      <c r="E41" s="12">
        <f t="shared" si="31"/>
        <v>19.244848748334547</v>
      </c>
      <c r="F41" s="12">
        <f t="shared" si="31"/>
        <v>20.205122906791811</v>
      </c>
      <c r="G41" s="12">
        <f t="shared" si="31"/>
        <v>21.168668357190327</v>
      </c>
      <c r="H41" s="12">
        <f t="shared" si="31"/>
        <v>22.134832787526001</v>
      </c>
      <c r="I41" s="12">
        <f t="shared" si="31"/>
        <v>23.10327190980539</v>
      </c>
    </row>
    <row r="42" spans="1:9">
      <c r="A42" s="12">
        <v>4.5</v>
      </c>
      <c r="B42" s="12">
        <v>16.383562726891871</v>
      </c>
      <c r="C42" s="12">
        <v>17.32470286347775</v>
      </c>
      <c r="D42" s="12">
        <v>18.275573213781374</v>
      </c>
      <c r="E42" s="12">
        <v>19.232011087452232</v>
      </c>
      <c r="F42" s="12">
        <v>20.19262031291688</v>
      </c>
      <c r="G42" s="12">
        <v>21.156351415448846</v>
      </c>
      <c r="H42" s="12">
        <v>22.122625466859024</v>
      </c>
      <c r="I42" s="12">
        <v>23.091169417097685</v>
      </c>
    </row>
    <row r="43" spans="1:9">
      <c r="A43" s="12">
        <v>4.5999999999999996</v>
      </c>
      <c r="B43" s="12">
        <f t="shared" ref="B43:I43" si="32">(B47-B42)/5+B42</f>
        <v>16.371980425770484</v>
      </c>
      <c r="C43" s="12">
        <f t="shared" si="32"/>
        <v>17.313140798873697</v>
      </c>
      <c r="D43" s="12">
        <f t="shared" si="32"/>
        <v>18.264299854666739</v>
      </c>
      <c r="E43" s="12">
        <f t="shared" si="32"/>
        <v>19.221017418950737</v>
      </c>
      <c r="F43" s="12">
        <f t="shared" si="32"/>
        <v>20.181778924488416</v>
      </c>
      <c r="G43" s="12">
        <f t="shared" si="32"/>
        <v>21.14560680405668</v>
      </c>
      <c r="H43" s="12">
        <f t="shared" si="32"/>
        <v>22.11199055470329</v>
      </c>
      <c r="I43" s="12">
        <f t="shared" si="32"/>
        <v>23.080569930473928</v>
      </c>
    </row>
    <row r="44" spans="1:9">
      <c r="A44" s="12">
        <v>4.7</v>
      </c>
      <c r="B44" s="12">
        <f t="shared" ref="B44:I44" si="33">(B47-B42)/5+B43</f>
        <v>16.360398124649098</v>
      </c>
      <c r="C44" s="12">
        <f t="shared" si="33"/>
        <v>17.301578734269643</v>
      </c>
      <c r="D44" s="12">
        <f t="shared" si="33"/>
        <v>18.253026495552103</v>
      </c>
      <c r="E44" s="12">
        <f t="shared" si="33"/>
        <v>19.210023750449242</v>
      </c>
      <c r="F44" s="12">
        <f t="shared" si="33"/>
        <v>20.170937536059952</v>
      </c>
      <c r="G44" s="12">
        <f t="shared" si="33"/>
        <v>21.134862192664514</v>
      </c>
      <c r="H44" s="12">
        <f t="shared" si="33"/>
        <v>22.101355642547556</v>
      </c>
      <c r="I44" s="12">
        <f t="shared" si="33"/>
        <v>23.06997044385017</v>
      </c>
    </row>
    <row r="45" spans="1:9">
      <c r="A45" s="12">
        <v>4.8</v>
      </c>
      <c r="B45" s="12">
        <f t="shared" ref="B45:I45" si="34">(B47-B42)/5+B44</f>
        <v>16.348815823527712</v>
      </c>
      <c r="C45" s="12">
        <f t="shared" si="34"/>
        <v>17.29001666966559</v>
      </c>
      <c r="D45" s="12">
        <f t="shared" si="34"/>
        <v>18.241753136437467</v>
      </c>
      <c r="E45" s="12">
        <f t="shared" si="34"/>
        <v>19.199030081947747</v>
      </c>
      <c r="F45" s="12">
        <f t="shared" si="34"/>
        <v>20.160096147631489</v>
      </c>
      <c r="G45" s="12">
        <f t="shared" si="34"/>
        <v>21.124117581272348</v>
      </c>
      <c r="H45" s="12">
        <f t="shared" si="34"/>
        <v>22.090720730391823</v>
      </c>
      <c r="I45" s="12">
        <f t="shared" si="34"/>
        <v>23.059370957226413</v>
      </c>
    </row>
    <row r="46" spans="1:9">
      <c r="A46" s="12">
        <v>4.9000000000000004</v>
      </c>
      <c r="B46" s="12">
        <f t="shared" ref="B46:I46" si="35">(B47-B42)/5+B45</f>
        <v>16.337233522406326</v>
      </c>
      <c r="C46" s="12">
        <f t="shared" si="35"/>
        <v>17.278454605061537</v>
      </c>
      <c r="D46" s="12">
        <f t="shared" si="35"/>
        <v>18.230479777322831</v>
      </c>
      <c r="E46" s="12">
        <f t="shared" si="35"/>
        <v>19.188036413446252</v>
      </c>
      <c r="F46" s="12">
        <f t="shared" si="35"/>
        <v>20.149254759203025</v>
      </c>
      <c r="G46" s="12">
        <f t="shared" si="35"/>
        <v>21.113372969880182</v>
      </c>
      <c r="H46" s="12">
        <f t="shared" si="35"/>
        <v>22.080085818236089</v>
      </c>
      <c r="I46" s="12">
        <f t="shared" si="35"/>
        <v>23.048771470602656</v>
      </c>
    </row>
    <row r="47" spans="1:9">
      <c r="A47" s="12">
        <v>5</v>
      </c>
      <c r="B47" s="12">
        <v>16.325651221284947</v>
      </c>
      <c r="C47" s="12">
        <v>17.26689254045748</v>
      </c>
      <c r="D47" s="12">
        <v>18.219206418208202</v>
      </c>
      <c r="E47" s="12">
        <v>19.177042744944764</v>
      </c>
      <c r="F47" s="12">
        <v>20.138413370774558</v>
      </c>
      <c r="G47" s="12">
        <v>21.102628358488008</v>
      </c>
      <c r="H47" s="12">
        <v>22.069450906080363</v>
      </c>
      <c r="I47" s="12">
        <v>23.038171983978902</v>
      </c>
    </row>
    <row r="48" spans="1:9">
      <c r="A48" s="12">
        <v>5.0999999999999996</v>
      </c>
      <c r="B48" s="12">
        <f t="shared" ref="B48:I48" si="36">(B52-B47)/5+B47</f>
        <v>16.315934478331751</v>
      </c>
      <c r="C48" s="12">
        <f t="shared" si="36"/>
        <v>17.256946824323087</v>
      </c>
      <c r="D48" s="12">
        <f t="shared" si="36"/>
        <v>18.209405015817936</v>
      </c>
      <c r="E48" s="12">
        <f t="shared" si="36"/>
        <v>19.167368447852688</v>
      </c>
      <c r="F48" s="12">
        <f t="shared" si="36"/>
        <v>20.128821990952982</v>
      </c>
      <c r="G48" s="12">
        <f t="shared" si="36"/>
        <v>21.093114655990053</v>
      </c>
      <c r="H48" s="12">
        <f t="shared" si="36"/>
        <v>22.059904401640821</v>
      </c>
      <c r="I48" s="12">
        <f t="shared" si="36"/>
        <v>23.028555306040239</v>
      </c>
    </row>
    <row r="49" spans="1:9">
      <c r="A49" s="12">
        <v>5.2</v>
      </c>
      <c r="B49" s="12">
        <f t="shared" ref="B49:I49" si="37">(B52-B47)/5+B48</f>
        <v>16.306217735378556</v>
      </c>
      <c r="C49" s="12">
        <f t="shared" si="37"/>
        <v>17.247001108188694</v>
      </c>
      <c r="D49" s="12">
        <f t="shared" si="37"/>
        <v>18.199603613427669</v>
      </c>
      <c r="E49" s="12">
        <f t="shared" si="37"/>
        <v>19.157694150760612</v>
      </c>
      <c r="F49" s="12">
        <f t="shared" si="37"/>
        <v>20.119230611131407</v>
      </c>
      <c r="G49" s="12">
        <f t="shared" si="37"/>
        <v>21.083600953492098</v>
      </c>
      <c r="H49" s="12">
        <f t="shared" si="37"/>
        <v>22.05035789720128</v>
      </c>
      <c r="I49" s="12">
        <f t="shared" si="37"/>
        <v>23.018938628101576</v>
      </c>
    </row>
    <row r="50" spans="1:9">
      <c r="A50" s="12">
        <v>5.3</v>
      </c>
      <c r="B50" s="12">
        <f t="shared" ref="B50:I50" si="38">(B52-B47)/5+B49</f>
        <v>16.296500992425361</v>
      </c>
      <c r="C50" s="12">
        <f t="shared" si="38"/>
        <v>17.237055392054302</v>
      </c>
      <c r="D50" s="12">
        <f t="shared" si="38"/>
        <v>18.189802211037403</v>
      </c>
      <c r="E50" s="12">
        <f t="shared" si="38"/>
        <v>19.148019853668536</v>
      </c>
      <c r="F50" s="12">
        <f t="shared" si="38"/>
        <v>20.109639231309831</v>
      </c>
      <c r="G50" s="12">
        <f t="shared" si="38"/>
        <v>21.074087250994143</v>
      </c>
      <c r="H50" s="12">
        <f t="shared" si="38"/>
        <v>22.040811392761739</v>
      </c>
      <c r="I50" s="12">
        <f t="shared" si="38"/>
        <v>23.009321950162914</v>
      </c>
    </row>
    <row r="51" spans="1:9">
      <c r="A51" s="12">
        <v>5.4</v>
      </c>
      <c r="B51" s="12">
        <f t="shared" ref="B51:I51" si="39">(B52-B47)/5+B50</f>
        <v>16.286784249472166</v>
      </c>
      <c r="C51" s="12">
        <f t="shared" si="39"/>
        <v>17.227109675919909</v>
      </c>
      <c r="D51" s="12">
        <f t="shared" si="39"/>
        <v>18.180000808647137</v>
      </c>
      <c r="E51" s="12">
        <f t="shared" si="39"/>
        <v>19.138345556576461</v>
      </c>
      <c r="F51" s="12">
        <f t="shared" si="39"/>
        <v>20.100047851488256</v>
      </c>
      <c r="G51" s="12">
        <f t="shared" si="39"/>
        <v>21.064573548496188</v>
      </c>
      <c r="H51" s="12">
        <f t="shared" si="39"/>
        <v>22.031264888322198</v>
      </c>
      <c r="I51" s="12">
        <f t="shared" si="39"/>
        <v>22.999705272224251</v>
      </c>
    </row>
    <row r="52" spans="1:9">
      <c r="A52" s="12">
        <v>5.5</v>
      </c>
      <c r="B52" s="12">
        <v>16.277067506518975</v>
      </c>
      <c r="C52" s="12">
        <v>17.21716395978552</v>
      </c>
      <c r="D52" s="12">
        <v>18.170199406256867</v>
      </c>
      <c r="E52" s="12">
        <v>19.128671259484388</v>
      </c>
      <c r="F52" s="12">
        <v>20.090456471666673</v>
      </c>
      <c r="G52" s="12">
        <v>21.055059845998237</v>
      </c>
      <c r="H52" s="12">
        <v>22.021718383882661</v>
      </c>
      <c r="I52" s="12">
        <v>22.990088594285581</v>
      </c>
    </row>
    <row r="53" spans="1:9">
      <c r="A53" s="12">
        <v>5.6</v>
      </c>
      <c r="B53" s="12">
        <f t="shared" ref="B53:I53" si="40">(B57-B52)/5+B52</f>
        <v>16.268811149492617</v>
      </c>
      <c r="C53" s="12">
        <f t="shared" si="40"/>
        <v>17.208522584130478</v>
      </c>
      <c r="D53" s="12">
        <f t="shared" si="40"/>
        <v>18.161491607426463</v>
      </c>
      <c r="E53" s="12">
        <f t="shared" si="40"/>
        <v>19.119993942167095</v>
      </c>
      <c r="F53" s="12">
        <f t="shared" si="40"/>
        <v>20.081825991439288</v>
      </c>
      <c r="G53" s="12">
        <f t="shared" si="40"/>
        <v>21.0463980035818</v>
      </c>
      <c r="H53" s="12">
        <f t="shared" si="40"/>
        <v>22.012985054799554</v>
      </c>
      <c r="I53" s="12">
        <f t="shared" si="40"/>
        <v>22.981192621393451</v>
      </c>
    </row>
    <row r="54" spans="1:9">
      <c r="A54" s="12">
        <v>5.7</v>
      </c>
      <c r="B54" s="12">
        <f t="shared" ref="B54:I54" si="41">(B57-B52)/5+B53</f>
        <v>16.260554792466259</v>
      </c>
      <c r="C54" s="12">
        <f t="shared" si="41"/>
        <v>17.199881208475436</v>
      </c>
      <c r="D54" s="12">
        <f t="shared" si="41"/>
        <v>18.152783808596059</v>
      </c>
      <c r="E54" s="12">
        <f t="shared" si="41"/>
        <v>19.111316624849803</v>
      </c>
      <c r="F54" s="12">
        <f t="shared" si="41"/>
        <v>20.073195511211903</v>
      </c>
      <c r="G54" s="12">
        <f t="shared" si="41"/>
        <v>21.037736161165363</v>
      </c>
      <c r="H54" s="12">
        <f t="shared" si="41"/>
        <v>22.004251725716447</v>
      </c>
      <c r="I54" s="12">
        <f t="shared" si="41"/>
        <v>22.97229664850132</v>
      </c>
    </row>
    <row r="55" spans="1:9">
      <c r="A55" s="12">
        <v>5.8</v>
      </c>
      <c r="B55" s="12">
        <f t="shared" ref="B55:I55" si="42">(B57-B52)/5+B54</f>
        <v>16.252298435439901</v>
      </c>
      <c r="C55" s="12">
        <f t="shared" si="42"/>
        <v>17.191239832820393</v>
      </c>
      <c r="D55" s="12">
        <f t="shared" si="42"/>
        <v>18.144076009765655</v>
      </c>
      <c r="E55" s="12">
        <f t="shared" si="42"/>
        <v>19.10263930753251</v>
      </c>
      <c r="F55" s="12">
        <f t="shared" si="42"/>
        <v>20.064565030984518</v>
      </c>
      <c r="G55" s="12">
        <f t="shared" si="42"/>
        <v>21.029074318748926</v>
      </c>
      <c r="H55" s="12">
        <f t="shared" si="42"/>
        <v>21.99551839663334</v>
      </c>
      <c r="I55" s="12">
        <f t="shared" si="42"/>
        <v>22.96340067560919</v>
      </c>
    </row>
    <row r="56" spans="1:9">
      <c r="A56" s="12">
        <v>5.9</v>
      </c>
      <c r="B56" s="12">
        <f t="shared" ref="B56:I56" si="43">(B57-B52)/5+B55</f>
        <v>16.244042078413543</v>
      </c>
      <c r="C56" s="12">
        <f t="shared" si="43"/>
        <v>17.182598457165351</v>
      </c>
      <c r="D56" s="12">
        <f t="shared" si="43"/>
        <v>18.135368210935251</v>
      </c>
      <c r="E56" s="12">
        <f t="shared" si="43"/>
        <v>19.093961990215217</v>
      </c>
      <c r="F56" s="12">
        <f t="shared" si="43"/>
        <v>20.055934550757133</v>
      </c>
      <c r="G56" s="12">
        <f t="shared" si="43"/>
        <v>21.020412476332488</v>
      </c>
      <c r="H56" s="12">
        <f t="shared" si="43"/>
        <v>21.986785067550233</v>
      </c>
      <c r="I56" s="12">
        <f t="shared" si="43"/>
        <v>22.95450470271706</v>
      </c>
    </row>
    <row r="57" spans="1:9">
      <c r="A57" s="12">
        <v>6</v>
      </c>
      <c r="B57" s="12">
        <v>16.235785721387177</v>
      </c>
      <c r="C57" s="12">
        <v>17.173957081510302</v>
      </c>
      <c r="D57" s="12">
        <v>18.126660412104851</v>
      </c>
      <c r="E57" s="12">
        <v>19.085284672897931</v>
      </c>
      <c r="F57" s="12">
        <v>20.047304070529755</v>
      </c>
      <c r="G57" s="12">
        <v>21.011750633916044</v>
      </c>
      <c r="H57" s="12">
        <v>21.978051738467123</v>
      </c>
      <c r="I57" s="12">
        <v>22.945608729824936</v>
      </c>
    </row>
    <row r="58" spans="1:9">
      <c r="A58" s="12">
        <v>6.1</v>
      </c>
      <c r="B58" s="12">
        <f t="shared" ref="B58:I58" si="44">(B62-B57)/5+B57</f>
        <v>16.222445673958138</v>
      </c>
      <c r="C58" s="12">
        <f t="shared" si="44"/>
        <v>17.159339634741983</v>
      </c>
      <c r="D58" s="12">
        <f t="shared" si="44"/>
        <v>18.111631063930663</v>
      </c>
      <c r="E58" s="12">
        <f t="shared" si="44"/>
        <v>19.070720336613849</v>
      </c>
      <c r="F58" s="12">
        <f t="shared" si="44"/>
        <v>20.032525718768031</v>
      </c>
      <c r="G58" s="12">
        <f t="shared" si="44"/>
        <v>20.996272833525783</v>
      </c>
      <c r="H58" s="12">
        <f t="shared" si="44"/>
        <v>21.962151191432266</v>
      </c>
      <c r="I58" s="12">
        <f t="shared" si="44"/>
        <v>22.929203898715762</v>
      </c>
    </row>
    <row r="59" spans="1:9">
      <c r="A59" s="12">
        <v>6.2</v>
      </c>
      <c r="B59" s="12">
        <f t="shared" ref="B59:I59" si="45">(B62-B57)/5+B58</f>
        <v>16.209105626529098</v>
      </c>
      <c r="C59" s="12">
        <f t="shared" si="45"/>
        <v>17.144722187973663</v>
      </c>
      <c r="D59" s="12">
        <f t="shared" si="45"/>
        <v>18.096601715756474</v>
      </c>
      <c r="E59" s="12">
        <f t="shared" si="45"/>
        <v>19.056156000329768</v>
      </c>
      <c r="F59" s="12">
        <f t="shared" si="45"/>
        <v>20.017747367006308</v>
      </c>
      <c r="G59" s="12">
        <f t="shared" si="45"/>
        <v>20.980795033135522</v>
      </c>
      <c r="H59" s="12">
        <f t="shared" si="45"/>
        <v>21.946250644397409</v>
      </c>
      <c r="I59" s="12">
        <f t="shared" si="45"/>
        <v>22.912799067606588</v>
      </c>
    </row>
    <row r="60" spans="1:9">
      <c r="A60" s="12">
        <v>6.3</v>
      </c>
      <c r="B60" s="12">
        <f t="shared" ref="B60:I60" si="46">(B62-B57)/5+B59</f>
        <v>16.195765579100058</v>
      </c>
      <c r="C60" s="12">
        <f t="shared" si="46"/>
        <v>17.130104741205344</v>
      </c>
      <c r="D60" s="12">
        <f t="shared" si="46"/>
        <v>18.081572367582286</v>
      </c>
      <c r="E60" s="12">
        <f t="shared" si="46"/>
        <v>19.041591664045686</v>
      </c>
      <c r="F60" s="12">
        <f t="shared" si="46"/>
        <v>20.002969015244584</v>
      </c>
      <c r="G60" s="12">
        <f t="shared" si="46"/>
        <v>20.96531723274526</v>
      </c>
      <c r="H60" s="12">
        <f t="shared" si="46"/>
        <v>21.930350097362552</v>
      </c>
      <c r="I60" s="12">
        <f t="shared" si="46"/>
        <v>22.896394236497414</v>
      </c>
    </row>
    <row r="61" spans="1:9">
      <c r="A61" s="12">
        <v>6.4</v>
      </c>
      <c r="B61" s="12">
        <f t="shared" ref="B61:I61" si="47">(B62-B57)/5+B60</f>
        <v>16.182425531671019</v>
      </c>
      <c r="C61" s="12">
        <f t="shared" si="47"/>
        <v>17.115487294437024</v>
      </c>
      <c r="D61" s="12">
        <f t="shared" si="47"/>
        <v>18.066543019408098</v>
      </c>
      <c r="E61" s="12">
        <f t="shared" si="47"/>
        <v>19.027027327761605</v>
      </c>
      <c r="F61" s="12">
        <f t="shared" si="47"/>
        <v>19.988190663482861</v>
      </c>
      <c r="G61" s="12">
        <f t="shared" si="47"/>
        <v>20.949839432354999</v>
      </c>
      <c r="H61" s="12">
        <f t="shared" si="47"/>
        <v>21.914449550327696</v>
      </c>
      <c r="I61" s="12">
        <f t="shared" si="47"/>
        <v>22.87998940538824</v>
      </c>
    </row>
    <row r="62" spans="1:9">
      <c r="A62" s="12">
        <v>6.5</v>
      </c>
      <c r="B62" s="12">
        <v>16.169085484241979</v>
      </c>
      <c r="C62" s="12">
        <v>17.100869847668704</v>
      </c>
      <c r="D62" s="12">
        <v>18.051513671233909</v>
      </c>
      <c r="E62" s="12">
        <v>19.01246299147752</v>
      </c>
      <c r="F62" s="12">
        <v>19.97341231172113</v>
      </c>
      <c r="G62" s="12">
        <v>20.934361631964741</v>
      </c>
      <c r="H62" s="12">
        <v>21.898549003292835</v>
      </c>
      <c r="I62" s="12">
        <v>22.863584574279066</v>
      </c>
    </row>
    <row r="63" spans="1:9">
      <c r="A63" s="12">
        <v>6.6</v>
      </c>
      <c r="B63" s="12">
        <f t="shared" ref="B63:I63" si="48">(B67-B62)/5+B62</f>
        <v>16.158508268094618</v>
      </c>
      <c r="C63" s="12">
        <f t="shared" si="48"/>
        <v>17.08902828354147</v>
      </c>
      <c r="D63" s="12">
        <f t="shared" si="48"/>
        <v>18.038927457332779</v>
      </c>
      <c r="E63" s="12">
        <f t="shared" si="48"/>
        <v>18.999419713587052</v>
      </c>
      <c r="F63" s="12">
        <f t="shared" si="48"/>
        <v>19.959911969841325</v>
      </c>
      <c r="G63" s="12">
        <f t="shared" si="48"/>
        <v>20.920404226095599</v>
      </c>
      <c r="H63" s="12">
        <f t="shared" si="48"/>
        <v>21.884115147380594</v>
      </c>
      <c r="I63" s="12">
        <f t="shared" si="48"/>
        <v>22.848677959904823</v>
      </c>
    </row>
    <row r="64" spans="1:9">
      <c r="A64" s="12">
        <v>6.7</v>
      </c>
      <c r="B64" s="12">
        <f t="shared" ref="B64:I64" si="49">(B67-B62)/5+B63</f>
        <v>16.147931051947257</v>
      </c>
      <c r="C64" s="12">
        <f t="shared" si="49"/>
        <v>17.077186719414236</v>
      </c>
      <c r="D64" s="12">
        <f t="shared" si="49"/>
        <v>18.026341243431649</v>
      </c>
      <c r="E64" s="12">
        <f t="shared" si="49"/>
        <v>18.986376435696585</v>
      </c>
      <c r="F64" s="12">
        <f t="shared" si="49"/>
        <v>19.94641162796152</v>
      </c>
      <c r="G64" s="12">
        <f t="shared" si="49"/>
        <v>20.906446820226456</v>
      </c>
      <c r="H64" s="12">
        <f t="shared" si="49"/>
        <v>21.869681291468353</v>
      </c>
      <c r="I64" s="12">
        <f t="shared" si="49"/>
        <v>22.833771345530579</v>
      </c>
    </row>
    <row r="65" spans="1:9">
      <c r="A65" s="12">
        <v>6.8</v>
      </c>
      <c r="B65" s="12">
        <f t="shared" ref="B65:I65" si="50">(B67-B62)/5+B64</f>
        <v>16.137353835799896</v>
      </c>
      <c r="C65" s="12">
        <f t="shared" si="50"/>
        <v>17.065345155287002</v>
      </c>
      <c r="D65" s="12">
        <f t="shared" si="50"/>
        <v>18.013755029530518</v>
      </c>
      <c r="E65" s="12">
        <f t="shared" si="50"/>
        <v>18.973333157806117</v>
      </c>
      <c r="F65" s="12">
        <f t="shared" si="50"/>
        <v>19.932911286081715</v>
      </c>
      <c r="G65" s="12">
        <f t="shared" si="50"/>
        <v>20.892489414357314</v>
      </c>
      <c r="H65" s="12">
        <f t="shared" si="50"/>
        <v>21.855247435556112</v>
      </c>
      <c r="I65" s="12">
        <f t="shared" si="50"/>
        <v>22.818864731156335</v>
      </c>
    </row>
    <row r="66" spans="1:9">
      <c r="A66" s="12">
        <v>6.9</v>
      </c>
      <c r="B66" s="12">
        <f t="shared" ref="B66:I66" si="51">(B67-B62)/5+B65</f>
        <v>16.126776619652535</v>
      </c>
      <c r="C66" s="12">
        <f t="shared" si="51"/>
        <v>17.053503591159767</v>
      </c>
      <c r="D66" s="12">
        <f t="shared" si="51"/>
        <v>18.001168815629388</v>
      </c>
      <c r="E66" s="12">
        <f t="shared" si="51"/>
        <v>18.960289879915649</v>
      </c>
      <c r="F66" s="12">
        <f t="shared" si="51"/>
        <v>19.91941094420191</v>
      </c>
      <c r="G66" s="12">
        <f t="shared" si="51"/>
        <v>20.878532008488172</v>
      </c>
      <c r="H66" s="12">
        <f t="shared" si="51"/>
        <v>21.840813579643871</v>
      </c>
      <c r="I66" s="12">
        <f t="shared" si="51"/>
        <v>22.803958116782091</v>
      </c>
    </row>
    <row r="67" spans="1:9">
      <c r="A67" s="12">
        <v>7</v>
      </c>
      <c r="B67" s="12">
        <v>16.116199403505174</v>
      </c>
      <c r="C67" s="12">
        <v>17.041662027032537</v>
      </c>
      <c r="D67" s="12">
        <v>17.988582601728258</v>
      </c>
      <c r="E67" s="12">
        <v>18.947246602025178</v>
      </c>
      <c r="F67" s="12">
        <v>19.905910602322102</v>
      </c>
      <c r="G67" s="12">
        <v>20.864574602619022</v>
      </c>
      <c r="H67" s="12">
        <v>21.826379723731634</v>
      </c>
      <c r="I67" s="12">
        <v>22.789051502407844</v>
      </c>
    </row>
    <row r="68" spans="1:9">
      <c r="A68" s="12">
        <v>7.1</v>
      </c>
      <c r="B68" s="12">
        <f t="shared" ref="B68:I68" si="52">(B72-B67)/5+B67</f>
        <v>16.107716094729188</v>
      </c>
      <c r="C68" s="12">
        <f t="shared" si="52"/>
        <v>17.031947754316263</v>
      </c>
      <c r="D68" s="12">
        <f t="shared" si="52"/>
        <v>17.977609710148119</v>
      </c>
      <c r="E68" s="12">
        <f t="shared" si="52"/>
        <v>18.935680243603052</v>
      </c>
      <c r="F68" s="12">
        <f t="shared" si="52"/>
        <v>19.893750777057985</v>
      </c>
      <c r="G68" s="12">
        <f t="shared" si="52"/>
        <v>20.851821310512914</v>
      </c>
      <c r="H68" s="12">
        <f t="shared" si="52"/>
        <v>21.813235584585385</v>
      </c>
      <c r="I68" s="12">
        <f t="shared" si="52"/>
        <v>22.775593599305974</v>
      </c>
    </row>
    <row r="69" spans="1:9">
      <c r="A69" s="12">
        <v>7.2</v>
      </c>
      <c r="B69" s="12">
        <f t="shared" ref="B69:I69" si="53">(B72-B67)/5+B68</f>
        <v>16.099232785953202</v>
      </c>
      <c r="C69" s="12">
        <f t="shared" si="53"/>
        <v>17.02223348159999</v>
      </c>
      <c r="D69" s="12">
        <f t="shared" si="53"/>
        <v>17.966636818567981</v>
      </c>
      <c r="E69" s="12">
        <f t="shared" si="53"/>
        <v>18.924113885180926</v>
      </c>
      <c r="F69" s="12">
        <f t="shared" si="53"/>
        <v>19.881590951793868</v>
      </c>
      <c r="G69" s="12">
        <f t="shared" si="53"/>
        <v>20.839068018406806</v>
      </c>
      <c r="H69" s="12">
        <f t="shared" si="53"/>
        <v>21.800091445439136</v>
      </c>
      <c r="I69" s="12">
        <f t="shared" si="53"/>
        <v>22.762135696204105</v>
      </c>
    </row>
    <row r="70" spans="1:9">
      <c r="A70" s="12">
        <v>7.3</v>
      </c>
      <c r="B70" s="12">
        <f t="shared" ref="B70:I70" si="54">(B72-B67)/5+B69</f>
        <v>16.090749477177216</v>
      </c>
      <c r="C70" s="12">
        <f t="shared" si="54"/>
        <v>17.012519208883717</v>
      </c>
      <c r="D70" s="12">
        <f t="shared" si="54"/>
        <v>17.955663926987842</v>
      </c>
      <c r="E70" s="12">
        <f t="shared" si="54"/>
        <v>18.9125475267588</v>
      </c>
      <c r="F70" s="12">
        <f t="shared" si="54"/>
        <v>19.869431126529751</v>
      </c>
      <c r="G70" s="12">
        <f t="shared" si="54"/>
        <v>20.826314726300698</v>
      </c>
      <c r="H70" s="12">
        <f t="shared" si="54"/>
        <v>21.786947306292888</v>
      </c>
      <c r="I70" s="12">
        <f t="shared" si="54"/>
        <v>22.748677793102235</v>
      </c>
    </row>
    <row r="71" spans="1:9">
      <c r="A71" s="12">
        <v>7.4</v>
      </c>
      <c r="B71" s="12">
        <f t="shared" ref="B71:I71" si="55">(B72-B67)/5+B70</f>
        <v>16.08226616840123</v>
      </c>
      <c r="C71" s="12">
        <f t="shared" si="55"/>
        <v>17.002804936167443</v>
      </c>
      <c r="D71" s="12">
        <f t="shared" si="55"/>
        <v>17.944691035407704</v>
      </c>
      <c r="E71" s="12">
        <f t="shared" si="55"/>
        <v>18.900981168336674</v>
      </c>
      <c r="F71" s="12">
        <f t="shared" si="55"/>
        <v>19.857271301265634</v>
      </c>
      <c r="G71" s="12">
        <f t="shared" si="55"/>
        <v>20.81356143419459</v>
      </c>
      <c r="H71" s="12">
        <f t="shared" si="55"/>
        <v>21.773803167146639</v>
      </c>
      <c r="I71" s="12">
        <f t="shared" si="55"/>
        <v>22.735219890000366</v>
      </c>
    </row>
    <row r="72" spans="1:9">
      <c r="A72" s="12">
        <v>7.5</v>
      </c>
      <c r="B72" s="12">
        <v>16.073782859625247</v>
      </c>
      <c r="C72" s="12">
        <v>16.99309066345117</v>
      </c>
      <c r="D72" s="12">
        <v>17.933718143827569</v>
      </c>
      <c r="E72" s="12">
        <v>18.889414809914541</v>
      </c>
      <c r="F72" s="12">
        <v>19.845111476001513</v>
      </c>
      <c r="G72" s="12">
        <v>20.800808142088485</v>
      </c>
      <c r="H72" s="12">
        <v>21.760659028000397</v>
      </c>
      <c r="I72" s="12">
        <v>22.721761986898493</v>
      </c>
    </row>
    <row r="73" spans="1:9">
      <c r="A73" s="12">
        <v>7.6</v>
      </c>
      <c r="B73" s="12">
        <f t="shared" ref="B73:I73" si="56">(B77-B72)/5+B72</f>
        <v>16.066773086744323</v>
      </c>
      <c r="C73" s="12">
        <f t="shared" si="56"/>
        <v>16.984816253681092</v>
      </c>
      <c r="D73" s="12">
        <f t="shared" si="56"/>
        <v>17.923925089087639</v>
      </c>
      <c r="E73" s="12">
        <f t="shared" si="56"/>
        <v>18.879000907949457</v>
      </c>
      <c r="F73" s="12">
        <f t="shared" si="56"/>
        <v>19.834076726811279</v>
      </c>
      <c r="G73" s="12">
        <f t="shared" si="56"/>
        <v>20.789152545673097</v>
      </c>
      <c r="H73" s="12">
        <f t="shared" si="56"/>
        <v>21.748718270865037</v>
      </c>
      <c r="I73" s="12">
        <f t="shared" si="56"/>
        <v>22.709495532042077</v>
      </c>
    </row>
    <row r="74" spans="1:9">
      <c r="A74" s="12">
        <v>7.7</v>
      </c>
      <c r="B74" s="12">
        <f t="shared" ref="B74:I74" si="57">(B77-B72)/5+B73</f>
        <v>16.0597633138634</v>
      </c>
      <c r="C74" s="12">
        <f t="shared" si="57"/>
        <v>16.976541843911015</v>
      </c>
      <c r="D74" s="12">
        <f t="shared" si="57"/>
        <v>17.914132034347709</v>
      </c>
      <c r="E74" s="12">
        <f t="shared" si="57"/>
        <v>18.868587005984374</v>
      </c>
      <c r="F74" s="12">
        <f t="shared" si="57"/>
        <v>19.823041977621045</v>
      </c>
      <c r="G74" s="12">
        <f t="shared" si="57"/>
        <v>20.77749694925771</v>
      </c>
      <c r="H74" s="12">
        <f t="shared" si="57"/>
        <v>21.736777513729677</v>
      </c>
      <c r="I74" s="12">
        <f t="shared" si="57"/>
        <v>22.697229077185661</v>
      </c>
    </row>
    <row r="75" spans="1:9">
      <c r="A75" s="12">
        <v>7.8</v>
      </c>
      <c r="B75" s="12">
        <f t="shared" ref="B75:I75" si="58">(B77-B72)/5+B74</f>
        <v>16.052753540982476</v>
      </c>
      <c r="C75" s="12">
        <f t="shared" si="58"/>
        <v>16.968267434140937</v>
      </c>
      <c r="D75" s="12">
        <f t="shared" si="58"/>
        <v>17.904338979607779</v>
      </c>
      <c r="E75" s="12">
        <f t="shared" si="58"/>
        <v>18.85817310401929</v>
      </c>
      <c r="F75" s="12">
        <f t="shared" si="58"/>
        <v>19.812007228430812</v>
      </c>
      <c r="G75" s="12">
        <f t="shared" si="58"/>
        <v>20.765841352842322</v>
      </c>
      <c r="H75" s="12">
        <f t="shared" si="58"/>
        <v>21.724836756594318</v>
      </c>
      <c r="I75" s="12">
        <f t="shared" si="58"/>
        <v>22.684962622329245</v>
      </c>
    </row>
    <row r="76" spans="1:9">
      <c r="A76" s="12">
        <v>7.9</v>
      </c>
      <c r="B76" s="12">
        <f t="shared" ref="B76:I76" si="59">(B77-B72)/5+B75</f>
        <v>16.045743768101552</v>
      </c>
      <c r="C76" s="12">
        <f t="shared" si="59"/>
        <v>16.95999302437086</v>
      </c>
      <c r="D76" s="12">
        <f t="shared" si="59"/>
        <v>17.894545924867849</v>
      </c>
      <c r="E76" s="12">
        <f t="shared" si="59"/>
        <v>18.847759202054206</v>
      </c>
      <c r="F76" s="12">
        <f t="shared" si="59"/>
        <v>19.800972479240578</v>
      </c>
      <c r="G76" s="12">
        <f t="shared" si="59"/>
        <v>20.754185756426935</v>
      </c>
      <c r="H76" s="12">
        <f t="shared" si="59"/>
        <v>21.712895999458958</v>
      </c>
      <c r="I76" s="12">
        <f t="shared" si="59"/>
        <v>22.672696167472829</v>
      </c>
    </row>
    <row r="77" spans="1:9">
      <c r="A77" s="12">
        <v>8</v>
      </c>
      <c r="B77" s="12">
        <v>16.038733995220635</v>
      </c>
      <c r="C77" s="12">
        <v>16.951718614600782</v>
      </c>
      <c r="D77" s="12">
        <v>17.884752870127912</v>
      </c>
      <c r="E77" s="12">
        <v>18.837345300089126</v>
      </c>
      <c r="F77" s="12">
        <v>19.789937730050337</v>
      </c>
      <c r="G77" s="12">
        <v>20.742530160011551</v>
      </c>
      <c r="H77" s="12">
        <v>21.700955242323595</v>
      </c>
      <c r="I77" s="12">
        <v>22.660429712616416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ECDE-CCB7-44D1-B75B-F148E9031D44}">
  <dimension ref="B2:G55"/>
  <sheetViews>
    <sheetView workbookViewId="0">
      <selection activeCell="B4" sqref="B4"/>
    </sheetView>
  </sheetViews>
  <sheetFormatPr defaultRowHeight="14.5"/>
  <cols>
    <col min="2" max="2" width="10.54296875" customWidth="1"/>
    <col min="3" max="3" width="13.26953125" customWidth="1"/>
    <col min="5" max="5" width="11.7265625" customWidth="1"/>
  </cols>
  <sheetData>
    <row r="2" spans="2:7">
      <c r="C2" t="s">
        <v>269</v>
      </c>
    </row>
    <row r="4" spans="2:7">
      <c r="B4" t="s">
        <v>268</v>
      </c>
      <c r="C4" t="s">
        <v>264</v>
      </c>
      <c r="D4" t="s">
        <v>265</v>
      </c>
      <c r="E4" t="s">
        <v>266</v>
      </c>
      <c r="F4" t="s">
        <v>267</v>
      </c>
      <c r="G4" t="s">
        <v>270</v>
      </c>
    </row>
    <row r="5" spans="2:7">
      <c r="B5">
        <v>2000</v>
      </c>
      <c r="C5" s="12">
        <f t="shared" ref="C5:C21" si="0">C6-0.015</f>
        <v>4.7300000000000058</v>
      </c>
    </row>
    <row r="6" spans="2:7">
      <c r="B6">
        <v>2001</v>
      </c>
      <c r="C6" s="12">
        <f t="shared" si="0"/>
        <v>4.7450000000000054</v>
      </c>
    </row>
    <row r="7" spans="2:7">
      <c r="B7">
        <v>2002</v>
      </c>
      <c r="C7" s="12">
        <f t="shared" si="0"/>
        <v>4.7600000000000051</v>
      </c>
    </row>
    <row r="8" spans="2:7">
      <c r="B8">
        <v>2003</v>
      </c>
      <c r="C8" s="12">
        <f t="shared" si="0"/>
        <v>4.7750000000000048</v>
      </c>
    </row>
    <row r="9" spans="2:7">
      <c r="B9">
        <v>2004</v>
      </c>
      <c r="C9" s="12">
        <f t="shared" si="0"/>
        <v>4.7900000000000045</v>
      </c>
    </row>
    <row r="10" spans="2:7">
      <c r="B10">
        <v>2005</v>
      </c>
      <c r="C10" s="12">
        <f t="shared" si="0"/>
        <v>4.8050000000000042</v>
      </c>
    </row>
    <row r="11" spans="2:7">
      <c r="B11">
        <v>2006</v>
      </c>
      <c r="C11" s="12">
        <f t="shared" si="0"/>
        <v>4.8200000000000038</v>
      </c>
    </row>
    <row r="12" spans="2:7">
      <c r="B12">
        <v>2007</v>
      </c>
      <c r="C12" s="12">
        <f t="shared" si="0"/>
        <v>4.8350000000000035</v>
      </c>
    </row>
    <row r="13" spans="2:7">
      <c r="B13">
        <v>2008</v>
      </c>
      <c r="C13" s="12">
        <f t="shared" si="0"/>
        <v>4.8500000000000032</v>
      </c>
    </row>
    <row r="14" spans="2:7">
      <c r="B14">
        <v>2009</v>
      </c>
      <c r="C14" s="12">
        <f t="shared" si="0"/>
        <v>4.8650000000000029</v>
      </c>
    </row>
    <row r="15" spans="2:7">
      <c r="B15">
        <v>2010</v>
      </c>
      <c r="C15" s="12">
        <f t="shared" si="0"/>
        <v>4.8800000000000026</v>
      </c>
    </row>
    <row r="16" spans="2:7">
      <c r="B16">
        <v>2011</v>
      </c>
      <c r="C16" s="12">
        <f t="shared" si="0"/>
        <v>4.8950000000000022</v>
      </c>
    </row>
    <row r="17" spans="2:3">
      <c r="B17">
        <v>2012</v>
      </c>
      <c r="C17" s="12">
        <f t="shared" si="0"/>
        <v>4.9100000000000019</v>
      </c>
    </row>
    <row r="18" spans="2:3">
      <c r="B18">
        <v>2013</v>
      </c>
      <c r="C18" s="12">
        <f t="shared" si="0"/>
        <v>4.9250000000000016</v>
      </c>
    </row>
    <row r="19" spans="2:3">
      <c r="B19">
        <v>2014</v>
      </c>
      <c r="C19" s="12">
        <f t="shared" si="0"/>
        <v>4.9400000000000013</v>
      </c>
    </row>
    <row r="20" spans="2:3">
      <c r="B20">
        <v>2015</v>
      </c>
      <c r="C20" s="12">
        <f t="shared" si="0"/>
        <v>4.955000000000001</v>
      </c>
    </row>
    <row r="21" spans="2:3">
      <c r="B21">
        <v>2016</v>
      </c>
      <c r="C21" s="12">
        <f t="shared" si="0"/>
        <v>4.9700000000000006</v>
      </c>
    </row>
    <row r="22" spans="2:3">
      <c r="B22">
        <v>2017</v>
      </c>
      <c r="C22" s="12">
        <f>C23-0.015</f>
        <v>4.9850000000000003</v>
      </c>
    </row>
    <row r="23" spans="2:3">
      <c r="B23">
        <v>2018</v>
      </c>
      <c r="C23" s="12">
        <v>5</v>
      </c>
    </row>
    <row r="24" spans="2:3">
      <c r="B24">
        <v>2019</v>
      </c>
      <c r="C24" s="12">
        <f>C23+0.015</f>
        <v>5.0149999999999997</v>
      </c>
    </row>
    <row r="25" spans="2:3">
      <c r="B25">
        <v>2020</v>
      </c>
      <c r="C25" s="12">
        <f t="shared" ref="C25:C55" si="1">C24+0.015</f>
        <v>5.0299999999999994</v>
      </c>
    </row>
    <row r="26" spans="2:3">
      <c r="B26">
        <v>2021</v>
      </c>
      <c r="C26" s="12">
        <f t="shared" si="1"/>
        <v>5.044999999999999</v>
      </c>
    </row>
    <row r="27" spans="2:3">
      <c r="B27">
        <v>2022</v>
      </c>
      <c r="C27" s="12">
        <f t="shared" si="1"/>
        <v>5.0599999999999987</v>
      </c>
    </row>
    <row r="28" spans="2:3">
      <c r="B28">
        <v>2023</v>
      </c>
      <c r="C28" s="12">
        <f t="shared" si="1"/>
        <v>5.0749999999999984</v>
      </c>
    </row>
    <row r="29" spans="2:3">
      <c r="B29">
        <v>2024</v>
      </c>
      <c r="C29" s="12">
        <f t="shared" si="1"/>
        <v>5.0899999999999981</v>
      </c>
    </row>
    <row r="30" spans="2:3">
      <c r="B30">
        <v>2025</v>
      </c>
      <c r="C30" s="12">
        <f t="shared" si="1"/>
        <v>5.1049999999999978</v>
      </c>
    </row>
    <row r="31" spans="2:3">
      <c r="B31">
        <v>2026</v>
      </c>
      <c r="C31" s="12">
        <f t="shared" si="1"/>
        <v>5.1199999999999974</v>
      </c>
    </row>
    <row r="32" spans="2:3">
      <c r="B32">
        <v>2027</v>
      </c>
      <c r="C32" s="12">
        <f t="shared" si="1"/>
        <v>5.1349999999999971</v>
      </c>
    </row>
    <row r="33" spans="2:3">
      <c r="B33">
        <v>2028</v>
      </c>
      <c r="C33" s="12">
        <f t="shared" si="1"/>
        <v>5.1499999999999968</v>
      </c>
    </row>
    <row r="34" spans="2:3">
      <c r="B34">
        <v>2029</v>
      </c>
      <c r="C34" s="12">
        <f t="shared" si="1"/>
        <v>5.1649999999999965</v>
      </c>
    </row>
    <row r="35" spans="2:3">
      <c r="B35">
        <v>2030</v>
      </c>
      <c r="C35" s="12">
        <f t="shared" si="1"/>
        <v>5.1799999999999962</v>
      </c>
    </row>
    <row r="36" spans="2:3">
      <c r="B36">
        <v>2031</v>
      </c>
      <c r="C36" s="12">
        <f t="shared" si="1"/>
        <v>5.1949999999999958</v>
      </c>
    </row>
    <row r="37" spans="2:3">
      <c r="B37">
        <v>2032</v>
      </c>
      <c r="C37" s="12">
        <f t="shared" si="1"/>
        <v>5.2099999999999955</v>
      </c>
    </row>
    <row r="38" spans="2:3">
      <c r="B38">
        <v>2033</v>
      </c>
      <c r="C38" s="12">
        <f t="shared" si="1"/>
        <v>5.2249999999999952</v>
      </c>
    </row>
    <row r="39" spans="2:3">
      <c r="B39">
        <v>2034</v>
      </c>
      <c r="C39" s="12">
        <f t="shared" si="1"/>
        <v>5.2399999999999949</v>
      </c>
    </row>
    <row r="40" spans="2:3">
      <c r="B40">
        <v>2035</v>
      </c>
      <c r="C40" s="12">
        <f t="shared" si="1"/>
        <v>5.2549999999999946</v>
      </c>
    </row>
    <row r="41" spans="2:3">
      <c r="B41">
        <v>2036</v>
      </c>
      <c r="C41" s="12">
        <f t="shared" si="1"/>
        <v>5.2699999999999942</v>
      </c>
    </row>
    <row r="42" spans="2:3">
      <c r="B42">
        <v>2037</v>
      </c>
      <c r="C42" s="12">
        <f t="shared" si="1"/>
        <v>5.2849999999999939</v>
      </c>
    </row>
    <row r="43" spans="2:3">
      <c r="B43">
        <v>2038</v>
      </c>
      <c r="C43" s="12">
        <f t="shared" si="1"/>
        <v>5.2999999999999936</v>
      </c>
    </row>
    <row r="44" spans="2:3">
      <c r="B44">
        <v>2039</v>
      </c>
      <c r="C44" s="12">
        <f t="shared" si="1"/>
        <v>5.3149999999999933</v>
      </c>
    </row>
    <row r="45" spans="2:3">
      <c r="B45">
        <v>2040</v>
      </c>
      <c r="C45" s="12">
        <f t="shared" si="1"/>
        <v>5.329999999999993</v>
      </c>
    </row>
    <row r="46" spans="2:3">
      <c r="B46">
        <v>2041</v>
      </c>
      <c r="C46" s="12">
        <f t="shared" si="1"/>
        <v>5.3449999999999926</v>
      </c>
    </row>
    <row r="47" spans="2:3">
      <c r="B47">
        <v>2042</v>
      </c>
      <c r="C47" s="12">
        <f t="shared" si="1"/>
        <v>5.3599999999999923</v>
      </c>
    </row>
    <row r="48" spans="2:3">
      <c r="B48">
        <v>2043</v>
      </c>
      <c r="C48" s="12">
        <f t="shared" si="1"/>
        <v>5.374999999999992</v>
      </c>
    </row>
    <row r="49" spans="2:3">
      <c r="B49">
        <v>2044</v>
      </c>
      <c r="C49" s="12">
        <f t="shared" si="1"/>
        <v>5.3899999999999917</v>
      </c>
    </row>
    <row r="50" spans="2:3">
      <c r="B50">
        <v>2045</v>
      </c>
      <c r="C50" s="12">
        <f t="shared" si="1"/>
        <v>5.4049999999999914</v>
      </c>
    </row>
    <row r="51" spans="2:3">
      <c r="B51">
        <v>2046</v>
      </c>
      <c r="C51" s="12">
        <f t="shared" si="1"/>
        <v>5.419999999999991</v>
      </c>
    </row>
    <row r="52" spans="2:3">
      <c r="B52">
        <v>2047</v>
      </c>
      <c r="C52" s="12">
        <f t="shared" si="1"/>
        <v>5.4349999999999907</v>
      </c>
    </row>
    <row r="53" spans="2:3">
      <c r="B53">
        <v>2048</v>
      </c>
      <c r="C53" s="12">
        <f t="shared" si="1"/>
        <v>5.4499999999999904</v>
      </c>
    </row>
    <row r="54" spans="2:3">
      <c r="B54">
        <v>2049</v>
      </c>
      <c r="C54" s="12">
        <f t="shared" si="1"/>
        <v>5.4649999999999901</v>
      </c>
    </row>
    <row r="55" spans="2:3">
      <c r="B55">
        <v>2050</v>
      </c>
      <c r="C55" s="12">
        <f t="shared" si="1"/>
        <v>5.4799999999999898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6322-5938-451C-8920-41CA14915CDF}">
  <dimension ref="B2:P116"/>
  <sheetViews>
    <sheetView topLeftCell="A7" zoomScale="85" zoomScaleNormal="85" workbookViewId="0">
      <selection activeCell="I41" sqref="I41"/>
    </sheetView>
  </sheetViews>
  <sheetFormatPr defaultRowHeight="14.5"/>
  <cols>
    <col min="2" max="2" width="41.7265625" bestFit="1" customWidth="1"/>
    <col min="3" max="3" width="32.1796875" bestFit="1" customWidth="1"/>
    <col min="4" max="4" width="18.7265625" customWidth="1"/>
    <col min="5" max="5" width="50.1796875" bestFit="1" customWidth="1"/>
    <col min="6" max="6" width="20.81640625" bestFit="1" customWidth="1"/>
    <col min="7" max="7" width="23" bestFit="1" customWidth="1"/>
    <col min="8" max="8" width="37" bestFit="1" customWidth="1"/>
    <col min="9" max="9" width="35.1796875" bestFit="1" customWidth="1"/>
    <col min="10" max="10" width="42.54296875" style="74" bestFit="1" customWidth="1"/>
    <col min="11" max="11" width="34.26953125" bestFit="1" customWidth="1"/>
    <col min="13" max="13" width="11.7265625" bestFit="1" customWidth="1"/>
  </cols>
  <sheetData>
    <row r="2" spans="2:13">
      <c r="M2" t="s">
        <v>175</v>
      </c>
    </row>
    <row r="3" spans="2:13">
      <c r="J3" s="89" t="s">
        <v>140</v>
      </c>
      <c r="K3" s="96" t="s">
        <v>141</v>
      </c>
    </row>
    <row r="4" spans="2:13">
      <c r="K4" s="90" t="s">
        <v>142</v>
      </c>
    </row>
    <row r="5" spans="2:13">
      <c r="B5" t="s">
        <v>0</v>
      </c>
      <c r="I5" t="s">
        <v>174</v>
      </c>
      <c r="J5" s="128">
        <f>L109</f>
        <v>1500.0000000000002</v>
      </c>
      <c r="K5" s="90"/>
      <c r="L5" t="s">
        <v>122</v>
      </c>
      <c r="M5" s="8">
        <f>J10/K7</f>
        <v>1.4541426289881425</v>
      </c>
    </row>
    <row r="6" spans="2:13">
      <c r="B6" s="11">
        <v>100</v>
      </c>
      <c r="C6" t="s">
        <v>1</v>
      </c>
      <c r="I6" t="s">
        <v>174</v>
      </c>
      <c r="J6" s="74">
        <f>J5*31.65/1000</f>
        <v>47.475000000000009</v>
      </c>
      <c r="K6" s="90"/>
      <c r="L6" t="s">
        <v>155</v>
      </c>
    </row>
    <row r="7" spans="2:13">
      <c r="I7" t="s">
        <v>188</v>
      </c>
      <c r="J7" s="137">
        <f>SUM(J37,J41,J45,J51)</f>
        <v>47.801220567516509</v>
      </c>
      <c r="K7" s="138">
        <f>SUM(K37,K41,K45,K51)</f>
        <v>32.872442919013203</v>
      </c>
      <c r="L7" t="s">
        <v>111</v>
      </c>
    </row>
    <row r="8" spans="2:13">
      <c r="I8" t="s">
        <v>121</v>
      </c>
      <c r="J8" s="74">
        <v>1500</v>
      </c>
      <c r="K8" s="90"/>
      <c r="L8" t="s">
        <v>122</v>
      </c>
    </row>
    <row r="9" spans="2:13">
      <c r="I9" t="s">
        <v>121</v>
      </c>
      <c r="J9" s="74">
        <f>J8*31.65/1000</f>
        <v>47.475000000000001</v>
      </c>
      <c r="K9" s="90"/>
      <c r="L9" t="s">
        <v>155</v>
      </c>
    </row>
    <row r="10" spans="2:13">
      <c r="I10" t="s">
        <v>189</v>
      </c>
      <c r="J10" s="128">
        <f>(J9-J101-J105)*H97+J73+J78+J82</f>
        <v>47.801220567516509</v>
      </c>
      <c r="K10" s="90"/>
      <c r="L10" t="s">
        <v>111</v>
      </c>
    </row>
    <row r="11" spans="2:13">
      <c r="J11" s="135">
        <f>TempVerschilCorrectie*M5</f>
        <v>27.48890021072711</v>
      </c>
      <c r="K11" s="90"/>
    </row>
    <row r="12" spans="2:13">
      <c r="J12" s="136">
        <f>J11-buitentemperatuur</f>
        <v>22.48890021072711</v>
      </c>
      <c r="K12" s="90"/>
    </row>
    <row r="13" spans="2:13">
      <c r="K13" s="90"/>
    </row>
    <row r="14" spans="2:13">
      <c r="I14" t="s">
        <v>2</v>
      </c>
      <c r="J14" s="74">
        <v>3</v>
      </c>
      <c r="K14" s="90"/>
    </row>
    <row r="15" spans="2:13">
      <c r="I15" t="s">
        <v>28</v>
      </c>
      <c r="J15" s="14">
        <v>6</v>
      </c>
      <c r="K15" s="90">
        <v>6</v>
      </c>
      <c r="L15" t="s">
        <v>29</v>
      </c>
    </row>
    <row r="16" spans="2:13">
      <c r="G16" t="s">
        <v>193</v>
      </c>
      <c r="I16" t="s">
        <v>48</v>
      </c>
      <c r="J16" s="74">
        <f>8760*J15/12</f>
        <v>4380</v>
      </c>
      <c r="K16" s="90">
        <f>8760*K15/12</f>
        <v>4380</v>
      </c>
      <c r="L16" t="s">
        <v>49</v>
      </c>
    </row>
    <row r="17" spans="2:16">
      <c r="G17" s="6">
        <f>SUMPRODUCT(I27:I35,C27:C35)/B6</f>
        <v>1.3659112883732172</v>
      </c>
      <c r="I17" t="s">
        <v>30</v>
      </c>
      <c r="J17" s="74">
        <v>5</v>
      </c>
      <c r="K17" s="90">
        <v>5</v>
      </c>
      <c r="L17" s="15" t="s">
        <v>31</v>
      </c>
    </row>
    <row r="18" spans="2:16">
      <c r="I18" t="s">
        <v>186</v>
      </c>
      <c r="J18" s="14">
        <v>24.1</v>
      </c>
      <c r="K18" s="90">
        <v>18</v>
      </c>
      <c r="L18" s="15" t="s">
        <v>31</v>
      </c>
      <c r="M18" s="6">
        <f>buitentemperatuur+M19</f>
        <v>32.774124213673524</v>
      </c>
    </row>
    <row r="19" spans="2:16">
      <c r="I19" t="s">
        <v>50</v>
      </c>
      <c r="J19" s="74">
        <f>J18-J17</f>
        <v>19.100000000000001</v>
      </c>
      <c r="K19" s="90">
        <v>18</v>
      </c>
      <c r="L19" s="15" t="s">
        <v>31</v>
      </c>
      <c r="M19" s="6">
        <f>temperatuurverschil*M5</f>
        <v>27.774124213673524</v>
      </c>
    </row>
    <row r="20" spans="2:16">
      <c r="I20" t="s">
        <v>173</v>
      </c>
      <c r="J20" s="75">
        <f>TemperatuurVerschilCorrectieTheoretisch*M5</f>
        <v>18.903854176845854</v>
      </c>
      <c r="K20" s="90">
        <f>K18-K17</f>
        <v>13</v>
      </c>
      <c r="L20" s="15" t="s">
        <v>31</v>
      </c>
    </row>
    <row r="21" spans="2:16">
      <c r="K21" s="90"/>
    </row>
    <row r="22" spans="2:16">
      <c r="J22" s="74" t="s">
        <v>117</v>
      </c>
      <c r="K22" s="90" t="s">
        <v>116</v>
      </c>
      <c r="O22" s="8"/>
    </row>
    <row r="23" spans="2:16">
      <c r="B23" s="26"/>
      <c r="C23" s="26"/>
      <c r="D23" s="26"/>
      <c r="E23" s="133"/>
      <c r="F23" s="26"/>
      <c r="G23" s="26"/>
      <c r="H23" s="26"/>
      <c r="I23" s="26"/>
      <c r="J23" s="76"/>
      <c r="K23" s="90"/>
      <c r="L23" s="26"/>
      <c r="M23" s="26"/>
      <c r="O23" s="8"/>
    </row>
    <row r="24" spans="2:16">
      <c r="B24" s="18" t="s">
        <v>194</v>
      </c>
      <c r="C24" s="18" t="s">
        <v>3</v>
      </c>
      <c r="D24" s="18" t="s">
        <v>42</v>
      </c>
      <c r="E24" s="18"/>
      <c r="F24" s="18"/>
      <c r="G24" s="18"/>
      <c r="H24" s="18" t="s">
        <v>4</v>
      </c>
      <c r="I24" s="18" t="s">
        <v>43</v>
      </c>
      <c r="J24" s="16" t="s">
        <v>191</v>
      </c>
      <c r="K24" s="91" t="s">
        <v>190</v>
      </c>
      <c r="N24" s="64"/>
      <c r="P24" s="8"/>
    </row>
    <row r="25" spans="2:16" ht="17.5">
      <c r="B25" s="10"/>
      <c r="C25" s="10" t="s">
        <v>5</v>
      </c>
      <c r="D25" s="10" t="s">
        <v>6</v>
      </c>
      <c r="E25" s="77"/>
      <c r="F25" s="77"/>
      <c r="G25" s="77"/>
      <c r="H25" s="10"/>
      <c r="I25" s="10" t="s">
        <v>32</v>
      </c>
      <c r="J25" s="77" t="s">
        <v>115</v>
      </c>
      <c r="K25" s="77" t="s">
        <v>115</v>
      </c>
      <c r="L25" s="10"/>
      <c r="M25" s="10"/>
      <c r="N25" s="10"/>
      <c r="P25" s="8"/>
    </row>
    <row r="26" spans="2:16" ht="28.9" customHeight="1">
      <c r="B26" s="2"/>
      <c r="K26" s="93"/>
    </row>
    <row r="27" spans="2:16" ht="15" thickBot="1">
      <c r="B27" s="63" t="s">
        <v>8</v>
      </c>
      <c r="C27" s="14">
        <f>'Minimum versie'!F19</f>
        <v>40</v>
      </c>
      <c r="D27" s="8">
        <v>0.5</v>
      </c>
      <c r="E27" s="73"/>
      <c r="F27" s="73"/>
      <c r="G27" s="73"/>
      <c r="H27" s="27" t="str">
        <f>'Minimum versie'!D19</f>
        <v>Niveau 2</v>
      </c>
      <c r="I27" s="72">
        <f>INDEX(Kentallen!$C18:$G18,1,MATCH($H27,Uwaarden[[#Headers],[RC=0]:[Niveau 4]],0))</f>
        <v>0.625</v>
      </c>
      <c r="J27" s="78">
        <f t="shared" ref="J27:J35" si="0">I27*D27*C27*TempVerschilCorrectie*stookuren*3.6/10^6</f>
        <v>3.7259496582563179</v>
      </c>
      <c r="K27" s="142">
        <f t="shared" ref="K27:K35" si="1">I27*D27*C27*$K$20*stookuren*3.6/10^6</f>
        <v>2.5623</v>
      </c>
      <c r="L27" s="6"/>
      <c r="M27" s="6"/>
      <c r="N27" s="6"/>
    </row>
    <row r="28" spans="2:16" ht="15.5" thickTop="1" thickBot="1">
      <c r="B28" s="63" t="s">
        <v>9</v>
      </c>
      <c r="C28" s="14">
        <v>70</v>
      </c>
      <c r="D28" s="8">
        <v>1</v>
      </c>
      <c r="E28" s="73"/>
      <c r="F28" s="73"/>
      <c r="G28" s="73"/>
      <c r="H28" s="27" t="str">
        <f>'Minimum versie'!D20</f>
        <v>Niveau 2</v>
      </c>
      <c r="I28" s="72">
        <f>INDEX(Kentallen!$C19:$G19,1,MATCH($H28,Uwaarden[[#Headers],[RC=0]:[Niveau 4]],0))</f>
        <v>0.68027210884353728</v>
      </c>
      <c r="J28" s="78">
        <f t="shared" si="0"/>
        <v>14.194093936214539</v>
      </c>
      <c r="K28" s="97">
        <f t="shared" si="1"/>
        <v>9.7611428571428558</v>
      </c>
      <c r="L28" s="6"/>
      <c r="M28" s="6"/>
      <c r="N28" s="6"/>
    </row>
    <row r="29" spans="2:16" ht="15.5" thickTop="1" thickBot="1">
      <c r="B29" s="63" t="s">
        <v>11</v>
      </c>
      <c r="C29" s="14">
        <v>0</v>
      </c>
      <c r="D29" s="8">
        <v>1</v>
      </c>
      <c r="E29" s="73"/>
      <c r="F29" s="73"/>
      <c r="G29" s="73"/>
      <c r="H29" s="27" t="str">
        <f>'Minimum versie'!D21</f>
        <v>Niveau 2</v>
      </c>
      <c r="I29" s="72">
        <f>INDEX(Kentallen!$C20:$G20,1,MATCH($H29,Uwaarden[[#Headers],[RC=0]:[Niveau 4]],0))</f>
        <v>0.68027210884353728</v>
      </c>
      <c r="J29" s="78">
        <f t="shared" si="0"/>
        <v>0</v>
      </c>
      <c r="K29" s="97">
        <f t="shared" si="1"/>
        <v>0</v>
      </c>
      <c r="L29" s="6"/>
      <c r="M29" s="6"/>
      <c r="N29" s="6"/>
    </row>
    <row r="30" spans="2:16" ht="15.5" thickTop="1" thickBot="1">
      <c r="B30" s="63" t="s">
        <v>12</v>
      </c>
      <c r="C30" s="14">
        <v>0</v>
      </c>
      <c r="D30" s="8">
        <v>1</v>
      </c>
      <c r="E30" s="73"/>
      <c r="F30" s="73"/>
      <c r="G30" s="73"/>
      <c r="H30" s="27" t="str">
        <f>'Minimum versie'!D22</f>
        <v>Niveau 1</v>
      </c>
      <c r="I30" s="72">
        <f>INDEX(Kentallen!$C21:$G21,1,MATCH($H30,Uwaarden[[#Headers],[RC=0]:[Niveau 4]],0))</f>
        <v>0.68027210884353728</v>
      </c>
      <c r="J30" s="78">
        <f t="shared" si="0"/>
        <v>0</v>
      </c>
      <c r="K30" s="97">
        <f t="shared" si="1"/>
        <v>0</v>
      </c>
      <c r="L30" s="6"/>
      <c r="M30" s="6"/>
      <c r="N30" s="6"/>
    </row>
    <row r="31" spans="2:16" ht="15.5" thickTop="1" thickBot="1">
      <c r="B31" s="63" t="s">
        <v>14</v>
      </c>
      <c r="C31" s="14">
        <v>62</v>
      </c>
      <c r="D31" s="8">
        <v>1</v>
      </c>
      <c r="E31" s="73"/>
      <c r="F31" s="73"/>
      <c r="G31" s="73"/>
      <c r="H31" s="27" t="str">
        <f>'Minimum versie'!D23</f>
        <v>Niveau 2</v>
      </c>
      <c r="I31" s="72">
        <f>INDEX(Kentallen!$C22:$G22,1,MATCH($H31,Uwaarden[[#Headers],[RC=0]:[Niveau 4]],0))</f>
        <v>0.50761421319796951</v>
      </c>
      <c r="J31" s="78">
        <f t="shared" si="0"/>
        <v>9.3810712207874811</v>
      </c>
      <c r="K31" s="97">
        <f t="shared" si="1"/>
        <v>6.4512730964467</v>
      </c>
      <c r="L31" s="6"/>
      <c r="M31" s="6"/>
      <c r="N31" s="6"/>
    </row>
    <row r="32" spans="2:16" ht="15.5" thickTop="1" thickBot="1">
      <c r="B32" s="63" t="s">
        <v>177</v>
      </c>
      <c r="C32" s="14">
        <v>2</v>
      </c>
      <c r="D32" s="8">
        <v>1</v>
      </c>
      <c r="E32" s="73"/>
      <c r="F32" s="73"/>
      <c r="G32" s="73"/>
      <c r="H32" s="27" t="str">
        <f>'Minimum versie'!D24</f>
        <v>Niveau 1</v>
      </c>
      <c r="I32" s="72">
        <f>INDEX(Kentallen!$C23:$G23,1,MATCH($H32,Uwaarden[[#Headers],[RC=0]:[Niveau 4]],0))</f>
        <v>3.45</v>
      </c>
      <c r="J32" s="78">
        <f t="shared" si="0"/>
        <v>2.0567242113574875</v>
      </c>
      <c r="K32" s="97">
        <f t="shared" si="1"/>
        <v>1.4143896</v>
      </c>
      <c r="L32" s="6"/>
      <c r="M32" s="6"/>
      <c r="N32" s="6"/>
    </row>
    <row r="33" spans="2:14" ht="15.5" thickTop="1" thickBot="1">
      <c r="B33" s="63" t="s">
        <v>178</v>
      </c>
      <c r="C33" s="14">
        <v>0</v>
      </c>
      <c r="D33" s="8">
        <v>1</v>
      </c>
      <c r="E33" s="73"/>
      <c r="F33" s="73"/>
      <c r="G33" s="73"/>
      <c r="H33" s="27" t="str">
        <f>'Minimum versie'!D25</f>
        <v>Niveau 2</v>
      </c>
      <c r="I33" s="72">
        <f>INDEX(Kentallen!$C24:$G24,1,MATCH($H33,Uwaarden[[#Headers],[RC=0]:[Niveau 4]],0))</f>
        <v>0.46082949308755761</v>
      </c>
      <c r="J33" s="78">
        <f t="shared" si="0"/>
        <v>0</v>
      </c>
      <c r="K33" s="97">
        <f t="shared" si="1"/>
        <v>0</v>
      </c>
      <c r="L33" s="6"/>
      <c r="M33" s="6"/>
      <c r="N33" s="6"/>
    </row>
    <row r="34" spans="2:14" ht="15.5" thickTop="1" thickBot="1">
      <c r="B34" s="63" t="s">
        <v>16</v>
      </c>
      <c r="C34" s="14">
        <v>8</v>
      </c>
      <c r="D34" s="8">
        <v>1</v>
      </c>
      <c r="E34" s="73"/>
      <c r="F34" s="73"/>
      <c r="G34" s="73"/>
      <c r="H34" s="27" t="str">
        <f>'Minimum versie'!D26</f>
        <v>Niveau 2</v>
      </c>
      <c r="I34" s="72">
        <f>INDEX(Kentallen!$C25:$G25,1,MATCH($H34,Uwaarden[[#Headers],[RC=0]:[Niveau 4]],0))</f>
        <v>1.6</v>
      </c>
      <c r="J34" s="78">
        <f t="shared" si="0"/>
        <v>3.8153724500544697</v>
      </c>
      <c r="K34" s="97">
        <f t="shared" si="1"/>
        <v>2.6237952</v>
      </c>
      <c r="L34" s="6"/>
      <c r="M34" s="6"/>
      <c r="N34" s="6"/>
    </row>
    <row r="35" spans="2:14" ht="15.5" thickTop="1" thickBot="1">
      <c r="B35" s="63" t="s">
        <v>17</v>
      </c>
      <c r="C35" s="14">
        <v>8</v>
      </c>
      <c r="D35" s="8">
        <v>1</v>
      </c>
      <c r="E35" s="73"/>
      <c r="F35" s="73"/>
      <c r="G35" s="73"/>
      <c r="H35" s="27" t="str">
        <f>'Minimum versie'!D27</f>
        <v>Niveau 2</v>
      </c>
      <c r="I35" s="72">
        <f>INDEX(Kentallen!$C26:$G26,1,MATCH($H35,Uwaarden[[#Headers],[RC=0]:[Niveau 4]],0))</f>
        <v>1.6</v>
      </c>
      <c r="J35" s="79">
        <f t="shared" si="0"/>
        <v>3.8153724500544697</v>
      </c>
      <c r="K35" s="97">
        <f t="shared" si="1"/>
        <v>2.6237952</v>
      </c>
      <c r="L35" s="6"/>
      <c r="M35" s="6"/>
      <c r="N35" s="6"/>
    </row>
    <row r="36" spans="2:14" ht="15.5" thickTop="1" thickBot="1">
      <c r="B36" s="63" t="s">
        <v>204</v>
      </c>
      <c r="C36" s="14">
        <f>B6</f>
        <v>100</v>
      </c>
      <c r="D36" s="8">
        <v>1</v>
      </c>
      <c r="E36" s="73"/>
      <c r="F36" s="73"/>
      <c r="G36" s="73"/>
      <c r="H36" s="27" t="str">
        <f>'Minimum versie'!D28</f>
        <v>Niveau 2</v>
      </c>
      <c r="I36" s="72"/>
      <c r="J36" s="148"/>
      <c r="K36" s="149"/>
      <c r="L36" s="6"/>
      <c r="M36" s="6"/>
      <c r="N36" s="6"/>
    </row>
    <row r="37" spans="2:14" ht="15.5" thickTop="1" thickBot="1">
      <c r="B37" s="3" t="s">
        <v>195</v>
      </c>
      <c r="C37" s="3">
        <f>SUM(C27:C35)</f>
        <v>190</v>
      </c>
      <c r="D37" s="9">
        <f>SUMPRODUCT(D27:D35,C27:C35)/C37</f>
        <v>0.89473684210526316</v>
      </c>
      <c r="E37" s="17"/>
      <c r="F37" s="17"/>
      <c r="G37" s="17"/>
      <c r="H37" s="3"/>
      <c r="I37" s="7">
        <f>SUMPRODUCT(I27:I35,C27:C35)/C37</f>
        <v>0.71890067809116698</v>
      </c>
      <c r="J37" s="80">
        <f t="shared" ref="J37" si="2">SUM(J27:J35)</f>
        <v>36.988583926724765</v>
      </c>
      <c r="K37" s="94">
        <f>SUM(K27:K35)</f>
        <v>25.436695953589556</v>
      </c>
      <c r="L37" s="7"/>
      <c r="M37" s="7"/>
      <c r="N37" s="7"/>
    </row>
    <row r="38" spans="2:14">
      <c r="K38" s="90"/>
    </row>
    <row r="39" spans="2:14">
      <c r="B39" s="64"/>
      <c r="C39" s="64" t="s">
        <v>62</v>
      </c>
      <c r="D39" s="64" t="s">
        <v>94</v>
      </c>
      <c r="E39" s="64" t="s">
        <v>64</v>
      </c>
      <c r="F39" s="64" t="s">
        <v>65</v>
      </c>
      <c r="G39" s="64" t="s">
        <v>181</v>
      </c>
      <c r="H39" s="64" t="s">
        <v>73</v>
      </c>
      <c r="I39" s="64" t="s">
        <v>118</v>
      </c>
      <c r="J39" s="65" t="s">
        <v>33</v>
      </c>
      <c r="K39" s="91" t="s">
        <v>190</v>
      </c>
      <c r="L39" s="64"/>
      <c r="M39" s="64"/>
      <c r="N39" s="64"/>
    </row>
    <row r="40" spans="2:14" ht="16.5">
      <c r="B40" s="10"/>
      <c r="C40" s="10" t="s">
        <v>93</v>
      </c>
      <c r="D40" s="10"/>
      <c r="E40" s="10" t="s">
        <v>6</v>
      </c>
      <c r="F40" s="10" t="s">
        <v>6</v>
      </c>
      <c r="G40" s="10" t="s">
        <v>69</v>
      </c>
      <c r="H40" s="10" t="s">
        <v>74</v>
      </c>
      <c r="I40" s="10" t="s">
        <v>47</v>
      </c>
      <c r="J40" s="77" t="s">
        <v>111</v>
      </c>
      <c r="K40" s="92" t="s">
        <v>111</v>
      </c>
      <c r="L40" s="10"/>
      <c r="M40" s="10"/>
      <c r="N40" s="10"/>
    </row>
    <row r="41" spans="2:14" ht="15" thickBot="1">
      <c r="B41" s="3" t="s">
        <v>92</v>
      </c>
      <c r="C41" s="3">
        <v>150</v>
      </c>
      <c r="D41" s="68" t="s">
        <v>97</v>
      </c>
      <c r="E41" s="9">
        <v>0.7</v>
      </c>
      <c r="F41" s="9">
        <v>0.5</v>
      </c>
      <c r="G41" s="7">
        <f>C41*(1-E41)*(1-F41)</f>
        <v>22.500000000000004</v>
      </c>
      <c r="H41" s="66">
        <v>1230</v>
      </c>
      <c r="I41" s="7">
        <f>H41*G41/3600</f>
        <v>7.6875000000000009</v>
      </c>
      <c r="J41" s="80">
        <f>I41*stookuren*TempVerschilCorrectie*3.6/10^6</f>
        <v>2.291459039827636</v>
      </c>
      <c r="K41" s="94">
        <f>I41*StookurenTheoretisch*TemperatuurVerschilCorrectieTheoretisch*3.6/10^6</f>
        <v>1.5758145000000006</v>
      </c>
      <c r="L41" s="5"/>
      <c r="M41" s="5"/>
      <c r="N41" s="5"/>
    </row>
    <row r="42" spans="2:14">
      <c r="E42" s="34"/>
      <c r="F42" s="34"/>
      <c r="H42" s="62"/>
      <c r="I42" s="62"/>
      <c r="J42" s="81"/>
      <c r="K42" s="90"/>
      <c r="L42" s="62"/>
      <c r="M42" s="37"/>
      <c r="N42" s="42"/>
    </row>
    <row r="43" spans="2:14">
      <c r="B43" s="64"/>
      <c r="C43" s="64"/>
      <c r="D43" s="64" t="s">
        <v>95</v>
      </c>
      <c r="E43" s="64" t="s">
        <v>66</v>
      </c>
      <c r="F43" s="64"/>
      <c r="G43" s="64" t="s">
        <v>182</v>
      </c>
      <c r="H43" s="67" t="s">
        <v>73</v>
      </c>
      <c r="I43" s="64" t="s">
        <v>118</v>
      </c>
      <c r="J43" s="65" t="s">
        <v>33</v>
      </c>
      <c r="K43" s="91" t="s">
        <v>190</v>
      </c>
      <c r="L43" s="64"/>
      <c r="M43" s="64"/>
      <c r="N43" s="64"/>
    </row>
    <row r="44" spans="2:14" ht="16.5">
      <c r="B44" s="10"/>
      <c r="C44" s="10"/>
      <c r="D44" s="10" t="s">
        <v>114</v>
      </c>
      <c r="E44" s="10" t="s">
        <v>67</v>
      </c>
      <c r="F44" s="10"/>
      <c r="G44" s="10" t="s">
        <v>69</v>
      </c>
      <c r="H44" s="10" t="s">
        <v>74</v>
      </c>
      <c r="I44" s="10" t="s">
        <v>47</v>
      </c>
      <c r="J44" s="77" t="s">
        <v>111</v>
      </c>
      <c r="K44" s="92" t="s">
        <v>111</v>
      </c>
      <c r="L44" s="10"/>
      <c r="M44" s="10"/>
      <c r="N44" s="10"/>
    </row>
    <row r="45" spans="2:14" ht="15" thickBot="1">
      <c r="B45" s="3" t="s">
        <v>112</v>
      </c>
      <c r="C45" s="3"/>
      <c r="D45" s="9" t="s">
        <v>96</v>
      </c>
      <c r="E45" s="132">
        <v>0.625</v>
      </c>
      <c r="F45" s="3"/>
      <c r="G45" s="7">
        <f>3.6*(E45/10^0.7)*$B$6*0.75</f>
        <v>33.67005156509984</v>
      </c>
      <c r="H45" s="66">
        <v>1230</v>
      </c>
      <c r="I45" s="7">
        <f>H45*G45/3600</f>
        <v>11.503934284742446</v>
      </c>
      <c r="J45" s="80">
        <f>I45*stookuren*TempVerschilCorrectie*3.6/10^6</f>
        <v>3.4290464013471404</v>
      </c>
      <c r="K45" s="94">
        <f>I45*StookurenTheoretisch*TemperatuurVerschilCorrectieTheoretisch*3.6/10^6</f>
        <v>2.3581224654236452</v>
      </c>
      <c r="L45" s="5"/>
      <c r="M45" s="5"/>
      <c r="N45" s="5"/>
    </row>
    <row r="46" spans="2:14">
      <c r="E46" s="131" t="s">
        <v>179</v>
      </c>
      <c r="F46" s="15"/>
      <c r="G46" s="15"/>
      <c r="H46" s="61"/>
      <c r="I46" s="61"/>
      <c r="J46" s="82"/>
      <c r="K46" s="90"/>
      <c r="L46" s="61"/>
      <c r="M46" s="61"/>
    </row>
    <row r="47" spans="2:14">
      <c r="F47" s="15"/>
      <c r="G47" s="15"/>
      <c r="H47" s="61"/>
      <c r="I47" s="61"/>
      <c r="J47" s="82"/>
      <c r="K47" s="90"/>
      <c r="L47" s="61"/>
      <c r="M47" s="61"/>
    </row>
    <row r="48" spans="2:14">
      <c r="D48" s="15"/>
      <c r="F48" s="15"/>
      <c r="G48" s="15"/>
      <c r="H48" s="61"/>
      <c r="I48" s="61"/>
      <c r="J48" s="82"/>
      <c r="K48" s="90"/>
      <c r="L48" s="61"/>
      <c r="M48" s="61"/>
    </row>
    <row r="49" spans="2:14">
      <c r="B49" s="64"/>
      <c r="C49" s="64"/>
      <c r="D49" s="64" t="s">
        <v>71</v>
      </c>
      <c r="E49" s="64"/>
      <c r="F49" s="64"/>
      <c r="G49" s="64"/>
      <c r="H49" s="67"/>
      <c r="I49" s="64"/>
      <c r="J49" s="65" t="s">
        <v>33</v>
      </c>
      <c r="K49" s="91" t="s">
        <v>190</v>
      </c>
      <c r="L49" s="64"/>
      <c r="M49" s="64"/>
      <c r="N49" s="64"/>
    </row>
    <row r="50" spans="2:14" ht="16.5">
      <c r="B50" s="10"/>
      <c r="C50" s="10"/>
      <c r="D50" s="10" t="s">
        <v>69</v>
      </c>
      <c r="E50" s="10"/>
      <c r="F50" s="10"/>
      <c r="G50" s="10" t="s">
        <v>69</v>
      </c>
      <c r="H50" s="10" t="s">
        <v>74</v>
      </c>
      <c r="I50" s="10" t="s">
        <v>47</v>
      </c>
      <c r="J50" s="77" t="s">
        <v>111</v>
      </c>
      <c r="K50" s="92" t="s">
        <v>111</v>
      </c>
      <c r="L50" s="10"/>
      <c r="M50" s="10"/>
      <c r="N50" s="10"/>
    </row>
    <row r="51" spans="2:14" ht="15" thickBot="1">
      <c r="B51" s="3" t="s">
        <v>113</v>
      </c>
      <c r="C51" s="3"/>
      <c r="D51" s="66">
        <v>50</v>
      </c>
      <c r="E51" s="17"/>
      <c r="F51" s="3"/>
      <c r="G51" s="7">
        <f>D51</f>
        <v>50</v>
      </c>
      <c r="H51" s="66">
        <v>1230</v>
      </c>
      <c r="I51" s="7">
        <f>H51*G51/3600</f>
        <v>17.083333333333332</v>
      </c>
      <c r="J51" s="80">
        <f>I51*stookuren*TempVerschilCorrectie*3.6/10^6</f>
        <v>5.0921311996169676</v>
      </c>
      <c r="K51" s="94">
        <f>I51*StookurenTheoretisch*TemperatuurVerschilCorrectieTheoretisch*3.6/10^6</f>
        <v>3.5018099999999999</v>
      </c>
      <c r="L51" s="5"/>
      <c r="M51" s="5"/>
      <c r="N51" s="5"/>
    </row>
    <row r="52" spans="2:14">
      <c r="D52" s="15"/>
      <c r="F52" s="15"/>
      <c r="G52" s="15"/>
      <c r="K52" s="90"/>
    </row>
    <row r="53" spans="2:14">
      <c r="B53" s="64"/>
      <c r="C53" s="64" t="s">
        <v>144</v>
      </c>
      <c r="D53" s="64"/>
      <c r="E53" s="64" t="s">
        <v>148</v>
      </c>
      <c r="F53" s="64" t="s">
        <v>149</v>
      </c>
      <c r="G53" s="64" t="s">
        <v>150</v>
      </c>
      <c r="H53" s="64"/>
      <c r="I53" s="64"/>
      <c r="J53" s="65" t="s">
        <v>120</v>
      </c>
      <c r="K53" s="91"/>
      <c r="L53" s="69"/>
      <c r="M53" s="69"/>
      <c r="N53" s="64"/>
    </row>
    <row r="54" spans="2:14">
      <c r="B54" s="10"/>
      <c r="C54" s="119" t="s">
        <v>145</v>
      </c>
      <c r="D54" s="10"/>
      <c r="E54" s="10"/>
      <c r="F54" s="10"/>
      <c r="G54" s="10" t="s">
        <v>114</v>
      </c>
      <c r="H54" s="10"/>
      <c r="I54" s="10"/>
      <c r="J54" s="77" t="s">
        <v>111</v>
      </c>
      <c r="K54" s="92"/>
      <c r="L54" s="26"/>
      <c r="M54" s="26"/>
      <c r="N54" s="10"/>
    </row>
    <row r="55" spans="2:14" ht="15" thickBot="1">
      <c r="B55" s="3" t="s">
        <v>98</v>
      </c>
      <c r="C55" s="14"/>
      <c r="D55" s="66"/>
      <c r="E55" s="17"/>
      <c r="F55" s="3"/>
      <c r="G55" s="7"/>
      <c r="H55" s="66"/>
      <c r="I55" s="7"/>
      <c r="J55" s="80">
        <f>250*31.65/1000*0.75</f>
        <v>5.9343749999999993</v>
      </c>
      <c r="K55" s="94"/>
      <c r="L55" s="5"/>
      <c r="M55" s="5"/>
      <c r="N55" s="5"/>
    </row>
    <row r="56" spans="2:14">
      <c r="B56" s="64"/>
      <c r="C56" s="64"/>
      <c r="D56" s="67"/>
      <c r="E56" s="107"/>
      <c r="F56" s="64"/>
      <c r="G56" s="108"/>
      <c r="H56" s="67"/>
      <c r="I56" s="108"/>
      <c r="J56" s="109"/>
      <c r="K56" s="111"/>
      <c r="L56" s="110"/>
      <c r="M56" s="110"/>
      <c r="N56" s="110"/>
    </row>
    <row r="57" spans="2:14">
      <c r="B57" s="64"/>
      <c r="C57" s="64" t="s">
        <v>144</v>
      </c>
      <c r="D57" s="67"/>
      <c r="E57" s="107" t="s">
        <v>146</v>
      </c>
      <c r="F57" s="64" t="s">
        <v>147</v>
      </c>
      <c r="G57" s="108"/>
      <c r="H57" s="67"/>
      <c r="I57" s="108"/>
      <c r="J57" s="120"/>
      <c r="K57" s="111"/>
      <c r="L57" s="110"/>
      <c r="M57" s="110"/>
      <c r="N57" s="110"/>
    </row>
    <row r="58" spans="2:14">
      <c r="B58" s="47"/>
      <c r="C58" s="119" t="s">
        <v>145</v>
      </c>
      <c r="D58" s="99"/>
      <c r="E58" s="121"/>
      <c r="F58" s="47"/>
      <c r="G58" s="122"/>
      <c r="H58" s="99"/>
      <c r="I58" s="122"/>
      <c r="J58" s="123"/>
      <c r="K58" s="125"/>
      <c r="L58" s="124"/>
      <c r="M58" s="124"/>
      <c r="N58" s="124"/>
    </row>
    <row r="59" spans="2:14" ht="15" thickBot="1">
      <c r="B59" s="112" t="s">
        <v>99</v>
      </c>
      <c r="C59" s="14"/>
      <c r="D59" s="113"/>
      <c r="E59" s="114"/>
      <c r="F59" s="112"/>
      <c r="G59" s="115"/>
      <c r="H59" s="113"/>
      <c r="I59" s="115"/>
      <c r="J59" s="116">
        <f>37*31.65/1000*0.4</f>
        <v>0.46842</v>
      </c>
      <c r="K59" s="118"/>
      <c r="L59" s="117"/>
      <c r="M59" s="117"/>
      <c r="N59" s="117"/>
    </row>
    <row r="60" spans="2:14">
      <c r="C60" s="15"/>
      <c r="D60" s="15"/>
      <c r="F60" s="35"/>
      <c r="G60" s="35"/>
      <c r="I60" s="35"/>
      <c r="J60" s="83"/>
      <c r="K60" s="95"/>
      <c r="L60" s="35"/>
      <c r="M60" s="35"/>
      <c r="N60" s="43"/>
    </row>
    <row r="61" spans="2:14">
      <c r="B61" s="64"/>
      <c r="C61" s="64"/>
      <c r="D61" s="64"/>
      <c r="E61" s="64"/>
      <c r="F61" s="64"/>
      <c r="G61" s="64"/>
      <c r="H61" s="64"/>
      <c r="I61" s="64"/>
      <c r="J61" s="65" t="s">
        <v>120</v>
      </c>
      <c r="K61" s="91"/>
      <c r="L61" s="69"/>
      <c r="M61" s="69"/>
      <c r="N61" s="64"/>
    </row>
    <row r="62" spans="2:14">
      <c r="B62" s="10"/>
      <c r="C62" s="10"/>
      <c r="D62" s="10"/>
      <c r="E62" s="10"/>
      <c r="F62" s="10"/>
      <c r="G62" s="10"/>
      <c r="H62" s="10"/>
      <c r="I62" s="10"/>
      <c r="J62" s="77" t="s">
        <v>111</v>
      </c>
      <c r="K62" s="92"/>
      <c r="L62" s="26"/>
      <c r="M62" s="26"/>
      <c r="N62" s="10"/>
    </row>
    <row r="63" spans="2:14" ht="36.65" customHeight="1" thickBot="1">
      <c r="B63" s="3" t="s">
        <v>119</v>
      </c>
      <c r="C63" s="3"/>
      <c r="D63" s="66"/>
      <c r="E63" s="17"/>
      <c r="F63" s="3"/>
      <c r="G63" s="7"/>
      <c r="H63" s="66"/>
      <c r="I63" s="7"/>
      <c r="J63" s="80">
        <f>J59+J55+J51+J45+J41+J37</f>
        <v>54.204015567516507</v>
      </c>
      <c r="K63" s="94"/>
      <c r="L63" s="5"/>
      <c r="M63" s="5"/>
      <c r="N63" s="5"/>
    </row>
    <row r="64" spans="2:14">
      <c r="C64" s="15"/>
      <c r="D64" s="15"/>
      <c r="F64" s="15"/>
      <c r="G64" s="15"/>
      <c r="J64" s="84"/>
      <c r="K64" s="95"/>
      <c r="L64" s="40"/>
    </row>
    <row r="65" spans="2:14">
      <c r="B65" s="102"/>
      <c r="C65" s="103"/>
      <c r="D65" s="103"/>
      <c r="E65" s="102"/>
      <c r="F65" s="103"/>
      <c r="G65" s="103"/>
      <c r="H65" s="102"/>
      <c r="I65" s="102"/>
      <c r="J65" s="104"/>
      <c r="K65" s="106"/>
      <c r="L65" s="105"/>
      <c r="M65" s="102"/>
      <c r="N65" s="102"/>
    </row>
    <row r="66" spans="2:14">
      <c r="B66" s="47"/>
      <c r="C66" s="47"/>
      <c r="D66" s="47"/>
      <c r="E66" s="47"/>
      <c r="F66" s="47"/>
      <c r="G66" s="47"/>
      <c r="H66" s="99"/>
      <c r="I66" s="47"/>
      <c r="J66" s="100"/>
      <c r="K66" s="101"/>
      <c r="L66" s="47"/>
      <c r="M66" s="47"/>
      <c r="N66" s="47"/>
    </row>
    <row r="67" spans="2:14">
      <c r="B67" s="18"/>
      <c r="C67" s="18" t="s">
        <v>151</v>
      </c>
      <c r="D67" s="18" t="s">
        <v>154</v>
      </c>
      <c r="E67" s="18" t="s">
        <v>153</v>
      </c>
      <c r="F67" s="18" t="s">
        <v>102</v>
      </c>
      <c r="G67" s="18"/>
      <c r="H67" s="18" t="s">
        <v>103</v>
      </c>
      <c r="I67" s="18"/>
      <c r="J67" s="16" t="s">
        <v>135</v>
      </c>
      <c r="K67" s="98"/>
      <c r="N67" s="18"/>
    </row>
    <row r="68" spans="2:14" ht="16.5">
      <c r="B68" s="10" t="s">
        <v>101</v>
      </c>
      <c r="C68" s="10" t="s">
        <v>1</v>
      </c>
      <c r="D68" s="10" t="s">
        <v>32</v>
      </c>
      <c r="E68" s="10"/>
      <c r="F68" s="10" t="s">
        <v>7</v>
      </c>
      <c r="G68" s="10"/>
      <c r="H68" s="10" t="s">
        <v>6</v>
      </c>
      <c r="I68" s="10" t="s">
        <v>106</v>
      </c>
      <c r="J68" s="77" t="s">
        <v>111</v>
      </c>
      <c r="K68" s="92"/>
      <c r="L68" s="10"/>
      <c r="M68" s="10"/>
      <c r="N68" s="10"/>
    </row>
    <row r="69" spans="2:14" ht="16.5">
      <c r="B69" s="15" t="s">
        <v>104</v>
      </c>
      <c r="C69" s="71">
        <f>SUM($C$34:$C$35)/4</f>
        <v>4</v>
      </c>
      <c r="D69" s="126">
        <f>SUMPRODUCT($I$34:$I$35,$C$34:$C$35)/SUM($C$34:$C$35)</f>
        <v>1.6</v>
      </c>
      <c r="E69" s="127">
        <f>FORECAST(D69,Glassoorten[Zontoetredingsfactor],Glassoorten[U-waarde '[W/m2K']])</f>
        <v>0.6044265084023791</v>
      </c>
      <c r="F69" s="37">
        <v>300.76319999999998</v>
      </c>
      <c r="G69" s="15" t="s">
        <v>105</v>
      </c>
      <c r="H69" s="60">
        <v>0.9</v>
      </c>
      <c r="I69" s="37">
        <f>$E69*C69*F69*H69</f>
        <v>654.44130299493509</v>
      </c>
      <c r="J69" s="85">
        <f>I69*3.6/1000</f>
        <v>2.3559886907817664</v>
      </c>
      <c r="K69" s="95"/>
    </row>
    <row r="70" spans="2:14" ht="16.5">
      <c r="B70" s="15" t="s">
        <v>107</v>
      </c>
      <c r="C70" s="71">
        <f>SUM($C$34:$C$35)/4</f>
        <v>4</v>
      </c>
      <c r="D70">
        <f>SUMPRODUCT($I$34:$I$35,$C$34:$C$35)/SUM($C$34:$C$35)</f>
        <v>1.6</v>
      </c>
      <c r="E70" s="127">
        <f>FORECAST(D70,Glassoorten[Zontoetredingsfactor],Glassoorten[U-waarde '[W/m2K']])</f>
        <v>0.6044265084023791</v>
      </c>
      <c r="F70" s="37">
        <v>141.72239999999999</v>
      </c>
      <c r="G70" s="15" t="s">
        <v>105</v>
      </c>
      <c r="H70" s="60">
        <v>0.9</v>
      </c>
      <c r="I70" s="37">
        <f t="shared" ref="I70:I72" si="3">$E70*C70*F70*H70</f>
        <v>308.37879141985923</v>
      </c>
      <c r="J70" s="85">
        <f>I70*3.6/1000</f>
        <v>1.1101636491114932</v>
      </c>
      <c r="K70" s="95"/>
    </row>
    <row r="71" spans="2:14" ht="16.5">
      <c r="B71" s="15" t="s">
        <v>108</v>
      </c>
      <c r="C71" s="71">
        <f>SUM($C$34:$C$35)/4</f>
        <v>4</v>
      </c>
      <c r="D71" s="64">
        <f>SUMPRODUCT($I$34:$I$35,$C$34:$C$35)/SUM($C$34:$C$35)</f>
        <v>1.6</v>
      </c>
      <c r="E71" s="127">
        <f>FORECAST(D71,Glassoorten[Zontoetredingsfactor],Glassoorten[U-waarde '[W/m2K']])</f>
        <v>0.6044265084023791</v>
      </c>
      <c r="F71" s="37">
        <v>77.200800000000001</v>
      </c>
      <c r="G71" s="15" t="s">
        <v>105</v>
      </c>
      <c r="H71" s="60">
        <v>0.9</v>
      </c>
      <c r="I71" s="37">
        <f t="shared" si="3"/>
        <v>167.98395596353342</v>
      </c>
      <c r="J71" s="85">
        <f>I71*3.6/1000</f>
        <v>0.60474224146872024</v>
      </c>
      <c r="K71" s="95"/>
    </row>
    <row r="72" spans="2:14" ht="16.5">
      <c r="B72" s="15" t="s">
        <v>109</v>
      </c>
      <c r="C72" s="71">
        <f>SUM($C$34:$C$35)/4</f>
        <v>4</v>
      </c>
      <c r="D72" s="10">
        <f>SUMPRODUCT($I$34:$I$35,$C$34:$C$35)/SUM($C$34:$C$35)</f>
        <v>1.6</v>
      </c>
      <c r="E72" s="127">
        <f>FORECAST(D72,Glassoorten[Zontoetredingsfactor],Glassoorten[U-waarde '[W/m2K']])</f>
        <v>0.6044265084023791</v>
      </c>
      <c r="F72" s="37">
        <v>144.05760000000001</v>
      </c>
      <c r="G72" s="15" t="s">
        <v>105</v>
      </c>
      <c r="H72" s="60">
        <v>0.9</v>
      </c>
      <c r="I72" s="37">
        <f t="shared" si="3"/>
        <v>313.46003583657568</v>
      </c>
      <c r="J72" s="85">
        <f>I72*3.6/1000</f>
        <v>1.1284561290116726</v>
      </c>
      <c r="K72" s="95"/>
    </row>
    <row r="73" spans="2:14" ht="17" thickBot="1">
      <c r="B73" s="3" t="s">
        <v>143</v>
      </c>
      <c r="C73" s="66">
        <f>SUM(C69:C72)</f>
        <v>16</v>
      </c>
      <c r="D73" s="66"/>
      <c r="E73" s="17" t="s">
        <v>56</v>
      </c>
      <c r="F73" s="3"/>
      <c r="G73" s="7"/>
      <c r="H73" s="66"/>
      <c r="I73" s="70">
        <f>SUM(I69:I72)</f>
        <v>1444.2640862149033</v>
      </c>
      <c r="J73" s="134">
        <f>I73*3.6/1000</f>
        <v>5.1993507103736523</v>
      </c>
      <c r="K73" s="95"/>
    </row>
    <row r="74" spans="2:14">
      <c r="B74" s="15" t="s">
        <v>110</v>
      </c>
      <c r="C74" s="15"/>
      <c r="E74" s="15"/>
      <c r="F74" s="13"/>
      <c r="I74" s="15"/>
      <c r="K74" s="95"/>
    </row>
    <row r="75" spans="2:14">
      <c r="C75" s="15"/>
      <c r="D75" s="15"/>
      <c r="E75" s="15"/>
      <c r="F75" s="15"/>
      <c r="G75" s="15"/>
      <c r="H75" s="15"/>
      <c r="I75" s="15"/>
      <c r="J75" s="86"/>
      <c r="K75" s="95"/>
      <c r="L75" s="15"/>
    </row>
    <row r="76" spans="2:14">
      <c r="B76" s="64"/>
      <c r="C76" s="64"/>
      <c r="D76" s="64"/>
      <c r="E76" s="64" t="s">
        <v>123</v>
      </c>
      <c r="F76" s="64" t="s">
        <v>125</v>
      </c>
      <c r="G76" s="64"/>
      <c r="H76" s="67"/>
      <c r="I76" s="64"/>
      <c r="J76" s="65" t="s">
        <v>135</v>
      </c>
      <c r="K76" s="91"/>
      <c r="L76" s="64"/>
      <c r="M76" s="64"/>
      <c r="N76" s="64"/>
    </row>
    <row r="77" spans="2:14">
      <c r="B77" s="10"/>
      <c r="C77" s="10"/>
      <c r="D77" s="10"/>
      <c r="E77" s="10" t="s">
        <v>124</v>
      </c>
      <c r="F77" s="10" t="s">
        <v>106</v>
      </c>
      <c r="G77" s="10"/>
      <c r="H77" s="10"/>
      <c r="I77" s="10"/>
      <c r="J77" s="77" t="s">
        <v>111</v>
      </c>
      <c r="K77" s="92"/>
      <c r="L77" s="10"/>
      <c r="M77" s="10"/>
      <c r="N77" s="10"/>
    </row>
    <row r="78" spans="2:14" ht="15" thickBot="1">
      <c r="B78" s="3" t="s">
        <v>133</v>
      </c>
      <c r="C78" s="3"/>
      <c r="D78" s="66"/>
      <c r="E78" s="17">
        <v>2500</v>
      </c>
      <c r="F78" s="3">
        <f>E78*J15/12</f>
        <v>1250</v>
      </c>
      <c r="G78" s="7"/>
      <c r="H78" s="66"/>
      <c r="I78" s="7"/>
      <c r="J78" s="80">
        <f>F78*3.6/1000</f>
        <v>4.5</v>
      </c>
      <c r="K78" s="94"/>
      <c r="L78" s="5"/>
      <c r="M78" s="5"/>
      <c r="N78" s="5"/>
    </row>
    <row r="79" spans="2:14">
      <c r="C79" s="15"/>
      <c r="F79" s="15"/>
      <c r="G79" s="15"/>
      <c r="J79" s="84"/>
      <c r="K79" s="95"/>
      <c r="L79" s="40"/>
    </row>
    <row r="80" spans="2:14">
      <c r="B80" s="64"/>
      <c r="C80" s="64"/>
      <c r="D80" s="64" t="s">
        <v>126</v>
      </c>
      <c r="E80" s="64" t="s">
        <v>127</v>
      </c>
      <c r="F80" s="64" t="s">
        <v>128</v>
      </c>
      <c r="G80" s="64" t="s">
        <v>130</v>
      </c>
      <c r="H80" s="67" t="s">
        <v>131</v>
      </c>
      <c r="I80" s="64"/>
      <c r="J80" s="65" t="s">
        <v>135</v>
      </c>
      <c r="K80" s="91"/>
      <c r="L80" s="64"/>
      <c r="M80" s="64"/>
      <c r="N80" s="64"/>
    </row>
    <row r="81" spans="2:14" ht="16.5">
      <c r="B81" s="10"/>
      <c r="C81" s="10"/>
      <c r="D81" s="10"/>
      <c r="E81" s="10" t="s">
        <v>6</v>
      </c>
      <c r="F81" s="10" t="s">
        <v>129</v>
      </c>
      <c r="G81" s="10" t="s">
        <v>106</v>
      </c>
      <c r="H81" s="10" t="s">
        <v>132</v>
      </c>
      <c r="I81" s="10"/>
      <c r="J81" s="77" t="s">
        <v>111</v>
      </c>
      <c r="K81" s="92"/>
      <c r="L81" s="10"/>
      <c r="M81" s="10"/>
      <c r="N81" s="10"/>
    </row>
    <row r="82" spans="2:14" ht="15" thickBot="1">
      <c r="B82" s="3" t="s">
        <v>134</v>
      </c>
      <c r="C82" s="3"/>
      <c r="D82" s="66">
        <v>2</v>
      </c>
      <c r="E82" s="9">
        <f>(25%*(18-8)+100%*(24+8-18))/24</f>
        <v>0.6875</v>
      </c>
      <c r="F82" s="3">
        <v>0.1</v>
      </c>
      <c r="G82" s="7">
        <f>D82*E82*F82*J15*30.4*24</f>
        <v>601.92000000000007</v>
      </c>
      <c r="H82" s="66">
        <f>(E78/8760*1000+D82*F82*1000)/$B$6</f>
        <v>4.8538812785388128</v>
      </c>
      <c r="I82" s="7"/>
      <c r="J82" s="80">
        <f>G82*3.6/1000</f>
        <v>2.1669120000000004</v>
      </c>
      <c r="K82" s="94"/>
      <c r="L82" s="5"/>
      <c r="M82" s="5"/>
      <c r="N82" s="5"/>
    </row>
    <row r="83" spans="2:14">
      <c r="C83" s="15"/>
      <c r="G83" s="15"/>
      <c r="J83" s="84"/>
      <c r="K83" s="95"/>
      <c r="L83" s="40"/>
    </row>
    <row r="84" spans="2:14">
      <c r="C84" s="15"/>
      <c r="G84" s="15"/>
      <c r="J84" s="84" t="s">
        <v>187</v>
      </c>
      <c r="K84" s="95"/>
      <c r="L84" s="40"/>
    </row>
    <row r="85" spans="2:14">
      <c r="B85" t="s">
        <v>136</v>
      </c>
      <c r="C85" s="15"/>
      <c r="D85" s="15"/>
      <c r="F85" s="15"/>
      <c r="G85" s="15"/>
      <c r="J85" s="77" t="s">
        <v>111</v>
      </c>
      <c r="K85" s="95"/>
      <c r="L85" s="40"/>
    </row>
    <row r="86" spans="2:14" ht="15" thickBot="1">
      <c r="B86" s="3" t="s">
        <v>137</v>
      </c>
      <c r="C86" s="3"/>
      <c r="D86" s="66"/>
      <c r="E86" s="17"/>
      <c r="F86" s="3"/>
      <c r="G86" s="7"/>
      <c r="H86" s="66"/>
      <c r="I86" s="7"/>
      <c r="J86" s="80">
        <f>J55</f>
        <v>5.9343749999999993</v>
      </c>
      <c r="K86" s="94"/>
      <c r="L86" s="5"/>
      <c r="M86" s="5"/>
      <c r="N86" s="5"/>
    </row>
    <row r="87" spans="2:14" ht="15" thickBot="1">
      <c r="B87" s="3" t="s">
        <v>138</v>
      </c>
      <c r="C87" s="3"/>
      <c r="D87" s="66"/>
      <c r="E87" s="17"/>
      <c r="F87" s="3"/>
      <c r="G87" s="7"/>
      <c r="H87" s="66"/>
      <c r="I87" s="7"/>
      <c r="J87" s="80">
        <f>J59</f>
        <v>0.46842</v>
      </c>
      <c r="K87" s="94"/>
      <c r="L87" s="5"/>
      <c r="M87" s="5"/>
      <c r="N87" s="5"/>
    </row>
    <row r="88" spans="2:14" ht="15" thickBot="1">
      <c r="B88" s="3" t="s">
        <v>139</v>
      </c>
      <c r="C88" s="3"/>
      <c r="D88" s="66"/>
      <c r="E88" s="17"/>
      <c r="F88" s="3"/>
      <c r="G88" s="7"/>
      <c r="H88" s="66"/>
      <c r="I88" s="7"/>
      <c r="J88" s="80">
        <f>SUM(J37,J41,J45,J51,-J73-J78-J82)</f>
        <v>35.934957857142855</v>
      </c>
      <c r="K88" s="94"/>
      <c r="L88" s="5"/>
      <c r="M88" s="5"/>
      <c r="N88" s="5"/>
    </row>
    <row r="89" spans="2:14">
      <c r="C89" s="15"/>
      <c r="D89" s="15"/>
      <c r="F89" s="15"/>
      <c r="G89" s="15"/>
      <c r="J89" s="87"/>
      <c r="K89" s="95"/>
      <c r="L89" s="40"/>
    </row>
    <row r="90" spans="2:14">
      <c r="C90" s="15"/>
      <c r="D90" s="15"/>
      <c r="F90" s="15"/>
      <c r="G90" s="15"/>
      <c r="J90" s="84"/>
      <c r="K90" s="95"/>
      <c r="L90" s="40"/>
    </row>
    <row r="91" spans="2:14">
      <c r="B91" t="s">
        <v>100</v>
      </c>
      <c r="J91"/>
      <c r="K91" s="95"/>
    </row>
    <row r="92" spans="2:14">
      <c r="E92" t="e" cm="1">
        <f t="array" ref="E92">fore</f>
        <v>#NAME?</v>
      </c>
      <c r="J92"/>
      <c r="K92" s="95"/>
    </row>
    <row r="93" spans="2:14">
      <c r="J93"/>
      <c r="K93" s="95"/>
    </row>
    <row r="94" spans="2:14">
      <c r="J94"/>
      <c r="K94" s="95"/>
    </row>
    <row r="95" spans="2:14">
      <c r="K95" s="95"/>
    </row>
    <row r="96" spans="2:14">
      <c r="G96" s="2"/>
      <c r="H96" s="2"/>
      <c r="I96" s="2"/>
      <c r="J96" s="89" t="s">
        <v>155</v>
      </c>
      <c r="K96" s="95"/>
      <c r="L96" s="2"/>
    </row>
    <row r="97" spans="2:13">
      <c r="G97" t="s">
        <v>18</v>
      </c>
      <c r="H97" s="88">
        <v>0.95</v>
      </c>
      <c r="J97" s="6">
        <f>IF(H97=0,0,$J$88/H97)</f>
        <v>37.826271428571431</v>
      </c>
      <c r="K97" s="90"/>
      <c r="L97" s="6">
        <f>J97/31.65*1000</f>
        <v>1195.1428571428573</v>
      </c>
      <c r="M97" t="s">
        <v>162</v>
      </c>
    </row>
    <row r="98" spans="2:13">
      <c r="G98" t="s">
        <v>19</v>
      </c>
      <c r="H98" s="88">
        <v>0</v>
      </c>
      <c r="J98" s="6">
        <f>IF(H98=0,0,$J$88/H98)</f>
        <v>0</v>
      </c>
      <c r="K98" s="90"/>
      <c r="L98" s="6">
        <f>J98/3.6*1000</f>
        <v>0</v>
      </c>
      <c r="M98" t="s">
        <v>163</v>
      </c>
    </row>
    <row r="99" spans="2:13">
      <c r="G99" t="s">
        <v>20</v>
      </c>
      <c r="H99" s="88">
        <v>0</v>
      </c>
      <c r="J99" s="6">
        <f>IF(H99=0,0,$J$88/H99)</f>
        <v>0</v>
      </c>
      <c r="K99" s="90"/>
      <c r="L99" s="6">
        <f>J99</f>
        <v>0</v>
      </c>
      <c r="M99" t="s">
        <v>164</v>
      </c>
    </row>
    <row r="100" spans="2:13">
      <c r="G100" t="s">
        <v>21</v>
      </c>
      <c r="H100" s="88">
        <v>0</v>
      </c>
      <c r="J100" s="6">
        <f>IF(H100=0,0,$J$88/H100)</f>
        <v>0</v>
      </c>
      <c r="K100" s="90"/>
      <c r="L100" s="6">
        <f>J100</f>
        <v>0</v>
      </c>
      <c r="M100" t="s">
        <v>170</v>
      </c>
    </row>
    <row r="101" spans="2:13">
      <c r="B101" s="15" t="s">
        <v>44</v>
      </c>
      <c r="C101" t="s">
        <v>45</v>
      </c>
      <c r="G101" t="s">
        <v>156</v>
      </c>
      <c r="H101" s="88">
        <v>0.7</v>
      </c>
      <c r="J101" s="6">
        <f>IF(H101=0,0,$J$86/H101)</f>
        <v>8.4776785714285712</v>
      </c>
      <c r="K101" s="90"/>
      <c r="L101" s="6">
        <f>J101/31.65*1000</f>
        <v>267.85714285714283</v>
      </c>
      <c r="M101" t="s">
        <v>162</v>
      </c>
    </row>
    <row r="102" spans="2:13">
      <c r="G102" t="s">
        <v>157</v>
      </c>
      <c r="H102" s="88">
        <v>0</v>
      </c>
      <c r="J102" s="6">
        <f>IF(H102=0,0,$J$86/H102)</f>
        <v>0</v>
      </c>
      <c r="L102" s="6">
        <f>J102/3.6*1000</f>
        <v>0</v>
      </c>
      <c r="M102" t="s">
        <v>163</v>
      </c>
    </row>
    <row r="103" spans="2:13">
      <c r="B103" s="19">
        <f>$C$13</f>
        <v>0</v>
      </c>
      <c r="C103" s="20" t="e">
        <f>#REF!+$I$30</f>
        <v>#REF!</v>
      </c>
      <c r="D103" t="s">
        <v>172</v>
      </c>
      <c r="E103" t="s">
        <v>171</v>
      </c>
      <c r="G103" t="s">
        <v>158</v>
      </c>
      <c r="H103" s="88">
        <v>0</v>
      </c>
      <c r="J103" s="6">
        <f>IF(H103=0,0,$J$86/H103)</f>
        <v>0</v>
      </c>
      <c r="L103" s="6">
        <f>J103</f>
        <v>0</v>
      </c>
      <c r="M103" t="s">
        <v>164</v>
      </c>
    </row>
    <row r="104" spans="2:13">
      <c r="B104" s="21" t="s">
        <v>46</v>
      </c>
      <c r="C104" t="s">
        <v>47</v>
      </c>
      <c r="G104" t="s">
        <v>159</v>
      </c>
      <c r="H104" s="88">
        <v>0</v>
      </c>
      <c r="J104" s="6">
        <f>IF(H104=0,0,$J$86/H104)</f>
        <v>0</v>
      </c>
      <c r="L104" s="6">
        <f>J104</f>
        <v>0</v>
      </c>
      <c r="M104" t="s">
        <v>170</v>
      </c>
    </row>
    <row r="105" spans="2:13">
      <c r="B105" s="22">
        <v>1701</v>
      </c>
      <c r="C105" s="23">
        <v>288.39633659721477</v>
      </c>
      <c r="D105" s="12">
        <f>1/E105</f>
        <v>1</v>
      </c>
      <c r="E105">
        <v>1</v>
      </c>
      <c r="G105" t="s">
        <v>160</v>
      </c>
      <c r="H105" s="1">
        <v>0.4</v>
      </c>
      <c r="J105" s="128">
        <f>IF(H105=0,0,$J$87/H105)</f>
        <v>1.1710499999999999</v>
      </c>
      <c r="L105" s="6">
        <f>J105/31.65*1000</f>
        <v>37</v>
      </c>
      <c r="M105" t="s">
        <v>162</v>
      </c>
    </row>
    <row r="106" spans="2:13">
      <c r="B106" s="22">
        <v>1748</v>
      </c>
      <c r="C106" s="23">
        <v>273.39007443521592</v>
      </c>
      <c r="D106" s="12">
        <f t="shared" ref="D106:D116" si="4">1/E106</f>
        <v>0.66666666666666663</v>
      </c>
      <c r="E106">
        <f>E105+0.5</f>
        <v>1.5</v>
      </c>
      <c r="G106" t="s">
        <v>161</v>
      </c>
      <c r="H106" s="1">
        <v>0.45</v>
      </c>
      <c r="J106" s="128">
        <f>IF(H106=0,0,$J$87/H106)</f>
        <v>1.0409333333333333</v>
      </c>
      <c r="L106" s="6">
        <f>J106/3.6*1000</f>
        <v>289.1481481481481</v>
      </c>
      <c r="M106" t="s">
        <v>163</v>
      </c>
    </row>
    <row r="107" spans="2:13">
      <c r="B107" s="22">
        <v>1790</v>
      </c>
      <c r="C107" s="23">
        <v>262.42248344808814</v>
      </c>
      <c r="D107" s="12">
        <f t="shared" si="4"/>
        <v>0.5</v>
      </c>
      <c r="E107">
        <f t="shared" ref="E107:E116" si="5">E106+0.5</f>
        <v>2</v>
      </c>
      <c r="L107" s="6"/>
    </row>
    <row r="108" spans="2:13">
      <c r="B108" s="22">
        <v>1822</v>
      </c>
      <c r="C108" s="23">
        <v>255.29859105700979</v>
      </c>
      <c r="D108" s="12">
        <f t="shared" si="4"/>
        <v>0.4</v>
      </c>
      <c r="E108">
        <f t="shared" si="5"/>
        <v>2.5</v>
      </c>
      <c r="G108" s="2" t="s">
        <v>165</v>
      </c>
    </row>
    <row r="109" spans="2:13">
      <c r="B109" s="22">
        <v>1849</v>
      </c>
      <c r="C109" s="23">
        <v>248.49821645793747</v>
      </c>
      <c r="D109" s="12">
        <f t="shared" si="4"/>
        <v>0.33333333333333331</v>
      </c>
      <c r="E109">
        <f t="shared" si="5"/>
        <v>3</v>
      </c>
      <c r="G109" s="129" t="s">
        <v>166</v>
      </c>
      <c r="J109" s="6">
        <f>SUMIF($M$97:$M$106,$M109,J$97:J$106)</f>
        <v>47.475000000000001</v>
      </c>
      <c r="L109" s="6">
        <f>SUMIF($M$97:$M$106,$M109,L$97:L$106)</f>
        <v>1500.0000000000002</v>
      </c>
      <c r="M109" t="s">
        <v>162</v>
      </c>
    </row>
    <row r="110" spans="2:13">
      <c r="B110" s="22">
        <v>1875</v>
      </c>
      <c r="C110" s="23">
        <v>244.11423978257133</v>
      </c>
      <c r="D110" s="12">
        <f t="shared" si="4"/>
        <v>0.2857142857142857</v>
      </c>
      <c r="E110">
        <f t="shared" si="5"/>
        <v>3.5</v>
      </c>
      <c r="G110" s="129" t="s">
        <v>167</v>
      </c>
      <c r="H110" s="89"/>
      <c r="J110" s="6">
        <f>SUMIF($M$97:$M$106,$M110,J$97:J$106)</f>
        <v>1.0409333333333333</v>
      </c>
      <c r="L110" s="6">
        <f>SUMIF($M$97:$M$106,$M110,L$97:L$106)</f>
        <v>289.1481481481481</v>
      </c>
      <c r="M110" t="s">
        <v>163</v>
      </c>
    </row>
    <row r="111" spans="2:13">
      <c r="B111" s="22">
        <v>1888</v>
      </c>
      <c r="C111" s="23">
        <v>239.5989308249741</v>
      </c>
      <c r="D111" s="12">
        <f t="shared" si="4"/>
        <v>0.25</v>
      </c>
      <c r="E111">
        <f t="shared" si="5"/>
        <v>4</v>
      </c>
      <c r="G111" s="129" t="s">
        <v>169</v>
      </c>
      <c r="J111" s="6">
        <f>SUMIF($M$97:$M$106,$M111,J$97:J$106)</f>
        <v>0</v>
      </c>
      <c r="L111" s="6">
        <f>SUMIF($M$97:$M$106,$M111,L$97:L$106)</f>
        <v>0</v>
      </c>
      <c r="M111" t="s">
        <v>164</v>
      </c>
    </row>
    <row r="112" spans="2:13">
      <c r="B112" s="22">
        <v>1905</v>
      </c>
      <c r="C112" s="23">
        <v>237.38038732994687</v>
      </c>
      <c r="D112" s="12">
        <f t="shared" si="4"/>
        <v>0.22222222222222221</v>
      </c>
      <c r="E112">
        <f t="shared" si="5"/>
        <v>4.5</v>
      </c>
      <c r="G112" s="129" t="s">
        <v>168</v>
      </c>
      <c r="J112" s="6">
        <f>SUMIF($M$97:$M$106,$M112,J$97:J$106)</f>
        <v>0</v>
      </c>
      <c r="L112" s="6">
        <f>SUMIF($M$97:$M$106,$M112,L$97:L$106)</f>
        <v>0</v>
      </c>
      <c r="M112" t="s">
        <v>170</v>
      </c>
    </row>
    <row r="113" spans="2:5">
      <c r="B113" s="22">
        <v>1918</v>
      </c>
      <c r="C113" s="23">
        <v>233.79787926615222</v>
      </c>
      <c r="D113" s="12">
        <f t="shared" si="4"/>
        <v>0.2</v>
      </c>
      <c r="E113">
        <f t="shared" si="5"/>
        <v>5</v>
      </c>
    </row>
    <row r="114" spans="2:5">
      <c r="B114" s="24">
        <v>1949.1689824550144</v>
      </c>
      <c r="C114" s="25">
        <v>227.26953143399513</v>
      </c>
      <c r="D114" s="12">
        <f t="shared" si="4"/>
        <v>0.18181818181818182</v>
      </c>
      <c r="E114">
        <f t="shared" si="5"/>
        <v>5.5</v>
      </c>
    </row>
    <row r="115" spans="2:5">
      <c r="B115" s="24">
        <v>1986.4861965499363</v>
      </c>
      <c r="C115" s="25">
        <v>220.38099302473307</v>
      </c>
      <c r="D115" s="12">
        <f t="shared" si="4"/>
        <v>0.16666666666666666</v>
      </c>
      <c r="E115">
        <f t="shared" si="5"/>
        <v>6</v>
      </c>
    </row>
    <row r="116" spans="2:5">
      <c r="B116" s="24">
        <v>2017.1340062452241</v>
      </c>
      <c r="C116" s="25">
        <v>214.94612833366901</v>
      </c>
      <c r="D116" s="12">
        <f t="shared" si="4"/>
        <v>0.15384615384615385</v>
      </c>
      <c r="E116">
        <f t="shared" si="5"/>
        <v>6.5</v>
      </c>
    </row>
  </sheetData>
  <dataConsolidate/>
  <phoneticPr fontId="5"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476B9D2-BE4F-4C6D-8913-C76EE1067745}">
          <x14:formula1>
            <xm:f>Kentallen!$D$51:$G$51</xm:f>
          </x14:formula1>
          <xm:sqref>H27:H36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2F0A-B595-4F5E-B2E9-1470B14E5B5F}">
  <dimension ref="C2:P38"/>
  <sheetViews>
    <sheetView workbookViewId="0">
      <selection activeCell="H59" sqref="H59"/>
    </sheetView>
  </sheetViews>
  <sheetFormatPr defaultRowHeight="14.5"/>
  <cols>
    <col min="3" max="3" width="30.1796875" bestFit="1" customWidth="1"/>
    <col min="4" max="4" width="18" customWidth="1"/>
    <col min="6" max="6" width="18" bestFit="1" customWidth="1"/>
    <col min="7" max="7" width="21.54296875" bestFit="1" customWidth="1"/>
    <col min="8" max="10" width="21.54296875" customWidth="1"/>
    <col min="11" max="11" width="19.1796875" bestFit="1" customWidth="1"/>
    <col min="12" max="12" width="13.453125" bestFit="1" customWidth="1"/>
    <col min="13" max="14" width="21.1796875" bestFit="1" customWidth="1"/>
  </cols>
  <sheetData>
    <row r="2" spans="3:14">
      <c r="C2" s="2" t="s">
        <v>77</v>
      </c>
    </row>
    <row r="3" spans="3:14">
      <c r="C3" t="s">
        <v>78</v>
      </c>
      <c r="D3" s="29">
        <v>100</v>
      </c>
    </row>
    <row r="5" spans="3:14">
      <c r="C5" s="2" t="s">
        <v>79</v>
      </c>
    </row>
    <row r="6" spans="3:14">
      <c r="C6" t="s">
        <v>80</v>
      </c>
      <c r="D6" s="49" t="s">
        <v>82</v>
      </c>
    </row>
    <row r="7" spans="3:14">
      <c r="C7" t="s">
        <v>81</v>
      </c>
      <c r="D7" s="49" t="s">
        <v>83</v>
      </c>
    </row>
    <row r="8" spans="3:14">
      <c r="C8" t="s">
        <v>87</v>
      </c>
      <c r="D8" s="50">
        <f>8760/2</f>
        <v>4380</v>
      </c>
    </row>
    <row r="9" spans="3:14">
      <c r="C9" t="s">
        <v>91</v>
      </c>
      <c r="D9">
        <v>17</v>
      </c>
    </row>
    <row r="10" spans="3:14">
      <c r="C10" t="s">
        <v>30</v>
      </c>
      <c r="D10">
        <v>5</v>
      </c>
    </row>
    <row r="13" spans="3:14">
      <c r="F13" s="196" t="s">
        <v>51</v>
      </c>
      <c r="G13" s="196"/>
      <c r="H13" s="196"/>
      <c r="I13" s="196"/>
      <c r="J13" s="196" t="s">
        <v>52</v>
      </c>
      <c r="K13" s="196"/>
      <c r="L13" s="196"/>
      <c r="M13" s="196"/>
    </row>
    <row r="14" spans="3:14" ht="16.5">
      <c r="D14" t="s">
        <v>42</v>
      </c>
      <c r="E14" s="13" t="s">
        <v>53</v>
      </c>
      <c r="F14" s="13" t="s">
        <v>54</v>
      </c>
      <c r="G14" s="13" t="s">
        <v>55</v>
      </c>
      <c r="H14" s="13" t="s">
        <v>59</v>
      </c>
      <c r="I14" s="13" t="s">
        <v>33</v>
      </c>
      <c r="J14" s="13" t="s">
        <v>54</v>
      </c>
      <c r="K14" s="13" t="s">
        <v>55</v>
      </c>
      <c r="L14" s="13" t="s">
        <v>59</v>
      </c>
      <c r="M14" s="13" t="s">
        <v>33</v>
      </c>
      <c r="N14" s="13" t="s">
        <v>89</v>
      </c>
    </row>
    <row r="15" spans="3:14" ht="16.5">
      <c r="C15" s="47"/>
      <c r="D15" s="47" t="s">
        <v>6</v>
      </c>
      <c r="E15" s="48" t="s">
        <v>84</v>
      </c>
      <c r="F15" s="48" t="s">
        <v>85</v>
      </c>
      <c r="G15" s="48" t="s">
        <v>86</v>
      </c>
      <c r="H15" s="48" t="s">
        <v>47</v>
      </c>
      <c r="I15" s="48" t="s">
        <v>60</v>
      </c>
      <c r="J15" s="48" t="s">
        <v>85</v>
      </c>
      <c r="K15" s="48" t="s">
        <v>86</v>
      </c>
      <c r="L15" s="48" t="s">
        <v>47</v>
      </c>
      <c r="M15" s="48" t="s">
        <v>60</v>
      </c>
      <c r="N15" s="52" t="s">
        <v>90</v>
      </c>
    </row>
    <row r="16" spans="3:14">
      <c r="C16" s="2" t="s">
        <v>57</v>
      </c>
    </row>
    <row r="17" spans="3:16">
      <c r="C17" t="s">
        <v>8</v>
      </c>
      <c r="D17" s="1">
        <v>0.5</v>
      </c>
      <c r="E17">
        <v>40</v>
      </c>
      <c r="F17">
        <v>0</v>
      </c>
      <c r="G17" s="28">
        <f>1/(F17+0.17+0.17)</f>
        <v>2.9411764705882351</v>
      </c>
      <c r="H17" s="25">
        <f>E17*G17*$D17</f>
        <v>58.823529411764703</v>
      </c>
      <c r="I17" s="4">
        <f>H17*$D$8*($D$9-$D$10)*3.6/10^6</f>
        <v>11.13035294117647</v>
      </c>
      <c r="J17">
        <v>1</v>
      </c>
      <c r="K17" s="28">
        <f>1/(J17+0.17+0.17)</f>
        <v>0.74626865671641796</v>
      </c>
      <c r="L17" s="25">
        <f>$E17*K17*$D17</f>
        <v>14.925373134328359</v>
      </c>
      <c r="M17" s="4">
        <f>L17*$D$8*($D$9-$D$10)*3.6/10^6</f>
        <v>2.8241194029850747</v>
      </c>
      <c r="N17" s="8">
        <f>1-(K17/G17)</f>
        <v>0.74626865671641784</v>
      </c>
      <c r="P17" s="8">
        <f>1-L17/H17</f>
        <v>0.74626865671641784</v>
      </c>
    </row>
    <row r="18" spans="3:16">
      <c r="C18" t="s">
        <v>9</v>
      </c>
      <c r="D18" s="1">
        <v>1</v>
      </c>
      <c r="E18">
        <v>70</v>
      </c>
      <c r="F18">
        <v>0</v>
      </c>
      <c r="G18" s="28">
        <f>1/(F18+0.1+0.04)</f>
        <v>7.1428571428571423</v>
      </c>
      <c r="H18" s="25">
        <f t="shared" ref="H18:H24" si="0">E18*G18*$D18</f>
        <v>499.99999999999994</v>
      </c>
      <c r="I18" s="4">
        <f t="shared" ref="I18:I24" si="1">H18*$D$8*($D$9-$D$10)*3.6/10^6</f>
        <v>94.607999999999976</v>
      </c>
      <c r="J18">
        <v>2.5</v>
      </c>
      <c r="K18" s="28">
        <f>1/(J18+0.1+0.04)</f>
        <v>0.37878787878787878</v>
      </c>
      <c r="L18" s="25">
        <f t="shared" ref="L18:L24" si="2">$E18*K18*$D18</f>
        <v>26.515151515151516</v>
      </c>
      <c r="M18" s="4">
        <f t="shared" ref="M18:M24" si="3">L18*$D$8*($D$9-$D$10)*3.6/10^6</f>
        <v>5.0170909090909088</v>
      </c>
      <c r="N18" s="8">
        <f t="shared" ref="N18:N23" si="4">1-(K18/G18)</f>
        <v>0.94696969696969702</v>
      </c>
      <c r="P18" s="8">
        <f t="shared" ref="P18:P24" si="5">1-L18/H18</f>
        <v>0.94696969696969702</v>
      </c>
    </row>
    <row r="19" spans="3:16">
      <c r="C19" t="s">
        <v>11</v>
      </c>
      <c r="D19" s="1">
        <v>1</v>
      </c>
      <c r="E19">
        <v>0</v>
      </c>
      <c r="F19">
        <v>0</v>
      </c>
      <c r="G19" s="28">
        <f>1/(F19+0.1+0.04)</f>
        <v>7.1428571428571423</v>
      </c>
      <c r="H19" s="25">
        <f t="shared" si="0"/>
        <v>0</v>
      </c>
      <c r="I19" s="4">
        <f t="shared" si="1"/>
        <v>0</v>
      </c>
      <c r="J19">
        <v>2.5</v>
      </c>
      <c r="K19" s="28">
        <f>1/(J19+0.1+0.04)</f>
        <v>0.37878787878787878</v>
      </c>
      <c r="L19" s="25">
        <f t="shared" si="2"/>
        <v>0</v>
      </c>
      <c r="M19" s="4">
        <f t="shared" si="3"/>
        <v>0</v>
      </c>
      <c r="N19" s="8">
        <f t="shared" si="4"/>
        <v>0.94696969696969702</v>
      </c>
      <c r="P19" s="8" t="e">
        <f t="shared" si="5"/>
        <v>#DIV/0!</v>
      </c>
    </row>
    <row r="20" spans="3:16">
      <c r="C20" t="s">
        <v>12</v>
      </c>
      <c r="D20" s="1">
        <v>1</v>
      </c>
      <c r="E20">
        <v>0</v>
      </c>
      <c r="F20">
        <v>0</v>
      </c>
      <c r="G20" s="28">
        <f>1/(F20+0.13+0.04)</f>
        <v>5.8823529411764701</v>
      </c>
      <c r="H20" s="25">
        <f t="shared" si="0"/>
        <v>0</v>
      </c>
      <c r="I20" s="4">
        <f t="shared" si="1"/>
        <v>0</v>
      </c>
      <c r="J20">
        <v>2.5</v>
      </c>
      <c r="K20" s="28">
        <f>1/(J20+0.13+0.04)</f>
        <v>0.37453183520599254</v>
      </c>
      <c r="L20" s="25">
        <f t="shared" si="2"/>
        <v>0</v>
      </c>
      <c r="M20" s="4">
        <f t="shared" si="3"/>
        <v>0</v>
      </c>
      <c r="N20" s="8">
        <f t="shared" si="4"/>
        <v>0.93632958801498123</v>
      </c>
      <c r="P20" s="8" t="e">
        <f t="shared" si="5"/>
        <v>#DIV/0!</v>
      </c>
    </row>
    <row r="21" spans="3:16">
      <c r="C21" t="s">
        <v>14</v>
      </c>
      <c r="D21" s="1">
        <v>1</v>
      </c>
      <c r="E21">
        <v>62</v>
      </c>
      <c r="F21">
        <v>0</v>
      </c>
      <c r="G21" s="28">
        <f>1/(F21+0.13+0.04)</f>
        <v>5.8823529411764701</v>
      </c>
      <c r="H21" s="25">
        <f t="shared" si="0"/>
        <v>364.70588235294116</v>
      </c>
      <c r="I21" s="4">
        <f t="shared" si="1"/>
        <v>69.008188235294099</v>
      </c>
      <c r="J21">
        <v>2.5</v>
      </c>
      <c r="K21" s="28">
        <f>1/(J21+0.13+0.04)</f>
        <v>0.37453183520599254</v>
      </c>
      <c r="L21" s="25">
        <f t="shared" si="2"/>
        <v>23.220973782771537</v>
      </c>
      <c r="M21" s="4">
        <f t="shared" si="3"/>
        <v>4.3937797752808985</v>
      </c>
      <c r="N21" s="8">
        <f t="shared" si="4"/>
        <v>0.93632958801498123</v>
      </c>
      <c r="P21" s="8">
        <f t="shared" si="5"/>
        <v>0.93632958801498123</v>
      </c>
    </row>
    <row r="22" spans="3:16">
      <c r="C22" t="s">
        <v>16</v>
      </c>
      <c r="D22" s="1">
        <v>1</v>
      </c>
      <c r="E22">
        <v>8</v>
      </c>
      <c r="G22">
        <v>5.8</v>
      </c>
      <c r="H22" s="25">
        <f t="shared" si="0"/>
        <v>46.4</v>
      </c>
      <c r="I22" s="4">
        <f t="shared" si="1"/>
        <v>8.7796224000000009</v>
      </c>
      <c r="K22">
        <v>5.8</v>
      </c>
      <c r="L22" s="25">
        <f t="shared" si="2"/>
        <v>46.4</v>
      </c>
      <c r="M22" s="4">
        <f t="shared" si="3"/>
        <v>8.7796224000000009</v>
      </c>
      <c r="N22" s="8">
        <f t="shared" si="4"/>
        <v>0</v>
      </c>
      <c r="P22" s="8">
        <f t="shared" si="5"/>
        <v>0</v>
      </c>
    </row>
    <row r="23" spans="3:16">
      <c r="C23" t="s">
        <v>17</v>
      </c>
      <c r="D23" s="1">
        <v>1</v>
      </c>
      <c r="E23">
        <v>8</v>
      </c>
      <c r="G23">
        <v>5.8</v>
      </c>
      <c r="H23" s="25">
        <f t="shared" si="0"/>
        <v>46.4</v>
      </c>
      <c r="I23" s="4">
        <f t="shared" si="1"/>
        <v>8.7796224000000009</v>
      </c>
      <c r="K23">
        <v>5.8</v>
      </c>
      <c r="L23" s="25">
        <f t="shared" si="2"/>
        <v>46.4</v>
      </c>
      <c r="M23" s="4">
        <f t="shared" si="3"/>
        <v>8.7796224000000009</v>
      </c>
      <c r="N23" s="8">
        <f t="shared" si="4"/>
        <v>0</v>
      </c>
      <c r="P23" s="8">
        <f t="shared" si="5"/>
        <v>0</v>
      </c>
    </row>
    <row r="24" spans="3:16" ht="15" thickBot="1">
      <c r="C24" s="53" t="s">
        <v>58</v>
      </c>
      <c r="D24" s="54">
        <v>1</v>
      </c>
      <c r="E24" s="53">
        <v>2</v>
      </c>
      <c r="F24" s="53"/>
      <c r="G24" s="55">
        <v>1.65</v>
      </c>
      <c r="H24" s="56">
        <f t="shared" si="0"/>
        <v>3.3</v>
      </c>
      <c r="I24" s="57">
        <f t="shared" si="1"/>
        <v>0.6244128000000001</v>
      </c>
      <c r="J24" s="53"/>
      <c r="K24" s="55">
        <v>1.65</v>
      </c>
      <c r="L24" s="56">
        <f t="shared" si="2"/>
        <v>3.3</v>
      </c>
      <c r="M24" s="57">
        <f t="shared" si="3"/>
        <v>0.6244128000000001</v>
      </c>
      <c r="N24" s="58">
        <f>1-(M24/I24)</f>
        <v>0</v>
      </c>
      <c r="O24" s="53"/>
      <c r="P24" s="58">
        <f t="shared" si="5"/>
        <v>0</v>
      </c>
    </row>
    <row r="25" spans="3:16" ht="15" thickTop="1">
      <c r="I25" s="51">
        <f>SUM(I17:I24)</f>
        <v>192.93019877647052</v>
      </c>
      <c r="M25" s="51">
        <f>SUM(M17:M24)</f>
        <v>30.418647687356884</v>
      </c>
    </row>
    <row r="26" spans="3:16">
      <c r="C26" s="2" t="s">
        <v>88</v>
      </c>
    </row>
    <row r="27" spans="3:16" ht="16.5">
      <c r="C27" s="15" t="s">
        <v>61</v>
      </c>
      <c r="F27" s="30" t="s">
        <v>56</v>
      </c>
      <c r="G27" s="15"/>
      <c r="H27" s="31"/>
      <c r="I27" s="15"/>
      <c r="J27" s="15"/>
      <c r="K27" s="15"/>
    </row>
    <row r="28" spans="3:16">
      <c r="C28" s="15"/>
      <c r="D28" s="15"/>
      <c r="E28" s="15"/>
      <c r="F28" s="23"/>
      <c r="G28" s="15"/>
      <c r="H28" s="31"/>
      <c r="I28" s="15"/>
      <c r="J28" s="15"/>
      <c r="K28" s="15"/>
    </row>
    <row r="29" spans="3:16" ht="16.5">
      <c r="C29" s="15" t="s">
        <v>62</v>
      </c>
      <c r="E29" s="32">
        <v>75</v>
      </c>
      <c r="F29" s="33" t="s">
        <v>63</v>
      </c>
      <c r="G29" s="15"/>
      <c r="H29" t="s">
        <v>180</v>
      </c>
    </row>
    <row r="30" spans="3:16">
      <c r="C30" s="15" t="s">
        <v>64</v>
      </c>
      <c r="D30" s="34">
        <v>0</v>
      </c>
      <c r="E30" s="15"/>
      <c r="F30" s="13"/>
      <c r="G30" s="15"/>
      <c r="H30" s="15"/>
      <c r="I30" s="35"/>
      <c r="J30" s="15"/>
      <c r="K30" s="15"/>
    </row>
    <row r="31" spans="3:16" ht="15" thickBot="1">
      <c r="C31" s="15" t="s">
        <v>65</v>
      </c>
      <c r="D31" s="34">
        <v>0</v>
      </c>
      <c r="E31" s="15"/>
      <c r="F31" s="13"/>
      <c r="G31" s="15"/>
      <c r="H31" s="15"/>
      <c r="I31" s="35"/>
      <c r="J31" s="15"/>
      <c r="K31" s="15"/>
    </row>
    <row r="32" spans="3:16" ht="17" thickBot="1">
      <c r="C32" s="15" t="s">
        <v>66</v>
      </c>
      <c r="D32" s="15"/>
      <c r="E32" s="36">
        <v>0.625</v>
      </c>
      <c r="F32" s="35" t="s">
        <v>67</v>
      </c>
      <c r="M32" t="s">
        <v>183</v>
      </c>
    </row>
    <row r="33" spans="3:11">
      <c r="C33" s="15" t="s">
        <v>68</v>
      </c>
      <c r="D33" s="15"/>
      <c r="E33" s="37">
        <f>3.6*(E32/10^0.7)*D3</f>
        <v>44.893402086799789</v>
      </c>
      <c r="F33" s="35" t="s">
        <v>69</v>
      </c>
      <c r="G33" s="35"/>
      <c r="H33" s="15"/>
      <c r="I33" s="35"/>
    </row>
    <row r="34" spans="3:11" ht="15" thickBot="1">
      <c r="C34" s="15" t="s">
        <v>70</v>
      </c>
      <c r="D34" s="15"/>
      <c r="E34" s="38"/>
      <c r="F34" s="35"/>
      <c r="G34" s="15"/>
      <c r="H34" s="39"/>
      <c r="I34" s="40"/>
      <c r="J34" s="40"/>
      <c r="K34" s="40"/>
    </row>
    <row r="35" spans="3:11" ht="15" thickBot="1">
      <c r="C35" s="15" t="s">
        <v>71</v>
      </c>
      <c r="E35" s="36">
        <v>50</v>
      </c>
      <c r="F35" s="39" t="s">
        <v>69</v>
      </c>
      <c r="G35" s="15"/>
      <c r="H35" s="41"/>
      <c r="I35" s="40"/>
      <c r="J35" s="40"/>
      <c r="K35" s="40"/>
    </row>
    <row r="36" spans="3:11">
      <c r="C36" s="15" t="s">
        <v>72</v>
      </c>
      <c r="E36" s="37">
        <f>0.75*E33+E29*(1-D30)*(1-D31)+E35</f>
        <v>158.67005156509984</v>
      </c>
      <c r="F36" s="15" t="s">
        <v>69</v>
      </c>
      <c r="H36" s="41"/>
    </row>
    <row r="37" spans="3:11" ht="16.5">
      <c r="C37" t="s">
        <v>73</v>
      </c>
      <c r="E37" s="42">
        <v>1230</v>
      </c>
      <c r="F37" s="33" t="s">
        <v>74</v>
      </c>
      <c r="I37" s="43"/>
    </row>
    <row r="38" spans="3:11">
      <c r="C38" s="15" t="s">
        <v>75</v>
      </c>
      <c r="F38" s="44"/>
      <c r="H38" s="45">
        <f>E36*E37/3600</f>
        <v>54.212267618075778</v>
      </c>
      <c r="I38" s="44" t="s">
        <v>47</v>
      </c>
      <c r="J38" t="s">
        <v>76</v>
      </c>
      <c r="K38" s="46" t="e">
        <f>H38/1000*($C$20-$D$21)*$D$19/12*8760*3.6/1000</f>
        <v>#VALUE!</v>
      </c>
    </row>
  </sheetData>
  <mergeCells count="2">
    <mergeCell ref="F13:I13"/>
    <mergeCell ref="J13:M13"/>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A3A4D3FB9D40E541B50B669EFFB551B1" ma:contentTypeVersion="7" ma:contentTypeDescription=" " ma:contentTypeScope="" ma:versionID="1738fdab92833b27aa0d4e9c9f056cda">
  <xsd:schema xmlns:xsd="http://www.w3.org/2001/XMLSchema" xmlns:xs="http://www.w3.org/2001/XMLSchema" xmlns:p="http://schemas.microsoft.com/office/2006/metadata/properties" xmlns:ns2="84272610-d261-4ae1-afd8-e3d42c82ba61" xmlns:ns3="2f6a910d-138e-42c1-8e8a-320c1b7cf3f7" xmlns:ns5="e3dc0238-67ea-4d9a-96fc-6035fa65f498" targetNamespace="http://schemas.microsoft.com/office/2006/metadata/properties" ma:root="true" ma:fieldsID="65ef5a2d6ca93b69eaeb9d6701f2bd48" ns2:_="" ns3:_="" ns5:_="">
    <xsd:import namespace="84272610-d261-4ae1-afd8-e3d42c82ba61"/>
    <xsd:import namespace="2f6a910d-138e-42c1-8e8a-320c1b7cf3f7"/>
    <xsd:import namespace="e3dc0238-67ea-4d9a-96fc-6035fa65f498"/>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272610-d261-4ae1-afd8-e3d42c82ba6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a19858d2-ffc4-4a3b-95cd-724dfdaa8e2b}" ma:internalName="TaxCatchAll" ma:showField="CatchAllData" ma:web="84272610-d261-4ae1-afd8-e3d42c82ba61">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a19858d2-ffc4-4a3b-95cd-724dfdaa8e2b}" ma:internalName="TaxCatchAllLabel" ma:readOnly="true" ma:showField="CatchAllDataLabel" ma:web="84272610-d261-4ae1-afd8-e3d42c82ba61">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SAWEC Model (PBL)" ma:internalName="TNOC_ClusterName">
      <xsd:simpleType>
        <xsd:restriction base="dms:Text">
          <xsd:maxLength value="255"/>
        </xsd:restriction>
      </xsd:simpleType>
    </xsd:element>
    <xsd:element name="TNOC_ClusterId" ma:index="12" nillable="true" ma:displayName="Cluster ID" ma:default="060.47751"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dc0238-67ea-4d9a-96fc-6035fa65f498"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a20d149a844688b6abf34073d5c21d xmlns="84272610-d261-4ae1-afd8-e3d42c82ba61">
      <Terms xmlns="http://schemas.microsoft.com/office/infopath/2007/PartnerControls"/>
    </lca20d149a844688b6abf34073d5c21d>
    <_dlc_DocId xmlns="84272610-d261-4ae1-afd8-e3d42c82ba61">AAZZDUZTTQ42-92714316-432</_dlc_DocId>
    <bac4ab11065f4f6c809c820c57e320e5 xmlns="84272610-d261-4ae1-afd8-e3d42c82ba61">
      <Terms xmlns="http://schemas.microsoft.com/office/infopath/2007/PartnerControls"/>
    </bac4ab11065f4f6c809c820c57e320e5>
    <cf581d8792c646118aad2c2c4ecdfa8c xmlns="84272610-d261-4ae1-afd8-e3d42c82ba61">
      <Terms xmlns="http://schemas.microsoft.com/office/infopath/2007/PartnerControls"/>
    </cf581d8792c646118aad2c2c4ecdfa8c>
    <TaxCatchAll xmlns="84272610-d261-4ae1-afd8-e3d42c82ba61">
      <Value>5</Value>
      <Value>1</Value>
    </TaxCatchAll>
    <n2a7a23bcc2241cb9261f9a914c7c1bb xmlns="84272610-d261-4ae1-afd8-e3d42c82ba61">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SAWEC Model (PBL)</TNOC_ClusterName>
    <_dlc_DocIdUrl xmlns="84272610-d261-4ae1-afd8-e3d42c82ba61">
      <Url>https://365tno.sharepoint.com/teams/P060.47751/_layouts/15/DocIdRedir.aspx?ID=AAZZDUZTTQ42-92714316-432</Url>
      <Description>AAZZDUZTTQ42-92714316-432</Description>
    </_dlc_DocIdUrl>
    <TNOC_ClusterId xmlns="2f6a910d-138e-42c1-8e8a-320c1b7cf3f7">060.47751</TNOC_ClusterId>
    <h15fbb78f4cb41d290e72f301ea2865f xmlns="84272610-d261-4ae1-afd8-e3d42c82ba6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documentManagement>
</p:properties>
</file>

<file path=customXml/itemProps1.xml><?xml version="1.0" encoding="utf-8"?>
<ds:datastoreItem xmlns:ds="http://schemas.openxmlformats.org/officeDocument/2006/customXml" ds:itemID="{B3416A1B-3FC4-4FFF-8CB0-4A2FD63F34EA}">
  <ds:schemaRefs>
    <ds:schemaRef ds:uri="http://schemas.microsoft.com/sharepoint/v3/contenttype/forms"/>
  </ds:schemaRefs>
</ds:datastoreItem>
</file>

<file path=customXml/itemProps2.xml><?xml version="1.0" encoding="utf-8"?>
<ds:datastoreItem xmlns:ds="http://schemas.openxmlformats.org/officeDocument/2006/customXml" ds:itemID="{BC7FEB59-6DC1-4F47-8ECF-180BA4FBBA0E}">
  <ds:schemaRefs>
    <ds:schemaRef ds:uri="http://schemas.microsoft.com/sharepoint/events"/>
  </ds:schemaRefs>
</ds:datastoreItem>
</file>

<file path=customXml/itemProps3.xml><?xml version="1.0" encoding="utf-8"?>
<ds:datastoreItem xmlns:ds="http://schemas.openxmlformats.org/officeDocument/2006/customXml" ds:itemID="{3FDBD6F4-3226-42BD-BAFC-566ED0892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272610-d261-4ae1-afd8-e3d42c82ba61"/>
    <ds:schemaRef ds:uri="2f6a910d-138e-42c1-8e8a-320c1b7cf3f7"/>
    <ds:schemaRef ds:uri="e3dc0238-67ea-4d9a-96fc-6035fa65f4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B2BEE35-3815-4D52-A190-923A31F28BD4}">
  <ds:schemaRefs>
    <ds:schemaRef ds:uri="http://schemas.microsoft.com/office/2006/metadata/properties"/>
    <ds:schemaRef ds:uri="http://schemas.microsoft.com/office/infopath/2007/PartnerControls"/>
    <ds:schemaRef ds:uri="84272610-d261-4ae1-afd8-e3d42c82ba61"/>
    <ds:schemaRef ds:uri="2f6a910d-138e-42c1-8e8a-320c1b7cf3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7</vt:i4>
      </vt:variant>
      <vt:variant>
        <vt:lpstr>Benoemde bereiken</vt:lpstr>
      </vt:variant>
      <vt:variant>
        <vt:i4>15</vt:i4>
      </vt:variant>
    </vt:vector>
  </HeadingPairs>
  <TitlesOfParts>
    <vt:vector size="22" baseType="lpstr">
      <vt:lpstr>Minimum versie</vt:lpstr>
      <vt:lpstr>Kentallen</vt:lpstr>
      <vt:lpstr>NTA 8800</vt:lpstr>
      <vt:lpstr>Correctie binnentemp</vt:lpstr>
      <vt:lpstr>Buitentemperatuur</vt:lpstr>
      <vt:lpstr>Rekensheet</vt:lpstr>
      <vt:lpstr>Model Frans</vt:lpstr>
      <vt:lpstr>binnentempertuur</vt:lpstr>
      <vt:lpstr>BinnenTempTheoretisch</vt:lpstr>
      <vt:lpstr>buitentemperatuur</vt:lpstr>
      <vt:lpstr>BuitenTempTheoretisch</vt:lpstr>
      <vt:lpstr>SchalingTempVerschil</vt:lpstr>
      <vt:lpstr>StookseizoenTheoretisch</vt:lpstr>
      <vt:lpstr>stookuren</vt:lpstr>
      <vt:lpstr>StookurenTheoretisch</vt:lpstr>
      <vt:lpstr>temperatuurverschil</vt:lpstr>
      <vt:lpstr>TemperatuurVerschilCorrectieTheoretisch</vt:lpstr>
      <vt:lpstr>TempVerschilCorrectie</vt:lpstr>
      <vt:lpstr>UrenStookseizoen</vt:lpstr>
      <vt:lpstr>Vloeroppervlakte</vt:lpstr>
      <vt:lpstr>Weerstation</vt:lpstr>
      <vt:lpstr>Zichtjaar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Drs. ing. C. Tigchelaar</dc:creator>
  <cp:keywords/>
  <dc:description/>
  <cp:lastModifiedBy>Molen, van der Folckert</cp:lastModifiedBy>
  <cp:revision/>
  <dcterms:created xsi:type="dcterms:W3CDTF">2021-07-07T11:08:19Z</dcterms:created>
  <dcterms:modified xsi:type="dcterms:W3CDTF">2022-03-03T14:04:27Z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NOC_DocumentClassification">
    <vt:lpwstr>5;#TNO Internal|1a23c89f-ef54-4907-86fd-8242403ff722</vt:lpwstr>
  </property>
  <property fmtid="{D5CDD505-2E9C-101B-9397-08002B2CF9AE}" pid="3" name="ContentTypeId">
    <vt:lpwstr>0x010100A35317DCC28344A7B82488658A034A5C0100A3A4D3FB9D40E541B50B669EFFB551B1</vt:lpwstr>
  </property>
  <property fmtid="{D5CDD505-2E9C-101B-9397-08002B2CF9AE}" pid="4" name="TNOC_DocumentType">
    <vt:lpwstr/>
  </property>
  <property fmtid="{D5CDD505-2E9C-101B-9397-08002B2CF9AE}" pid="5" name="TNOC_ClusterType">
    <vt:lpwstr>1;#Project|fa11c4c9-105f-402c-bb40-9a56b4989397</vt:lpwstr>
  </property>
  <property fmtid="{D5CDD505-2E9C-101B-9397-08002B2CF9AE}" pid="6" name="TNOC_DocumentCategory">
    <vt:lpwstr/>
  </property>
  <property fmtid="{D5CDD505-2E9C-101B-9397-08002B2CF9AE}" pid="7" name="_dlc_DocIdItemGuid">
    <vt:lpwstr>f07500c1-de48-4f83-b3b8-55634f8b465a</vt:lpwstr>
  </property>
  <property fmtid="{D5CDD505-2E9C-101B-9397-08002B2CF9AE}" pid="8" name="TNOC_DocumentSetType">
    <vt:lpwstr/>
  </property>
</Properties>
</file>